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/>
  </bookViews>
  <sheets>
    <sheet name="118A7E20-331A-0460-2B5E-9398873" sheetId="1" r:id="rId1"/>
  </sheets>
  <definedNames>
    <definedName name="_xlnm._FilterDatabase" localSheetId="0">'118A7E20-331A-0460-2B5E-9398873'!$A$2:$AY$3937</definedName>
  </definedNames>
  <calcPr calcId="125725" iterateDelta="1E-4"/>
</workbook>
</file>

<file path=xl/calcChain.xml><?xml version="1.0" encoding="utf-8"?>
<calcChain xmlns="http://schemas.openxmlformats.org/spreadsheetml/2006/main">
  <c r="Q3938" i="1"/>
  <c r="O3938"/>
  <c r="N3938"/>
  <c r="L3938"/>
  <c r="N3940" s="1"/>
  <c r="AX3937"/>
  <c r="G3937"/>
  <c r="D3937"/>
  <c r="C3937"/>
  <c r="AX3936"/>
  <c r="G3936"/>
  <c r="D3936"/>
  <c r="C3936"/>
  <c r="AX3935"/>
  <c r="G3935"/>
  <c r="D3935"/>
  <c r="C3935"/>
  <c r="AX3934"/>
  <c r="G3934"/>
  <c r="D3934"/>
  <c r="C3934"/>
  <c r="AX3933"/>
  <c r="G3933"/>
  <c r="D3933"/>
  <c r="C3933"/>
  <c r="AX3932"/>
  <c r="G3932"/>
  <c r="D3932"/>
  <c r="C3932"/>
  <c r="AX3931"/>
  <c r="G3931"/>
  <c r="D3931"/>
  <c r="C3931"/>
  <c r="AX3930"/>
  <c r="G3930"/>
  <c r="D3930"/>
  <c r="C3930"/>
  <c r="AX3929"/>
  <c r="G3929"/>
  <c r="D3929"/>
  <c r="C3929"/>
  <c r="AX3928"/>
  <c r="G3928"/>
  <c r="D3928"/>
  <c r="C3928"/>
  <c r="AX3927"/>
  <c r="G3927"/>
  <c r="D3927"/>
  <c r="C3927"/>
  <c r="AX3926"/>
  <c r="G3926"/>
  <c r="D3926"/>
  <c r="C3926"/>
  <c r="AX3925"/>
  <c r="G3925"/>
  <c r="D3925"/>
  <c r="C3925"/>
  <c r="AX3924"/>
  <c r="G3924"/>
  <c r="D3924"/>
  <c r="C3924"/>
  <c r="AX3923"/>
  <c r="G3923"/>
  <c r="D3923"/>
  <c r="C3923"/>
  <c r="AX3922"/>
  <c r="G3922"/>
  <c r="D3922"/>
  <c r="C3922"/>
  <c r="AX3921"/>
  <c r="G3921"/>
  <c r="D3921"/>
  <c r="C3921"/>
  <c r="AX3920"/>
  <c r="G3920"/>
  <c r="D3920"/>
  <c r="C3920"/>
  <c r="AX3919"/>
  <c r="G3919"/>
  <c r="D3919"/>
  <c r="C3919"/>
  <c r="AX3918"/>
  <c r="G3918"/>
  <c r="D3918"/>
  <c r="C3918"/>
  <c r="AX3917"/>
  <c r="G3917"/>
  <c r="D3917"/>
  <c r="C3917"/>
  <c r="AX3916"/>
  <c r="G3916"/>
  <c r="D3916"/>
  <c r="C3916"/>
  <c r="AX3915"/>
  <c r="G3915"/>
  <c r="D3915"/>
  <c r="C3915"/>
  <c r="AX3914"/>
  <c r="G3914"/>
  <c r="D3914"/>
  <c r="C3914"/>
  <c r="AX3913"/>
  <c r="G3913"/>
  <c r="D3913"/>
  <c r="C3913"/>
  <c r="AX3912"/>
  <c r="G3912"/>
  <c r="D3912"/>
  <c r="C3912"/>
  <c r="AX3911"/>
  <c r="G3911"/>
  <c r="D3911"/>
  <c r="C3911"/>
  <c r="AX3910"/>
  <c r="G3910"/>
  <c r="D3910"/>
  <c r="C3910"/>
  <c r="AX3909"/>
  <c r="G3909"/>
  <c r="D3909"/>
  <c r="C3909"/>
  <c r="AX3908"/>
  <c r="G3908"/>
  <c r="D3908"/>
  <c r="C3908"/>
  <c r="AX3907"/>
  <c r="G3907"/>
  <c r="D3907"/>
  <c r="C3907"/>
  <c r="AX3906"/>
  <c r="G3906"/>
  <c r="D3906"/>
  <c r="C3906"/>
  <c r="AX3905"/>
  <c r="G3905"/>
  <c r="D3905"/>
  <c r="C3905"/>
  <c r="AX3904"/>
  <c r="G3904"/>
  <c r="D3904"/>
  <c r="C3904"/>
  <c r="AX3903"/>
  <c r="G3903"/>
  <c r="D3903"/>
  <c r="C3903"/>
  <c r="AX3902"/>
  <c r="G3902"/>
  <c r="D3902"/>
  <c r="C3902"/>
  <c r="AX3901"/>
  <c r="G3901"/>
  <c r="D3901"/>
  <c r="C3901"/>
  <c r="AX3900"/>
  <c r="G3900"/>
  <c r="D3900"/>
  <c r="C3900"/>
  <c r="AX3899"/>
  <c r="G3899"/>
  <c r="D3899"/>
  <c r="C3899"/>
  <c r="AX3898"/>
  <c r="G3898"/>
  <c r="D3898"/>
  <c r="C3898"/>
  <c r="AX3897"/>
  <c r="G3897"/>
  <c r="D3897"/>
  <c r="C3897"/>
  <c r="AX3896"/>
  <c r="G3896"/>
  <c r="D3896"/>
  <c r="C3896"/>
  <c r="AX3895"/>
  <c r="G3895"/>
  <c r="D3895"/>
  <c r="C3895"/>
  <c r="AX3894"/>
  <c r="G3894"/>
  <c r="D3894"/>
  <c r="C3894"/>
  <c r="AX3893"/>
  <c r="G3893"/>
  <c r="D3893"/>
  <c r="C3893"/>
  <c r="AX3892"/>
  <c r="G3892"/>
  <c r="D3892"/>
  <c r="C3892"/>
  <c r="AX3891"/>
  <c r="G3891"/>
  <c r="D3891"/>
  <c r="C3891"/>
  <c r="AX3890"/>
  <c r="G3890"/>
  <c r="D3890"/>
  <c r="C3890"/>
  <c r="AX3889"/>
  <c r="G3889"/>
  <c r="D3889"/>
  <c r="C3889"/>
  <c r="AX3888"/>
  <c r="G3888"/>
  <c r="D3888"/>
  <c r="C3888"/>
  <c r="AX3887"/>
  <c r="G3887"/>
  <c r="D3887"/>
  <c r="C3887"/>
  <c r="AX3886"/>
  <c r="G3886"/>
  <c r="D3886"/>
  <c r="C3886"/>
  <c r="AX3885"/>
  <c r="G3885"/>
  <c r="D3885"/>
  <c r="C3885"/>
  <c r="AX3884"/>
  <c r="G3884"/>
  <c r="D3884"/>
  <c r="C3884"/>
  <c r="AX3883"/>
  <c r="G3883"/>
  <c r="D3883"/>
  <c r="C3883"/>
  <c r="AX3882"/>
  <c r="G3882"/>
  <c r="D3882"/>
  <c r="C3882"/>
  <c r="AX3881"/>
  <c r="G3881"/>
  <c r="D3881"/>
  <c r="C3881"/>
  <c r="AX3880"/>
  <c r="G3880"/>
  <c r="D3880"/>
  <c r="C3880"/>
  <c r="AX3879"/>
  <c r="G3879"/>
  <c r="D3879"/>
  <c r="C3879"/>
  <c r="AX3878"/>
  <c r="G3878"/>
  <c r="D3878"/>
  <c r="C3878"/>
  <c r="AX3877"/>
  <c r="G3877"/>
  <c r="D3877"/>
  <c r="C3877"/>
  <c r="AX3876"/>
  <c r="G3876"/>
  <c r="D3876"/>
  <c r="C3876"/>
  <c r="AX3875"/>
  <c r="G3875"/>
  <c r="D3875"/>
  <c r="C3875"/>
  <c r="AX3874"/>
  <c r="G3874"/>
  <c r="D3874"/>
  <c r="C3874"/>
  <c r="AX3873"/>
  <c r="G3873"/>
  <c r="D3873"/>
  <c r="C3873"/>
  <c r="AX3872"/>
  <c r="G3872"/>
  <c r="D3872"/>
  <c r="C3872"/>
  <c r="AX3871"/>
  <c r="G3871"/>
  <c r="D3871"/>
  <c r="C3871"/>
  <c r="AX3870"/>
  <c r="G3870"/>
  <c r="D3870"/>
  <c r="C3870"/>
  <c r="AX3869"/>
  <c r="G3869"/>
  <c r="D3869"/>
  <c r="C3869"/>
  <c r="AX3868"/>
  <c r="G3868"/>
  <c r="D3868"/>
  <c r="C3868"/>
  <c r="AX3867"/>
  <c r="G3867"/>
  <c r="D3867"/>
  <c r="C3867"/>
  <c r="AX3866"/>
  <c r="G3866"/>
  <c r="D3866"/>
  <c r="C3866"/>
  <c r="AX3865"/>
  <c r="G3865"/>
  <c r="D3865"/>
  <c r="C3865"/>
  <c r="AX3864"/>
  <c r="G3864"/>
  <c r="D3864"/>
  <c r="C3864"/>
  <c r="AX3863"/>
  <c r="G3863"/>
  <c r="D3863"/>
  <c r="C3863"/>
  <c r="AX3862"/>
  <c r="G3862"/>
  <c r="D3862"/>
  <c r="C3862"/>
  <c r="AX3861"/>
  <c r="G3861"/>
  <c r="D3861"/>
  <c r="C3861"/>
  <c r="AX3860"/>
  <c r="G3860"/>
  <c r="D3860"/>
  <c r="C3860"/>
  <c r="AX3859"/>
  <c r="G3859"/>
  <c r="D3859"/>
  <c r="C3859"/>
  <c r="AX3858"/>
  <c r="G3858"/>
  <c r="D3858"/>
  <c r="C3858"/>
  <c r="AX3857"/>
  <c r="G3857"/>
  <c r="D3857"/>
  <c r="C3857"/>
  <c r="AX3856"/>
  <c r="G3856"/>
  <c r="D3856"/>
  <c r="C3856"/>
  <c r="AX3855"/>
  <c r="G3855"/>
  <c r="D3855"/>
  <c r="C3855"/>
  <c r="AX3854"/>
  <c r="G3854"/>
  <c r="D3854"/>
  <c r="C3854"/>
  <c r="AX3853"/>
  <c r="G3853"/>
  <c r="D3853"/>
  <c r="C3853"/>
  <c r="AX3852"/>
  <c r="G3852"/>
  <c r="D3852"/>
  <c r="C3852"/>
  <c r="AX3851"/>
  <c r="G3851"/>
  <c r="D3851"/>
  <c r="C3851"/>
  <c r="AX3850"/>
  <c r="G3850"/>
  <c r="D3850"/>
  <c r="C3850"/>
  <c r="AX3849"/>
  <c r="G3849"/>
  <c r="D3849"/>
  <c r="C3849"/>
  <c r="AX3848"/>
  <c r="G3848"/>
  <c r="D3848"/>
  <c r="C3848"/>
  <c r="AX3847"/>
  <c r="G3847"/>
  <c r="D3847"/>
  <c r="C3847"/>
  <c r="AX3846"/>
  <c r="G3846"/>
  <c r="D3846"/>
  <c r="C3846"/>
  <c r="AX3845"/>
  <c r="G3845"/>
  <c r="D3845"/>
  <c r="C3845"/>
  <c r="AX3844"/>
  <c r="G3844"/>
  <c r="D3844"/>
  <c r="C3844"/>
  <c r="AX3843"/>
  <c r="G3843"/>
  <c r="D3843"/>
  <c r="C3843"/>
  <c r="AX3842"/>
  <c r="G3842"/>
  <c r="D3842"/>
  <c r="C3842"/>
  <c r="AX3841"/>
  <c r="G3841"/>
  <c r="D3841"/>
  <c r="C3841"/>
  <c r="AX3840"/>
  <c r="G3840"/>
  <c r="D3840"/>
  <c r="C3840"/>
  <c r="AX3839"/>
  <c r="G3839"/>
  <c r="D3839"/>
  <c r="C3839"/>
  <c r="AX3838"/>
  <c r="G3838"/>
  <c r="D3838"/>
  <c r="C3838"/>
  <c r="AX3837"/>
  <c r="G3837"/>
  <c r="D3837"/>
  <c r="C3837"/>
  <c r="AX3836"/>
  <c r="G3836"/>
  <c r="D3836"/>
  <c r="C3836"/>
  <c r="AX3835"/>
  <c r="G3835"/>
  <c r="D3835"/>
  <c r="C3835"/>
  <c r="AX3834"/>
  <c r="G3834"/>
  <c r="D3834"/>
  <c r="C3834"/>
  <c r="AX3833"/>
  <c r="G3833"/>
  <c r="D3833"/>
  <c r="C3833"/>
  <c r="AX3832"/>
  <c r="G3832"/>
  <c r="D3832"/>
  <c r="C3832"/>
  <c r="AX3831"/>
  <c r="G3831"/>
  <c r="D3831"/>
  <c r="C3831"/>
  <c r="AX3830"/>
  <c r="G3830"/>
  <c r="D3830"/>
  <c r="C3830"/>
  <c r="AX3829"/>
  <c r="G3829"/>
  <c r="D3829"/>
  <c r="C3829"/>
  <c r="AX3828"/>
  <c r="G3828"/>
  <c r="D3828"/>
  <c r="C3828"/>
  <c r="AX3827"/>
  <c r="G3827"/>
  <c r="D3827"/>
  <c r="C3827"/>
  <c r="AX3826"/>
  <c r="G3826"/>
  <c r="D3826"/>
  <c r="C3826"/>
  <c r="AX3825"/>
  <c r="G3825"/>
  <c r="D3825"/>
  <c r="C3825"/>
  <c r="AX3824"/>
  <c r="G3824"/>
  <c r="D3824"/>
  <c r="C3824"/>
  <c r="AX3823"/>
  <c r="G3823"/>
  <c r="D3823"/>
  <c r="C3823"/>
  <c r="AX3822"/>
  <c r="G3822"/>
  <c r="D3822"/>
  <c r="C3822"/>
  <c r="AX3821"/>
  <c r="G3821"/>
  <c r="D3821"/>
  <c r="C3821"/>
  <c r="AX3820"/>
  <c r="G3820"/>
  <c r="D3820"/>
  <c r="C3820"/>
  <c r="AX3819"/>
  <c r="G3819"/>
  <c r="D3819"/>
  <c r="C3819"/>
  <c r="AX3818"/>
  <c r="G3818"/>
  <c r="D3818"/>
  <c r="C3818"/>
  <c r="AX3817"/>
  <c r="G3817"/>
  <c r="D3817"/>
  <c r="C3817"/>
  <c r="AX3816"/>
  <c r="G3816"/>
  <c r="D3816"/>
  <c r="C3816"/>
  <c r="AX3815"/>
  <c r="G3815"/>
  <c r="D3815"/>
  <c r="C3815"/>
  <c r="AX3814"/>
  <c r="G3814"/>
  <c r="D3814"/>
  <c r="C3814"/>
  <c r="AX3813"/>
  <c r="G3813"/>
  <c r="D3813"/>
  <c r="C3813"/>
  <c r="AX3812"/>
  <c r="G3812"/>
  <c r="D3812"/>
  <c r="C3812"/>
  <c r="AX3811"/>
  <c r="G3811"/>
  <c r="D3811"/>
  <c r="C3811"/>
  <c r="AX3810"/>
  <c r="G3810"/>
  <c r="D3810"/>
  <c r="C3810"/>
  <c r="AX3809"/>
  <c r="G3809"/>
  <c r="D3809"/>
  <c r="C3809"/>
  <c r="AX3808"/>
  <c r="G3808"/>
  <c r="D3808"/>
  <c r="C3808"/>
  <c r="AX3807"/>
  <c r="G3807"/>
  <c r="D3807"/>
  <c r="C3807"/>
  <c r="AX3806"/>
  <c r="G3806"/>
  <c r="D3806"/>
  <c r="C3806"/>
  <c r="AX3805"/>
  <c r="G3805"/>
  <c r="D3805"/>
  <c r="C3805"/>
  <c r="AX3804"/>
  <c r="G3804"/>
  <c r="D3804"/>
  <c r="C3804"/>
  <c r="AX3803"/>
  <c r="G3803"/>
  <c r="D3803"/>
  <c r="C3803"/>
  <c r="AX3802"/>
  <c r="G3802"/>
  <c r="D3802"/>
  <c r="C3802"/>
  <c r="AX3801"/>
  <c r="G3801"/>
  <c r="D3801"/>
  <c r="C3801"/>
  <c r="AX3800"/>
  <c r="G3800"/>
  <c r="D3800"/>
  <c r="C3800"/>
  <c r="AX3799"/>
  <c r="G3799"/>
  <c r="D3799"/>
  <c r="C3799"/>
  <c r="AX3798"/>
  <c r="G3798"/>
  <c r="D3798"/>
  <c r="C3798"/>
  <c r="AX3797"/>
  <c r="G3797"/>
  <c r="D3797"/>
  <c r="C3797"/>
  <c r="AX3796"/>
  <c r="G3796"/>
  <c r="D3796"/>
  <c r="C3796"/>
  <c r="AX3795"/>
  <c r="G3795"/>
  <c r="D3795"/>
  <c r="C3795"/>
  <c r="AX3794"/>
  <c r="G3794"/>
  <c r="D3794"/>
  <c r="C3794"/>
  <c r="AX3793"/>
  <c r="G3793"/>
  <c r="D3793"/>
  <c r="C3793"/>
  <c r="AX3792"/>
  <c r="G3792"/>
  <c r="D3792"/>
  <c r="C3792"/>
  <c r="AX3791"/>
  <c r="G3791"/>
  <c r="D3791"/>
  <c r="C3791"/>
  <c r="AX3790"/>
  <c r="G3790"/>
  <c r="D3790"/>
  <c r="C3790"/>
  <c r="AX3789"/>
  <c r="G3789"/>
  <c r="D3789"/>
  <c r="C3789"/>
  <c r="AX3788"/>
  <c r="G3788"/>
  <c r="D3788"/>
  <c r="C3788"/>
  <c r="AX3787"/>
  <c r="G3787"/>
  <c r="D3787"/>
  <c r="C3787"/>
  <c r="AX3786"/>
  <c r="G3786"/>
  <c r="D3786"/>
  <c r="C3786"/>
  <c r="AX3785"/>
  <c r="G3785"/>
  <c r="D3785"/>
  <c r="C3785"/>
  <c r="AX3784"/>
  <c r="G3784"/>
  <c r="D3784"/>
  <c r="C3784"/>
  <c r="AX3783"/>
  <c r="G3783"/>
  <c r="D3783"/>
  <c r="C3783"/>
  <c r="AX3782"/>
  <c r="G3782"/>
  <c r="D3782"/>
  <c r="C3782"/>
  <c r="AX3781"/>
  <c r="G3781"/>
  <c r="D3781"/>
  <c r="C3781"/>
  <c r="AX3780"/>
  <c r="G3780"/>
  <c r="D3780"/>
  <c r="C3780"/>
  <c r="AX3779"/>
  <c r="G3779"/>
  <c r="D3779"/>
  <c r="C3779"/>
  <c r="AX3778"/>
  <c r="G3778"/>
  <c r="D3778"/>
  <c r="C3778"/>
  <c r="AX3777"/>
  <c r="G3777"/>
  <c r="D3777"/>
  <c r="C3777"/>
  <c r="AX3776"/>
  <c r="G3776"/>
  <c r="D3776"/>
  <c r="C3776"/>
  <c r="AX3775"/>
  <c r="G3775"/>
  <c r="D3775"/>
  <c r="C3775"/>
  <c r="AX3774"/>
  <c r="G3774"/>
  <c r="D3774"/>
  <c r="C3774"/>
  <c r="AX3773"/>
  <c r="G3773"/>
  <c r="D3773"/>
  <c r="C3773"/>
  <c r="AX3772"/>
  <c r="G3772"/>
  <c r="D3772"/>
  <c r="C3772"/>
  <c r="AX3771"/>
  <c r="G3771"/>
  <c r="D3771"/>
  <c r="C3771"/>
  <c r="AX3770"/>
  <c r="G3770"/>
  <c r="D3770"/>
  <c r="C3770"/>
  <c r="AX3769"/>
  <c r="G3769"/>
  <c r="D3769"/>
  <c r="C3769"/>
  <c r="AX3768"/>
  <c r="G3768"/>
  <c r="D3768"/>
  <c r="C3768"/>
  <c r="AX3767"/>
  <c r="G3767"/>
  <c r="D3767"/>
  <c r="C3767"/>
  <c r="AX3766"/>
  <c r="G3766"/>
  <c r="D3766"/>
  <c r="C3766"/>
  <c r="AX3765"/>
  <c r="G3765"/>
  <c r="D3765"/>
  <c r="C3765"/>
  <c r="AX3764"/>
  <c r="G3764"/>
  <c r="D3764"/>
  <c r="C3764"/>
  <c r="AX3763"/>
  <c r="G3763"/>
  <c r="D3763"/>
  <c r="C3763"/>
  <c r="AX3762"/>
  <c r="G3762"/>
  <c r="D3762"/>
  <c r="C3762"/>
  <c r="AX3761"/>
  <c r="G3761"/>
  <c r="D3761"/>
  <c r="C3761"/>
  <c r="AX3760"/>
  <c r="G3760"/>
  <c r="D3760"/>
  <c r="C3760"/>
  <c r="AX3759"/>
  <c r="G3759"/>
  <c r="D3759"/>
  <c r="C3759"/>
  <c r="AX3758"/>
  <c r="G3758"/>
  <c r="D3758"/>
  <c r="C3758"/>
  <c r="AX3757"/>
  <c r="G3757"/>
  <c r="D3757"/>
  <c r="C3757"/>
  <c r="AX3756"/>
  <c r="G3756"/>
  <c r="D3756"/>
  <c r="C3756"/>
  <c r="AX3755"/>
  <c r="G3755"/>
  <c r="D3755"/>
  <c r="C3755"/>
  <c r="AX3754"/>
  <c r="G3754"/>
  <c r="D3754"/>
  <c r="C3754"/>
  <c r="AX3753"/>
  <c r="G3753"/>
  <c r="D3753"/>
  <c r="C3753"/>
  <c r="AX3752"/>
  <c r="G3752"/>
  <c r="D3752"/>
  <c r="C3752"/>
  <c r="AX3751"/>
  <c r="G3751"/>
  <c r="D3751"/>
  <c r="C3751"/>
  <c r="AX3750"/>
  <c r="G3750"/>
  <c r="D3750"/>
  <c r="C3750"/>
  <c r="AX3749"/>
  <c r="G3749"/>
  <c r="D3749"/>
  <c r="C3749"/>
  <c r="AX3748"/>
  <c r="G3748"/>
  <c r="D3748"/>
  <c r="C3748"/>
  <c r="AX3747"/>
  <c r="G3747"/>
  <c r="D3747"/>
  <c r="C3747"/>
  <c r="AX3746"/>
  <c r="G3746"/>
  <c r="D3746"/>
  <c r="C3746"/>
  <c r="AX3745"/>
  <c r="G3745"/>
  <c r="D3745"/>
  <c r="C3745"/>
  <c r="AX3744"/>
  <c r="G3744"/>
  <c r="D3744"/>
  <c r="C3744"/>
  <c r="AX3743"/>
  <c r="G3743"/>
  <c r="D3743"/>
  <c r="C3743"/>
  <c r="AX3742"/>
  <c r="G3742"/>
  <c r="D3742"/>
  <c r="C3742"/>
  <c r="AX3741"/>
  <c r="G3741"/>
  <c r="D3741"/>
  <c r="C3741"/>
  <c r="AX3740"/>
  <c r="G3740"/>
  <c r="D3740"/>
  <c r="C3740"/>
  <c r="AX3739"/>
  <c r="G3739"/>
  <c r="D3739"/>
  <c r="C3739"/>
  <c r="AX3738"/>
  <c r="G3738"/>
  <c r="D3738"/>
  <c r="C3738"/>
  <c r="AX3737"/>
  <c r="G3737"/>
  <c r="D3737"/>
  <c r="C3737"/>
  <c r="AX3736"/>
  <c r="G3736"/>
  <c r="D3736"/>
  <c r="C3736"/>
  <c r="AX3735"/>
  <c r="G3735"/>
  <c r="D3735"/>
  <c r="C3735"/>
  <c r="AX3734"/>
  <c r="G3734"/>
  <c r="D3734"/>
  <c r="C3734"/>
  <c r="AX3733"/>
  <c r="G3733"/>
  <c r="D3733"/>
  <c r="C3733"/>
  <c r="AX3732"/>
  <c r="G3732"/>
  <c r="D3732"/>
  <c r="C3732"/>
  <c r="AX3731"/>
  <c r="G3731"/>
  <c r="D3731"/>
  <c r="C3731"/>
  <c r="AX3730"/>
  <c r="G3730"/>
  <c r="D3730"/>
  <c r="C3730"/>
  <c r="AX3729"/>
  <c r="G3729"/>
  <c r="D3729"/>
  <c r="C3729"/>
  <c r="AX3728"/>
  <c r="G3728"/>
  <c r="D3728"/>
  <c r="C3728"/>
  <c r="AX3727"/>
  <c r="G3727"/>
  <c r="D3727"/>
  <c r="C3727"/>
  <c r="AX3726"/>
  <c r="G3726"/>
  <c r="D3726"/>
  <c r="C3726"/>
  <c r="AX3725"/>
  <c r="G3725"/>
  <c r="D3725"/>
  <c r="C3725"/>
  <c r="AX3724"/>
  <c r="G3724"/>
  <c r="D3724"/>
  <c r="C3724"/>
  <c r="AX3723"/>
  <c r="G3723"/>
  <c r="D3723"/>
  <c r="C3723"/>
  <c r="AX3722"/>
  <c r="G3722"/>
  <c r="D3722"/>
  <c r="C3722"/>
  <c r="AX3721"/>
  <c r="G3721"/>
  <c r="D3721"/>
  <c r="C3721"/>
  <c r="AX3720"/>
  <c r="G3720"/>
  <c r="D3720"/>
  <c r="C3720"/>
  <c r="AX3719"/>
  <c r="G3719"/>
  <c r="D3719"/>
  <c r="C3719"/>
  <c r="AX3718"/>
  <c r="G3718"/>
  <c r="D3718"/>
  <c r="C3718"/>
  <c r="AX3717"/>
  <c r="G3717"/>
  <c r="D3717"/>
  <c r="C3717"/>
  <c r="AX3716"/>
  <c r="G3716"/>
  <c r="D3716"/>
  <c r="C3716"/>
  <c r="AX3715"/>
  <c r="G3715"/>
  <c r="D3715"/>
  <c r="C3715"/>
  <c r="AX3714"/>
  <c r="G3714"/>
  <c r="D3714"/>
  <c r="C3714"/>
  <c r="AX3713"/>
  <c r="G3713"/>
  <c r="D3713"/>
  <c r="C3713"/>
  <c r="AX3712"/>
  <c r="G3712"/>
  <c r="D3712"/>
  <c r="C3712"/>
  <c r="AX3711"/>
  <c r="G3711"/>
  <c r="D3711"/>
  <c r="C3711"/>
  <c r="AX3710"/>
  <c r="G3710"/>
  <c r="D3710"/>
  <c r="C3710"/>
  <c r="AX3709"/>
  <c r="G3709"/>
  <c r="D3709"/>
  <c r="C3709"/>
  <c r="AX3708"/>
  <c r="G3708"/>
  <c r="D3708"/>
  <c r="C3708"/>
  <c r="AX3707"/>
  <c r="G3707"/>
  <c r="D3707"/>
  <c r="C3707"/>
  <c r="AX3706"/>
  <c r="G3706"/>
  <c r="D3706"/>
  <c r="C3706"/>
  <c r="AX3705"/>
  <c r="G3705"/>
  <c r="D3705"/>
  <c r="C3705"/>
  <c r="AX3704"/>
  <c r="G3704"/>
  <c r="D3704"/>
  <c r="C3704"/>
  <c r="AX3703"/>
  <c r="G3703"/>
  <c r="D3703"/>
  <c r="C3703"/>
  <c r="AX3702"/>
  <c r="G3702"/>
  <c r="D3702"/>
  <c r="C3702"/>
  <c r="AX3701"/>
  <c r="G3701"/>
  <c r="D3701"/>
  <c r="C3701"/>
  <c r="AX3700"/>
  <c r="G3700"/>
  <c r="D3700"/>
  <c r="C3700"/>
  <c r="AX3699"/>
  <c r="G3699"/>
  <c r="D3699"/>
  <c r="C3699"/>
  <c r="AX3698"/>
  <c r="G3698"/>
  <c r="D3698"/>
  <c r="C3698"/>
  <c r="AX3697"/>
  <c r="G3697"/>
  <c r="D3697"/>
  <c r="C3697"/>
  <c r="AX3696"/>
  <c r="G3696"/>
  <c r="D3696"/>
  <c r="C3696"/>
  <c r="AX3695"/>
  <c r="G3695"/>
  <c r="D3695"/>
  <c r="C3695"/>
  <c r="AX3694"/>
  <c r="G3694"/>
  <c r="D3694"/>
  <c r="C3694"/>
  <c r="AX3693"/>
  <c r="G3693"/>
  <c r="D3693"/>
  <c r="C3693"/>
  <c r="AX3692"/>
  <c r="G3692"/>
  <c r="D3692"/>
  <c r="C3692"/>
  <c r="AX3691"/>
  <c r="G3691"/>
  <c r="D3691"/>
  <c r="C3691"/>
  <c r="AX3690"/>
  <c r="G3690"/>
  <c r="D3690"/>
  <c r="C3690"/>
  <c r="AX3689"/>
  <c r="G3689"/>
  <c r="D3689"/>
  <c r="C3689"/>
  <c r="AX3688"/>
  <c r="G3688"/>
  <c r="D3688"/>
  <c r="C3688"/>
  <c r="AX3687"/>
  <c r="G3687"/>
  <c r="D3687"/>
  <c r="C3687"/>
  <c r="AX3686"/>
  <c r="G3686"/>
  <c r="D3686"/>
  <c r="C3686"/>
  <c r="AX3685"/>
  <c r="G3685"/>
  <c r="D3685"/>
  <c r="C3685"/>
  <c r="AX3684"/>
  <c r="G3684"/>
  <c r="D3684"/>
  <c r="C3684"/>
  <c r="AX3683"/>
  <c r="G3683"/>
  <c r="D3683"/>
  <c r="C3683"/>
  <c r="AX3682"/>
  <c r="G3682"/>
  <c r="D3682"/>
  <c r="C3682"/>
  <c r="AX3681"/>
  <c r="G3681"/>
  <c r="D3681"/>
  <c r="C3681"/>
  <c r="AX3680"/>
  <c r="G3680"/>
  <c r="D3680"/>
  <c r="C3680"/>
  <c r="AX3679"/>
  <c r="G3679"/>
  <c r="D3679"/>
  <c r="C3679"/>
  <c r="AX3678"/>
  <c r="G3678"/>
  <c r="D3678"/>
  <c r="C3678"/>
  <c r="AX3677"/>
  <c r="G3677"/>
  <c r="D3677"/>
  <c r="C3677"/>
  <c r="AX3676"/>
  <c r="G3676"/>
  <c r="D3676"/>
  <c r="C3676"/>
  <c r="AX3675"/>
  <c r="G3675"/>
  <c r="D3675"/>
  <c r="C3675"/>
  <c r="AX3674"/>
  <c r="G3674"/>
  <c r="D3674"/>
  <c r="C3674"/>
  <c r="AX3673"/>
  <c r="G3673"/>
  <c r="D3673"/>
  <c r="C3673"/>
  <c r="AX3672"/>
  <c r="G3672"/>
  <c r="D3672"/>
  <c r="C3672"/>
  <c r="AX3671"/>
  <c r="G3671"/>
  <c r="D3671"/>
  <c r="C3671"/>
  <c r="AX3670"/>
  <c r="G3670"/>
  <c r="D3670"/>
  <c r="C3670"/>
  <c r="AX3669"/>
  <c r="G3669"/>
  <c r="D3669"/>
  <c r="C3669"/>
  <c r="AX3668"/>
  <c r="G3668"/>
  <c r="D3668"/>
  <c r="C3668"/>
  <c r="AX3667"/>
  <c r="G3667"/>
  <c r="D3667"/>
  <c r="C3667"/>
  <c r="AX3666"/>
  <c r="G3666"/>
  <c r="D3666"/>
  <c r="C3666"/>
  <c r="AX3665"/>
  <c r="G3665"/>
  <c r="D3665"/>
  <c r="C3665"/>
  <c r="AX3664"/>
  <c r="G3664"/>
  <c r="D3664"/>
  <c r="C3664"/>
  <c r="AX3663"/>
  <c r="G3663"/>
  <c r="D3663"/>
  <c r="C3663"/>
  <c r="AX3662"/>
  <c r="G3662"/>
  <c r="D3662"/>
  <c r="C3662"/>
  <c r="AX3661"/>
  <c r="G3661"/>
  <c r="D3661"/>
  <c r="C3661"/>
  <c r="AX3660"/>
  <c r="G3660"/>
  <c r="D3660"/>
  <c r="C3660"/>
  <c r="AX3659"/>
  <c r="G3659"/>
  <c r="D3659"/>
  <c r="C3659"/>
  <c r="AX3658"/>
  <c r="G3658"/>
  <c r="D3658"/>
  <c r="C3658"/>
  <c r="AX3657"/>
  <c r="G3657"/>
  <c r="D3657"/>
  <c r="C3657"/>
  <c r="AX3656"/>
  <c r="G3656"/>
  <c r="D3656"/>
  <c r="C3656"/>
  <c r="AX3655"/>
  <c r="G3655"/>
  <c r="D3655"/>
  <c r="C3655"/>
  <c r="AX3654"/>
  <c r="G3654"/>
  <c r="D3654"/>
  <c r="C3654"/>
  <c r="AX3653"/>
  <c r="G3653"/>
  <c r="D3653"/>
  <c r="C3653"/>
  <c r="AX3652"/>
  <c r="G3652"/>
  <c r="D3652"/>
  <c r="C3652"/>
  <c r="AX3651"/>
  <c r="G3651"/>
  <c r="D3651"/>
  <c r="C3651"/>
  <c r="AX3650"/>
  <c r="G3650"/>
  <c r="D3650"/>
  <c r="C3650"/>
  <c r="AX3649"/>
  <c r="G3649"/>
  <c r="D3649"/>
  <c r="C3649"/>
  <c r="AX3648"/>
  <c r="G3648"/>
  <c r="D3648"/>
  <c r="C3648"/>
  <c r="AX3647"/>
  <c r="G3647"/>
  <c r="D3647"/>
  <c r="C3647"/>
  <c r="AX3646"/>
  <c r="G3646"/>
  <c r="D3646"/>
  <c r="C3646"/>
  <c r="AX3645"/>
  <c r="G3645"/>
  <c r="D3645"/>
  <c r="C3645"/>
  <c r="AX3644"/>
  <c r="G3644"/>
  <c r="D3644"/>
  <c r="C3644"/>
  <c r="AX3643"/>
  <c r="G3643"/>
  <c r="D3643"/>
  <c r="C3643"/>
  <c r="AX3642"/>
  <c r="G3642"/>
  <c r="D3642"/>
  <c r="C3642"/>
  <c r="AX3641"/>
  <c r="G3641"/>
  <c r="D3641"/>
  <c r="C3641"/>
  <c r="AX3640"/>
  <c r="G3640"/>
  <c r="D3640"/>
  <c r="C3640"/>
  <c r="AX3639"/>
  <c r="G3639"/>
  <c r="D3639"/>
  <c r="C3639"/>
  <c r="AX3638"/>
  <c r="G3638"/>
  <c r="D3638"/>
  <c r="C3638"/>
  <c r="AX3637"/>
  <c r="G3637"/>
  <c r="D3637"/>
  <c r="C3637"/>
  <c r="AX3636"/>
  <c r="G3636"/>
  <c r="D3636"/>
  <c r="C3636"/>
  <c r="AX3635"/>
  <c r="G3635"/>
  <c r="D3635"/>
  <c r="C3635"/>
  <c r="AX3634"/>
  <c r="G3634"/>
  <c r="D3634"/>
  <c r="C3634"/>
  <c r="AX3633"/>
  <c r="G3633"/>
  <c r="D3633"/>
  <c r="C3633"/>
  <c r="AX3632"/>
  <c r="G3632"/>
  <c r="D3632"/>
  <c r="C3632"/>
  <c r="AX3631"/>
  <c r="G3631"/>
  <c r="D3631"/>
  <c r="C3631"/>
  <c r="AX3630"/>
  <c r="G3630"/>
  <c r="D3630"/>
  <c r="C3630"/>
  <c r="AX3629"/>
  <c r="G3629"/>
  <c r="D3629"/>
  <c r="C3629"/>
  <c r="AX3628"/>
  <c r="G3628"/>
  <c r="D3628"/>
  <c r="C3628"/>
  <c r="AX3627"/>
  <c r="G3627"/>
  <c r="D3627"/>
  <c r="C3627"/>
  <c r="AX3626"/>
  <c r="G3626"/>
  <c r="D3626"/>
  <c r="C3626"/>
  <c r="AX3625"/>
  <c r="G3625"/>
  <c r="D3625"/>
  <c r="C3625"/>
  <c r="AX3624"/>
  <c r="G3624"/>
  <c r="D3624"/>
  <c r="C3624"/>
  <c r="AX3623"/>
  <c r="G3623"/>
  <c r="D3623"/>
  <c r="C3623"/>
  <c r="AX3622"/>
  <c r="G3622"/>
  <c r="D3622"/>
  <c r="C3622"/>
  <c r="AX3621"/>
  <c r="G3621"/>
  <c r="D3621"/>
  <c r="C3621"/>
  <c r="AX3620"/>
  <c r="G3620"/>
  <c r="D3620"/>
  <c r="C3620"/>
  <c r="AX3619"/>
  <c r="G3619"/>
  <c r="D3619"/>
  <c r="C3619"/>
  <c r="AX3618"/>
  <c r="G3618"/>
  <c r="D3618"/>
  <c r="C3618"/>
  <c r="AX3617"/>
  <c r="G3617"/>
  <c r="D3617"/>
  <c r="C3617"/>
  <c r="AX3616"/>
  <c r="G3616"/>
  <c r="D3616"/>
  <c r="C3616"/>
  <c r="AX3615"/>
  <c r="G3615"/>
  <c r="D3615"/>
  <c r="C3615"/>
  <c r="AX3614"/>
  <c r="G3614"/>
  <c r="D3614"/>
  <c r="C3614"/>
  <c r="AX3613"/>
  <c r="G3613"/>
  <c r="D3613"/>
  <c r="C3613"/>
  <c r="AX3612"/>
  <c r="G3612"/>
  <c r="D3612"/>
  <c r="C3612"/>
  <c r="AX3611"/>
  <c r="G3611"/>
  <c r="D3611"/>
  <c r="C3611"/>
  <c r="AX3610"/>
  <c r="G3610"/>
  <c r="D3610"/>
  <c r="C3610"/>
  <c r="AX3609"/>
  <c r="G3609"/>
  <c r="D3609"/>
  <c r="C3609"/>
  <c r="AX3608"/>
  <c r="G3608"/>
  <c r="D3608"/>
  <c r="C3608"/>
  <c r="AX3607"/>
  <c r="G3607"/>
  <c r="D3607"/>
  <c r="C3607"/>
  <c r="AX3606"/>
  <c r="G3606"/>
  <c r="D3606"/>
  <c r="C3606"/>
  <c r="AX3605"/>
  <c r="G3605"/>
  <c r="D3605"/>
  <c r="C3605"/>
  <c r="AX3604"/>
  <c r="G3604"/>
  <c r="D3604"/>
  <c r="C3604"/>
  <c r="AX3603"/>
  <c r="G3603"/>
  <c r="D3603"/>
  <c r="C3603"/>
  <c r="AX3602"/>
  <c r="G3602"/>
  <c r="D3602"/>
  <c r="C3602"/>
  <c r="AX3601"/>
  <c r="G3601"/>
  <c r="D3601"/>
  <c r="C3601"/>
  <c r="AX3600"/>
  <c r="G3600"/>
  <c r="D3600"/>
  <c r="C3600"/>
  <c r="AX3599"/>
  <c r="G3599"/>
  <c r="D3599"/>
  <c r="C3599"/>
  <c r="AX3598"/>
  <c r="G3598"/>
  <c r="D3598"/>
  <c r="C3598"/>
  <c r="AX3597"/>
  <c r="G3597"/>
  <c r="D3597"/>
  <c r="C3597"/>
  <c r="AX3596"/>
  <c r="G3596"/>
  <c r="D3596"/>
  <c r="C3596"/>
  <c r="AX3595"/>
  <c r="G3595"/>
  <c r="D3595"/>
  <c r="C3595"/>
  <c r="AX3594"/>
  <c r="G3594"/>
  <c r="D3594"/>
  <c r="C3594"/>
  <c r="AX3593"/>
  <c r="G3593"/>
  <c r="D3593"/>
  <c r="C3593"/>
  <c r="AX3592"/>
  <c r="G3592"/>
  <c r="D3592"/>
  <c r="C3592"/>
  <c r="AX3591"/>
  <c r="G3591"/>
  <c r="D3591"/>
  <c r="C3591"/>
  <c r="AX3590"/>
  <c r="G3590"/>
  <c r="D3590"/>
  <c r="C3590"/>
  <c r="AX3589"/>
  <c r="G3589"/>
  <c r="D3589"/>
  <c r="C3589"/>
  <c r="AX3588"/>
  <c r="G3588"/>
  <c r="D3588"/>
  <c r="C3588"/>
  <c r="AX3587"/>
  <c r="G3587"/>
  <c r="D3587"/>
  <c r="C3587"/>
  <c r="AX3586"/>
  <c r="G3586"/>
  <c r="D3586"/>
  <c r="C3586"/>
  <c r="AX3585"/>
  <c r="G3585"/>
  <c r="D3585"/>
  <c r="C3585"/>
  <c r="AX3584"/>
  <c r="G3584"/>
  <c r="D3584"/>
  <c r="C3584"/>
  <c r="AX3583"/>
  <c r="G3583"/>
  <c r="D3583"/>
  <c r="C3583"/>
  <c r="AX3582"/>
  <c r="G3582"/>
  <c r="D3582"/>
  <c r="C3582"/>
  <c r="AX3581"/>
  <c r="G3581"/>
  <c r="D3581"/>
  <c r="C3581"/>
  <c r="AX3580"/>
  <c r="G3580"/>
  <c r="D3580"/>
  <c r="C3580"/>
  <c r="AX3579"/>
  <c r="G3579"/>
  <c r="D3579"/>
  <c r="C3579"/>
  <c r="AX3578"/>
  <c r="G3578"/>
  <c r="D3578"/>
  <c r="C3578"/>
  <c r="AX3577"/>
  <c r="G3577"/>
  <c r="D3577"/>
  <c r="C3577"/>
  <c r="AX3576"/>
  <c r="G3576"/>
  <c r="D3576"/>
  <c r="C3576"/>
  <c r="AX3575"/>
  <c r="G3575"/>
  <c r="D3575"/>
  <c r="C3575"/>
  <c r="AX3574"/>
  <c r="G3574"/>
  <c r="D3574"/>
  <c r="C3574"/>
  <c r="AX3573"/>
  <c r="G3573"/>
  <c r="D3573"/>
  <c r="C3573"/>
  <c r="AX3572"/>
  <c r="G3572"/>
  <c r="D3572"/>
  <c r="C3572"/>
  <c r="AX3571"/>
  <c r="G3571"/>
  <c r="D3571"/>
  <c r="C3571"/>
  <c r="AX3570"/>
  <c r="G3570"/>
  <c r="D3570"/>
  <c r="C3570"/>
  <c r="AX3569"/>
  <c r="G3569"/>
  <c r="D3569"/>
  <c r="C3569"/>
  <c r="AX3568"/>
  <c r="G3568"/>
  <c r="D3568"/>
  <c r="C3568"/>
  <c r="AX3567"/>
  <c r="G3567"/>
  <c r="D3567"/>
  <c r="C3567"/>
  <c r="AX3566"/>
  <c r="G3566"/>
  <c r="D3566"/>
  <c r="C3566"/>
  <c r="AX3565"/>
  <c r="G3565"/>
  <c r="D3565"/>
  <c r="C3565"/>
  <c r="AX3564"/>
  <c r="G3564"/>
  <c r="D3564"/>
  <c r="C3564"/>
  <c r="AX3563"/>
  <c r="G3563"/>
  <c r="D3563"/>
  <c r="C3563"/>
  <c r="AX3562"/>
  <c r="G3562"/>
  <c r="D3562"/>
  <c r="C3562"/>
  <c r="AX3561"/>
  <c r="G3561"/>
  <c r="D3561"/>
  <c r="C3561"/>
  <c r="AX3560"/>
  <c r="G3560"/>
  <c r="D3560"/>
  <c r="C3560"/>
  <c r="AX3559"/>
  <c r="G3559"/>
  <c r="D3559"/>
  <c r="C3559"/>
  <c r="AX3558"/>
  <c r="G3558"/>
  <c r="D3558"/>
  <c r="C3558"/>
  <c r="AX3557"/>
  <c r="G3557"/>
  <c r="D3557"/>
  <c r="C3557"/>
  <c r="AX3556"/>
  <c r="G3556"/>
  <c r="D3556"/>
  <c r="C3556"/>
  <c r="AX3555"/>
  <c r="G3555"/>
  <c r="D3555"/>
  <c r="C3555"/>
  <c r="AX3554"/>
  <c r="G3554"/>
  <c r="D3554"/>
  <c r="C3554"/>
  <c r="AX3553"/>
  <c r="G3553"/>
  <c r="D3553"/>
  <c r="C3553"/>
  <c r="AX3552"/>
  <c r="G3552"/>
  <c r="D3552"/>
  <c r="C3552"/>
  <c r="AX3551"/>
  <c r="G3551"/>
  <c r="D3551"/>
  <c r="C3551"/>
  <c r="AX3550"/>
  <c r="G3550"/>
  <c r="D3550"/>
  <c r="C3550"/>
  <c r="AX3549"/>
  <c r="G3549"/>
  <c r="D3549"/>
  <c r="C3549"/>
  <c r="AX3548"/>
  <c r="G3548"/>
  <c r="D3548"/>
  <c r="C3548"/>
  <c r="AX3547"/>
  <c r="G3547"/>
  <c r="D3547"/>
  <c r="C3547"/>
  <c r="AX3546"/>
  <c r="G3546"/>
  <c r="D3546"/>
  <c r="C3546"/>
  <c r="AX3545"/>
  <c r="G3545"/>
  <c r="D3545"/>
  <c r="C3545"/>
  <c r="AX3544"/>
  <c r="G3544"/>
  <c r="D3544"/>
  <c r="C3544"/>
  <c r="AX3543"/>
  <c r="G3543"/>
  <c r="D3543"/>
  <c r="C3543"/>
  <c r="AX3542"/>
  <c r="G3542"/>
  <c r="D3542"/>
  <c r="C3542"/>
  <c r="AX3541"/>
  <c r="G3541"/>
  <c r="D3541"/>
  <c r="C3541"/>
  <c r="AX3540"/>
  <c r="G3540"/>
  <c r="D3540"/>
  <c r="C3540"/>
  <c r="AX3539"/>
  <c r="G3539"/>
  <c r="D3539"/>
  <c r="C3539"/>
  <c r="AX3538"/>
  <c r="G3538"/>
  <c r="D3538"/>
  <c r="C3538"/>
  <c r="AX3537"/>
  <c r="G3537"/>
  <c r="D3537"/>
  <c r="C3537"/>
  <c r="AX3536"/>
  <c r="G3536"/>
  <c r="D3536"/>
  <c r="C3536"/>
  <c r="AX3535"/>
  <c r="G3535"/>
  <c r="D3535"/>
  <c r="C3535"/>
  <c r="AX3534"/>
  <c r="G3534"/>
  <c r="D3534"/>
  <c r="C3534"/>
  <c r="AX3533"/>
  <c r="G3533"/>
  <c r="D3533"/>
  <c r="C3533"/>
  <c r="AX3532"/>
  <c r="G3532"/>
  <c r="D3532"/>
  <c r="C3532"/>
  <c r="AX3531"/>
  <c r="G3531"/>
  <c r="D3531"/>
  <c r="C3531"/>
  <c r="AX3530"/>
  <c r="G3530"/>
  <c r="D3530"/>
  <c r="C3530"/>
  <c r="AX3529"/>
  <c r="G3529"/>
  <c r="D3529"/>
  <c r="C3529"/>
  <c r="AX3528"/>
  <c r="G3528"/>
  <c r="D3528"/>
  <c r="C3528"/>
  <c r="AX3527"/>
  <c r="G3527"/>
  <c r="D3527"/>
  <c r="C3527"/>
  <c r="AX3526"/>
  <c r="G3526"/>
  <c r="D3526"/>
  <c r="C3526"/>
  <c r="AX3525"/>
  <c r="G3525"/>
  <c r="D3525"/>
  <c r="C3525"/>
  <c r="AX3524"/>
  <c r="G3524"/>
  <c r="D3524"/>
  <c r="C3524"/>
  <c r="AX3523"/>
  <c r="G3523"/>
  <c r="D3523"/>
  <c r="C3523"/>
  <c r="AX3522"/>
  <c r="G3522"/>
  <c r="D3522"/>
  <c r="C3522"/>
  <c r="AX3521"/>
  <c r="G3521"/>
  <c r="D3521"/>
  <c r="C3521"/>
  <c r="AX3520"/>
  <c r="G3520"/>
  <c r="D3520"/>
  <c r="C3520"/>
  <c r="AX3519"/>
  <c r="G3519"/>
  <c r="D3519"/>
  <c r="C3519"/>
  <c r="AX3518"/>
  <c r="G3518"/>
  <c r="D3518"/>
  <c r="C3518"/>
  <c r="AX3517"/>
  <c r="G3517"/>
  <c r="D3517"/>
  <c r="C3517"/>
  <c r="AX3516"/>
  <c r="G3516"/>
  <c r="D3516"/>
  <c r="C3516"/>
  <c r="AX3515"/>
  <c r="G3515"/>
  <c r="D3515"/>
  <c r="C3515"/>
  <c r="AX3514"/>
  <c r="G3514"/>
  <c r="D3514"/>
  <c r="C3514"/>
  <c r="AX3513"/>
  <c r="G3513"/>
  <c r="D3513"/>
  <c r="C3513"/>
  <c r="AX3512"/>
  <c r="G3512"/>
  <c r="D3512"/>
  <c r="C3512"/>
  <c r="AX3511"/>
  <c r="G3511"/>
  <c r="D3511"/>
  <c r="C3511"/>
  <c r="AX3510"/>
  <c r="G3510"/>
  <c r="D3510"/>
  <c r="C3510"/>
  <c r="AX3509"/>
  <c r="G3509"/>
  <c r="D3509"/>
  <c r="C3509"/>
  <c r="AX3508"/>
  <c r="G3508"/>
  <c r="D3508"/>
  <c r="C3508"/>
  <c r="AX3507"/>
  <c r="G3507"/>
  <c r="D3507"/>
  <c r="C3507"/>
  <c r="AX3506"/>
  <c r="G3506"/>
  <c r="D3506"/>
  <c r="C3506"/>
  <c r="AX3505"/>
  <c r="G3505"/>
  <c r="D3505"/>
  <c r="C3505"/>
  <c r="AX3504"/>
  <c r="G3504"/>
  <c r="D3504"/>
  <c r="C3504"/>
  <c r="AX3503"/>
  <c r="G3503"/>
  <c r="D3503"/>
  <c r="C3503"/>
  <c r="AX3502"/>
  <c r="G3502"/>
  <c r="D3502"/>
  <c r="C3502"/>
  <c r="AX3501"/>
  <c r="G3501"/>
  <c r="D3501"/>
  <c r="C3501"/>
  <c r="AX3500"/>
  <c r="G3500"/>
  <c r="D3500"/>
  <c r="C3500"/>
  <c r="AX3499"/>
  <c r="G3499"/>
  <c r="D3499"/>
  <c r="C3499"/>
  <c r="AX3498"/>
  <c r="G3498"/>
  <c r="D3498"/>
  <c r="C3498"/>
  <c r="AX3497"/>
  <c r="G3497"/>
  <c r="D3497"/>
  <c r="C3497"/>
  <c r="AX3496"/>
  <c r="G3496"/>
  <c r="D3496"/>
  <c r="C3496"/>
  <c r="AX3495"/>
  <c r="G3495"/>
  <c r="D3495"/>
  <c r="C3495"/>
  <c r="AX3494"/>
  <c r="G3494"/>
  <c r="D3494"/>
  <c r="C3494"/>
  <c r="AX3493"/>
  <c r="G3493"/>
  <c r="D3493"/>
  <c r="C3493"/>
  <c r="AX3492"/>
  <c r="G3492"/>
  <c r="D3492"/>
  <c r="C3492"/>
  <c r="AX3491"/>
  <c r="G3491"/>
  <c r="D3491"/>
  <c r="C3491"/>
  <c r="AX3490"/>
  <c r="G3490"/>
  <c r="D3490"/>
  <c r="C3490"/>
  <c r="AX3489"/>
  <c r="G3489"/>
  <c r="D3489"/>
  <c r="C3489"/>
  <c r="AX3488"/>
  <c r="G3488"/>
  <c r="D3488"/>
  <c r="C3488"/>
  <c r="AX3487"/>
  <c r="G3487"/>
  <c r="D3487"/>
  <c r="C3487"/>
  <c r="AX3486"/>
  <c r="G3486"/>
  <c r="D3486"/>
  <c r="C3486"/>
  <c r="AX3485"/>
  <c r="G3485"/>
  <c r="D3485"/>
  <c r="C3485"/>
  <c r="AX3484"/>
  <c r="G3484"/>
  <c r="D3484"/>
  <c r="C3484"/>
  <c r="AX3483"/>
  <c r="G3483"/>
  <c r="D3483"/>
  <c r="C3483"/>
  <c r="AX3482"/>
  <c r="G3482"/>
  <c r="D3482"/>
  <c r="C3482"/>
  <c r="AX3481"/>
  <c r="G3481"/>
  <c r="D3481"/>
  <c r="C3481"/>
  <c r="AX3480"/>
  <c r="G3480"/>
  <c r="D3480"/>
  <c r="C3480"/>
  <c r="AX3479"/>
  <c r="G3479"/>
  <c r="D3479"/>
  <c r="C3479"/>
  <c r="AX3478"/>
  <c r="G3478"/>
  <c r="D3478"/>
  <c r="C3478"/>
  <c r="AX3477"/>
  <c r="G3477"/>
  <c r="D3477"/>
  <c r="C3477"/>
  <c r="AX3476"/>
  <c r="G3476"/>
  <c r="D3476"/>
  <c r="C3476"/>
  <c r="AX3475"/>
  <c r="G3475"/>
  <c r="D3475"/>
  <c r="C3475"/>
  <c r="AX3474"/>
  <c r="G3474"/>
  <c r="D3474"/>
  <c r="C3474"/>
  <c r="AX3473"/>
  <c r="G3473"/>
  <c r="D3473"/>
  <c r="C3473"/>
  <c r="AX3472"/>
  <c r="G3472"/>
  <c r="D3472"/>
  <c r="C3472"/>
  <c r="AX3471"/>
  <c r="G3471"/>
  <c r="D3471"/>
  <c r="C3471"/>
  <c r="AX3470"/>
  <c r="G3470"/>
  <c r="D3470"/>
  <c r="C3470"/>
  <c r="AX3469"/>
  <c r="G3469"/>
  <c r="D3469"/>
  <c r="C3469"/>
  <c r="AX3468"/>
  <c r="G3468"/>
  <c r="D3468"/>
  <c r="C3468"/>
  <c r="AX3467"/>
  <c r="G3467"/>
  <c r="D3467"/>
  <c r="C3467"/>
  <c r="AX3466"/>
  <c r="G3466"/>
  <c r="D3466"/>
  <c r="C3466"/>
  <c r="AX3465"/>
  <c r="G3465"/>
  <c r="D3465"/>
  <c r="C3465"/>
  <c r="AX3464"/>
  <c r="G3464"/>
  <c r="D3464"/>
  <c r="C3464"/>
  <c r="AX3463"/>
  <c r="G3463"/>
  <c r="D3463"/>
  <c r="C3463"/>
  <c r="AX3462"/>
  <c r="G3462"/>
  <c r="D3462"/>
  <c r="C3462"/>
  <c r="AX3461"/>
  <c r="G3461"/>
  <c r="D3461"/>
  <c r="C3461"/>
  <c r="AX3460"/>
  <c r="G3460"/>
  <c r="D3460"/>
  <c r="C3460"/>
  <c r="AX3459"/>
  <c r="G3459"/>
  <c r="D3459"/>
  <c r="C3459"/>
  <c r="AX3458"/>
  <c r="G3458"/>
  <c r="D3458"/>
  <c r="C3458"/>
  <c r="AX3457"/>
  <c r="G3457"/>
  <c r="D3457"/>
  <c r="C3457"/>
  <c r="AX3456"/>
  <c r="G3456"/>
  <c r="D3456"/>
  <c r="C3456"/>
  <c r="AX3455"/>
  <c r="G3455"/>
  <c r="D3455"/>
  <c r="C3455"/>
  <c r="AX3454"/>
  <c r="G3454"/>
  <c r="D3454"/>
  <c r="C3454"/>
  <c r="AX3453"/>
  <c r="G3453"/>
  <c r="D3453"/>
  <c r="C3453"/>
  <c r="AX3452"/>
  <c r="G3452"/>
  <c r="D3452"/>
  <c r="C3452"/>
  <c r="AX3451"/>
  <c r="G3451"/>
  <c r="D3451"/>
  <c r="C3451"/>
  <c r="AX3450"/>
  <c r="G3450"/>
  <c r="D3450"/>
  <c r="C3450"/>
  <c r="AX3449"/>
  <c r="G3449"/>
  <c r="D3449"/>
  <c r="C3449"/>
  <c r="AX3448"/>
  <c r="G3448"/>
  <c r="D3448"/>
  <c r="C3448"/>
  <c r="AX3447"/>
  <c r="G3447"/>
  <c r="D3447"/>
  <c r="C3447"/>
  <c r="AX3446"/>
  <c r="G3446"/>
  <c r="D3446"/>
  <c r="C3446"/>
  <c r="AX3445"/>
  <c r="G3445"/>
  <c r="D3445"/>
  <c r="C3445"/>
  <c r="AX3444"/>
  <c r="G3444"/>
  <c r="D3444"/>
  <c r="C3444"/>
  <c r="AX3443"/>
  <c r="G3443"/>
  <c r="D3443"/>
  <c r="C3443"/>
  <c r="AX3442"/>
  <c r="G3442"/>
  <c r="D3442"/>
  <c r="C3442"/>
  <c r="AX3441"/>
  <c r="G3441"/>
  <c r="D3441"/>
  <c r="C3441"/>
  <c r="AX3440"/>
  <c r="G3440"/>
  <c r="D3440"/>
  <c r="C3440"/>
  <c r="AX3439"/>
  <c r="G3439"/>
  <c r="D3439"/>
  <c r="C3439"/>
  <c r="AX3438"/>
  <c r="G3438"/>
  <c r="D3438"/>
  <c r="C3438"/>
  <c r="AX3437"/>
  <c r="G3437"/>
  <c r="D3437"/>
  <c r="C3437"/>
  <c r="AX3436"/>
  <c r="G3436"/>
  <c r="D3436"/>
  <c r="C3436"/>
  <c r="AX3435"/>
  <c r="G3435"/>
  <c r="D3435"/>
  <c r="C3435"/>
  <c r="AX3434"/>
  <c r="G3434"/>
  <c r="D3434"/>
  <c r="C3434"/>
  <c r="AX3433"/>
  <c r="G3433"/>
  <c r="D3433"/>
  <c r="C3433"/>
  <c r="AX3432"/>
  <c r="G3432"/>
  <c r="D3432"/>
  <c r="C3432"/>
  <c r="AX3431"/>
  <c r="G3431"/>
  <c r="D3431"/>
  <c r="C3431"/>
  <c r="AX3430"/>
  <c r="G3430"/>
  <c r="D3430"/>
  <c r="C3430"/>
  <c r="AX3429"/>
  <c r="G3429"/>
  <c r="D3429"/>
  <c r="C3429"/>
  <c r="AX3428"/>
  <c r="G3428"/>
  <c r="D3428"/>
  <c r="C3428"/>
  <c r="AX3427"/>
  <c r="G3427"/>
  <c r="D3427"/>
  <c r="C3427"/>
  <c r="AX3426"/>
  <c r="G3426"/>
  <c r="D3426"/>
  <c r="C3426"/>
  <c r="AX3425"/>
  <c r="G3425"/>
  <c r="D3425"/>
  <c r="C3425"/>
  <c r="AX3424"/>
  <c r="G3424"/>
  <c r="D3424"/>
  <c r="C3424"/>
  <c r="AX3423"/>
  <c r="G3423"/>
  <c r="D3423"/>
  <c r="C3423"/>
  <c r="AX3422"/>
  <c r="G3422"/>
  <c r="D3422"/>
  <c r="C3422"/>
  <c r="AX3421"/>
  <c r="G3421"/>
  <c r="D3421"/>
  <c r="C3421"/>
  <c r="AX3420"/>
  <c r="G3420"/>
  <c r="D3420"/>
  <c r="C3420"/>
  <c r="AX3419"/>
  <c r="G3419"/>
  <c r="D3419"/>
  <c r="C3419"/>
  <c r="AX3418"/>
  <c r="G3418"/>
  <c r="D3418"/>
  <c r="C3418"/>
  <c r="AX3417"/>
  <c r="G3417"/>
  <c r="D3417"/>
  <c r="C3417"/>
  <c r="AX3416"/>
  <c r="G3416"/>
  <c r="D3416"/>
  <c r="C3416"/>
  <c r="AX3415"/>
  <c r="G3415"/>
  <c r="D3415"/>
  <c r="C3415"/>
  <c r="AX3414"/>
  <c r="G3414"/>
  <c r="D3414"/>
  <c r="C3414"/>
  <c r="AX3413"/>
  <c r="G3413"/>
  <c r="D3413"/>
  <c r="C3413"/>
  <c r="AX3412"/>
  <c r="G3412"/>
  <c r="D3412"/>
  <c r="C3412"/>
  <c r="AX3411"/>
  <c r="G3411"/>
  <c r="D3411"/>
  <c r="C3411"/>
  <c r="AX3410"/>
  <c r="G3410"/>
  <c r="D3410"/>
  <c r="C3410"/>
  <c r="AX3409"/>
  <c r="G3409"/>
  <c r="D3409"/>
  <c r="C3409"/>
  <c r="AX3408"/>
  <c r="G3408"/>
  <c r="D3408"/>
  <c r="C3408"/>
  <c r="AX3407"/>
  <c r="G3407"/>
  <c r="D3407"/>
  <c r="C3407"/>
  <c r="AX3406"/>
  <c r="G3406"/>
  <c r="D3406"/>
  <c r="C3406"/>
  <c r="AX3405"/>
  <c r="G3405"/>
  <c r="D3405"/>
  <c r="C3405"/>
  <c r="AX3404"/>
  <c r="G3404"/>
  <c r="D3404"/>
  <c r="C3404"/>
  <c r="AX3403"/>
  <c r="G3403"/>
  <c r="D3403"/>
  <c r="C3403"/>
  <c r="AX3402"/>
  <c r="G3402"/>
  <c r="D3402"/>
  <c r="C3402"/>
  <c r="AX3401"/>
  <c r="G3401"/>
  <c r="D3401"/>
  <c r="C3401"/>
  <c r="AX3400"/>
  <c r="G3400"/>
  <c r="D3400"/>
  <c r="C3400"/>
  <c r="AX3399"/>
  <c r="G3399"/>
  <c r="D3399"/>
  <c r="C3399"/>
  <c r="AX3398"/>
  <c r="G3398"/>
  <c r="D3398"/>
  <c r="C3398"/>
  <c r="AX3397"/>
  <c r="G3397"/>
  <c r="D3397"/>
  <c r="C3397"/>
  <c r="AX3396"/>
  <c r="G3396"/>
  <c r="D3396"/>
  <c r="C3396"/>
  <c r="AX3395"/>
  <c r="G3395"/>
  <c r="D3395"/>
  <c r="C3395"/>
  <c r="AX3394"/>
  <c r="G3394"/>
  <c r="D3394"/>
  <c r="C3394"/>
  <c r="AX3393"/>
  <c r="G3393"/>
  <c r="D3393"/>
  <c r="C3393"/>
  <c r="AX3392"/>
  <c r="G3392"/>
  <c r="D3392"/>
  <c r="C3392"/>
  <c r="AX3391"/>
  <c r="G3391"/>
  <c r="D3391"/>
  <c r="C3391"/>
  <c r="AX3390"/>
  <c r="G3390"/>
  <c r="D3390"/>
  <c r="C3390"/>
  <c r="AX3389"/>
  <c r="G3389"/>
  <c r="D3389"/>
  <c r="C3389"/>
  <c r="AX3388"/>
  <c r="G3388"/>
  <c r="D3388"/>
  <c r="C3388"/>
  <c r="AX3387"/>
  <c r="G3387"/>
  <c r="D3387"/>
  <c r="C3387"/>
  <c r="AX3386"/>
  <c r="G3386"/>
  <c r="D3386"/>
  <c r="C3386"/>
  <c r="AX3385"/>
  <c r="G3385"/>
  <c r="D3385"/>
  <c r="C3385"/>
  <c r="AX3384"/>
  <c r="G3384"/>
  <c r="D3384"/>
  <c r="C3384"/>
  <c r="AX3383"/>
  <c r="G3383"/>
  <c r="D3383"/>
  <c r="C3383"/>
  <c r="AX3382"/>
  <c r="G3382"/>
  <c r="D3382"/>
  <c r="C3382"/>
  <c r="AX3381"/>
  <c r="G3381"/>
  <c r="D3381"/>
  <c r="C3381"/>
  <c r="AX3380"/>
  <c r="G3380"/>
  <c r="D3380"/>
  <c r="C3380"/>
  <c r="AX3379"/>
  <c r="G3379"/>
  <c r="D3379"/>
  <c r="C3379"/>
  <c r="AX3378"/>
  <c r="G3378"/>
  <c r="D3378"/>
  <c r="C3378"/>
  <c r="AX3377"/>
  <c r="G3377"/>
  <c r="D3377"/>
  <c r="C3377"/>
  <c r="AX3376"/>
  <c r="G3376"/>
  <c r="D3376"/>
  <c r="C3376"/>
  <c r="AX3375"/>
  <c r="G3375"/>
  <c r="D3375"/>
  <c r="C3375"/>
  <c r="AX3374"/>
  <c r="G3374"/>
  <c r="D3374"/>
  <c r="C3374"/>
  <c r="AX3373"/>
  <c r="G3373"/>
  <c r="D3373"/>
  <c r="C3373"/>
  <c r="AX3372"/>
  <c r="G3372"/>
  <c r="D3372"/>
  <c r="C3372"/>
  <c r="AX3371"/>
  <c r="G3371"/>
  <c r="D3371"/>
  <c r="C3371"/>
  <c r="AX3370"/>
  <c r="G3370"/>
  <c r="D3370"/>
  <c r="C3370"/>
  <c r="AX3369"/>
  <c r="G3369"/>
  <c r="D3369"/>
  <c r="C3369"/>
  <c r="AX3368"/>
  <c r="G3368"/>
  <c r="D3368"/>
  <c r="C3368"/>
  <c r="AX3367"/>
  <c r="G3367"/>
  <c r="D3367"/>
  <c r="C3367"/>
  <c r="AX3366"/>
  <c r="G3366"/>
  <c r="D3366"/>
  <c r="C3366"/>
  <c r="AX3365"/>
  <c r="G3365"/>
  <c r="D3365"/>
  <c r="C3365"/>
  <c r="AX3364"/>
  <c r="G3364"/>
  <c r="D3364"/>
  <c r="C3364"/>
  <c r="AX3363"/>
  <c r="G3363"/>
  <c r="D3363"/>
  <c r="C3363"/>
  <c r="AX3362"/>
  <c r="G3362"/>
  <c r="D3362"/>
  <c r="C3362"/>
  <c r="AX3361"/>
  <c r="G3361"/>
  <c r="D3361"/>
  <c r="C3361"/>
  <c r="AX3360"/>
  <c r="G3360"/>
  <c r="D3360"/>
  <c r="C3360"/>
  <c r="AX3359"/>
  <c r="G3359"/>
  <c r="D3359"/>
  <c r="C3359"/>
  <c r="AX3358"/>
  <c r="G3358"/>
  <c r="D3358"/>
  <c r="C3358"/>
  <c r="AX3357"/>
  <c r="G3357"/>
  <c r="D3357"/>
  <c r="C3357"/>
  <c r="AX3356"/>
  <c r="G3356"/>
  <c r="D3356"/>
  <c r="C3356"/>
  <c r="AX3355"/>
  <c r="G3355"/>
  <c r="D3355"/>
  <c r="C3355"/>
  <c r="AX3354"/>
  <c r="G3354"/>
  <c r="D3354"/>
  <c r="C3354"/>
  <c r="AX3353"/>
  <c r="G3353"/>
  <c r="D3353"/>
  <c r="C3353"/>
  <c r="AX3352"/>
  <c r="G3352"/>
  <c r="D3352"/>
  <c r="C3352"/>
  <c r="AX3351"/>
  <c r="G3351"/>
  <c r="D3351"/>
  <c r="C3351"/>
  <c r="AX3350"/>
  <c r="G3350"/>
  <c r="D3350"/>
  <c r="C3350"/>
  <c r="AX3349"/>
  <c r="G3349"/>
  <c r="D3349"/>
  <c r="C3349"/>
  <c r="AX3348"/>
  <c r="G3348"/>
  <c r="D3348"/>
  <c r="C3348"/>
  <c r="AX3347"/>
  <c r="G3347"/>
  <c r="D3347"/>
  <c r="C3347"/>
  <c r="AX3346"/>
  <c r="G3346"/>
  <c r="D3346"/>
  <c r="C3346"/>
  <c r="AX3345"/>
  <c r="G3345"/>
  <c r="D3345"/>
  <c r="C3345"/>
  <c r="AX3344"/>
  <c r="G3344"/>
  <c r="D3344"/>
  <c r="C3344"/>
  <c r="AX3343"/>
  <c r="G3343"/>
  <c r="D3343"/>
  <c r="C3343"/>
  <c r="AX3342"/>
  <c r="G3342"/>
  <c r="D3342"/>
  <c r="C3342"/>
  <c r="AX3341"/>
  <c r="G3341"/>
  <c r="D3341"/>
  <c r="C3341"/>
  <c r="AX3340"/>
  <c r="G3340"/>
  <c r="D3340"/>
  <c r="C3340"/>
  <c r="AX3339"/>
  <c r="G3339"/>
  <c r="D3339"/>
  <c r="C3339"/>
  <c r="AX3338"/>
  <c r="G3338"/>
  <c r="D3338"/>
  <c r="C3338"/>
  <c r="AX3337"/>
  <c r="G3337"/>
  <c r="D3337"/>
  <c r="C3337"/>
  <c r="AX3336"/>
  <c r="G3336"/>
  <c r="D3336"/>
  <c r="C3336"/>
  <c r="AX3335"/>
  <c r="G3335"/>
  <c r="D3335"/>
  <c r="C3335"/>
  <c r="AX3334"/>
  <c r="G3334"/>
  <c r="D3334"/>
  <c r="C3334"/>
  <c r="AX3333"/>
  <c r="G3333"/>
  <c r="D3333"/>
  <c r="C3333"/>
  <c r="AX3332"/>
  <c r="G3332"/>
  <c r="D3332"/>
  <c r="C3332"/>
  <c r="AX3331"/>
  <c r="G3331"/>
  <c r="D3331"/>
  <c r="C3331"/>
  <c r="AX3330"/>
  <c r="G3330"/>
  <c r="D3330"/>
  <c r="C3330"/>
  <c r="AX3329"/>
  <c r="G3329"/>
  <c r="D3329"/>
  <c r="C3329"/>
  <c r="AX3328"/>
  <c r="G3328"/>
  <c r="D3328"/>
  <c r="C3328"/>
  <c r="AX3327"/>
  <c r="G3327"/>
  <c r="D3327"/>
  <c r="C3327"/>
  <c r="AX3326"/>
  <c r="G3326"/>
  <c r="D3326"/>
  <c r="C3326"/>
  <c r="AX3325"/>
  <c r="G3325"/>
  <c r="D3325"/>
  <c r="C3325"/>
  <c r="AX3324"/>
  <c r="G3324"/>
  <c r="D3324"/>
  <c r="C3324"/>
  <c r="AX3323"/>
  <c r="G3323"/>
  <c r="D3323"/>
  <c r="C3323"/>
  <c r="AX3322"/>
  <c r="G3322"/>
  <c r="D3322"/>
  <c r="C3322"/>
  <c r="AX3321"/>
  <c r="G3321"/>
  <c r="D3321"/>
  <c r="C3321"/>
  <c r="AX3320"/>
  <c r="G3320"/>
  <c r="D3320"/>
  <c r="C3320"/>
  <c r="AX3319"/>
  <c r="G3319"/>
  <c r="D3319"/>
  <c r="C3319"/>
  <c r="AX3318"/>
  <c r="G3318"/>
  <c r="D3318"/>
  <c r="C3318"/>
  <c r="AX3317"/>
  <c r="G3317"/>
  <c r="D3317"/>
  <c r="C3317"/>
  <c r="AX3316"/>
  <c r="G3316"/>
  <c r="D3316"/>
  <c r="C3316"/>
  <c r="AX3315"/>
  <c r="G3315"/>
  <c r="D3315"/>
  <c r="C3315"/>
  <c r="AX3314"/>
  <c r="G3314"/>
  <c r="D3314"/>
  <c r="C3314"/>
  <c r="AX3313"/>
  <c r="G3313"/>
  <c r="D3313"/>
  <c r="C3313"/>
  <c r="AX3312"/>
  <c r="G3312"/>
  <c r="D3312"/>
  <c r="C3312"/>
  <c r="AX3311"/>
  <c r="G3311"/>
  <c r="D3311"/>
  <c r="C3311"/>
  <c r="AX3310"/>
  <c r="G3310"/>
  <c r="D3310"/>
  <c r="C3310"/>
  <c r="AX3309"/>
  <c r="G3309"/>
  <c r="D3309"/>
  <c r="C3309"/>
  <c r="AX3308"/>
  <c r="G3308"/>
  <c r="D3308"/>
  <c r="C3308"/>
  <c r="AX3307"/>
  <c r="G3307"/>
  <c r="D3307"/>
  <c r="C3307"/>
  <c r="AX3306"/>
  <c r="G3306"/>
  <c r="D3306"/>
  <c r="C3306"/>
  <c r="AX3305"/>
  <c r="G3305"/>
  <c r="D3305"/>
  <c r="C3305"/>
  <c r="AX3304"/>
  <c r="G3304"/>
  <c r="D3304"/>
  <c r="C3304"/>
  <c r="AX3303"/>
  <c r="G3303"/>
  <c r="D3303"/>
  <c r="C3303"/>
  <c r="AX3302"/>
  <c r="G3302"/>
  <c r="D3302"/>
  <c r="C3302"/>
  <c r="AX3301"/>
  <c r="G3301"/>
  <c r="D3301"/>
  <c r="C3301"/>
  <c r="AX3300"/>
  <c r="G3300"/>
  <c r="D3300"/>
  <c r="C3300"/>
  <c r="AX3299"/>
  <c r="G3299"/>
  <c r="D3299"/>
  <c r="C3299"/>
  <c r="AX3298"/>
  <c r="G3298"/>
  <c r="D3298"/>
  <c r="C3298"/>
  <c r="AX3297"/>
  <c r="G3297"/>
  <c r="D3297"/>
  <c r="C3297"/>
  <c r="AX3296"/>
  <c r="G3296"/>
  <c r="D3296"/>
  <c r="C3296"/>
  <c r="AX3295"/>
  <c r="G3295"/>
  <c r="D3295"/>
  <c r="C3295"/>
  <c r="AX3294"/>
  <c r="G3294"/>
  <c r="D3294"/>
  <c r="C3294"/>
  <c r="AX3293"/>
  <c r="G3293"/>
  <c r="D3293"/>
  <c r="C3293"/>
  <c r="AX3292"/>
  <c r="G3292"/>
  <c r="D3292"/>
  <c r="C3292"/>
  <c r="AX3291"/>
  <c r="G3291"/>
  <c r="D3291"/>
  <c r="C3291"/>
  <c r="AX3290"/>
  <c r="G3290"/>
  <c r="D3290"/>
  <c r="C3290"/>
  <c r="AX3289"/>
  <c r="G3289"/>
  <c r="D3289"/>
  <c r="C3289"/>
  <c r="AX3288"/>
  <c r="G3288"/>
  <c r="D3288"/>
  <c r="C3288"/>
  <c r="AX3287"/>
  <c r="G3287"/>
  <c r="D3287"/>
  <c r="C3287"/>
  <c r="AX3286"/>
  <c r="G3286"/>
  <c r="D3286"/>
  <c r="C3286"/>
  <c r="AX3285"/>
  <c r="G3285"/>
  <c r="D3285"/>
  <c r="C3285"/>
  <c r="AX3284"/>
  <c r="G3284"/>
  <c r="D3284"/>
  <c r="C3284"/>
  <c r="AX3283"/>
  <c r="G3283"/>
  <c r="D3283"/>
  <c r="C3283"/>
  <c r="AX3282"/>
  <c r="G3282"/>
  <c r="D3282"/>
  <c r="C3282"/>
  <c r="AX3281"/>
  <c r="G3281"/>
  <c r="D3281"/>
  <c r="C3281"/>
  <c r="AX3280"/>
  <c r="G3280"/>
  <c r="D3280"/>
  <c r="C3280"/>
  <c r="AX3279"/>
  <c r="G3279"/>
  <c r="D3279"/>
  <c r="C3279"/>
  <c r="AX3278"/>
  <c r="G3278"/>
  <c r="D3278"/>
  <c r="C3278"/>
  <c r="AX3277"/>
  <c r="G3277"/>
  <c r="D3277"/>
  <c r="C3277"/>
  <c r="AX3276"/>
  <c r="G3276"/>
  <c r="D3276"/>
  <c r="C3276"/>
  <c r="AX3275"/>
  <c r="G3275"/>
  <c r="D3275"/>
  <c r="C3275"/>
  <c r="AX3274"/>
  <c r="G3274"/>
  <c r="D3274"/>
  <c r="C3274"/>
  <c r="AX3273"/>
  <c r="G3273"/>
  <c r="D3273"/>
  <c r="C3273"/>
  <c r="AX3272"/>
  <c r="G3272"/>
  <c r="D3272"/>
  <c r="C3272"/>
  <c r="AX3271"/>
  <c r="G3271"/>
  <c r="D3271"/>
  <c r="C3271"/>
  <c r="AX3270"/>
  <c r="G3270"/>
  <c r="D3270"/>
  <c r="C3270"/>
  <c r="AX3269"/>
  <c r="G3269"/>
  <c r="D3269"/>
  <c r="C3269"/>
  <c r="AX3268"/>
  <c r="G3268"/>
  <c r="D3268"/>
  <c r="C3268"/>
  <c r="AX3267"/>
  <c r="G3267"/>
  <c r="D3267"/>
  <c r="C3267"/>
  <c r="AX3266"/>
  <c r="G3266"/>
  <c r="D3266"/>
  <c r="C3266"/>
  <c r="AX3265"/>
  <c r="G3265"/>
  <c r="D3265"/>
  <c r="C3265"/>
  <c r="AX3264"/>
  <c r="G3264"/>
  <c r="D3264"/>
  <c r="C3264"/>
  <c r="AX3263"/>
  <c r="G3263"/>
  <c r="D3263"/>
  <c r="C3263"/>
  <c r="AX3262"/>
  <c r="G3262"/>
  <c r="D3262"/>
  <c r="C3262"/>
  <c r="AX3261"/>
  <c r="G3261"/>
  <c r="D3261"/>
  <c r="C3261"/>
  <c r="AX3260"/>
  <c r="G3260"/>
  <c r="D3260"/>
  <c r="C3260"/>
  <c r="AX3259"/>
  <c r="G3259"/>
  <c r="D3259"/>
  <c r="C3259"/>
  <c r="AX3258"/>
  <c r="G3258"/>
  <c r="D3258"/>
  <c r="C3258"/>
  <c r="AX3257"/>
  <c r="G3257"/>
  <c r="D3257"/>
  <c r="C3257"/>
  <c r="AX3256"/>
  <c r="G3256"/>
  <c r="D3256"/>
  <c r="C3256"/>
  <c r="AX3255"/>
  <c r="G3255"/>
  <c r="D3255"/>
  <c r="C3255"/>
  <c r="AX3254"/>
  <c r="G3254"/>
  <c r="D3254"/>
  <c r="C3254"/>
  <c r="AX3253"/>
  <c r="G3253"/>
  <c r="D3253"/>
  <c r="C3253"/>
  <c r="AX3252"/>
  <c r="G3252"/>
  <c r="D3252"/>
  <c r="C3252"/>
  <c r="AX3251"/>
  <c r="G3251"/>
  <c r="D3251"/>
  <c r="C3251"/>
  <c r="AX3250"/>
  <c r="G3250"/>
  <c r="D3250"/>
  <c r="C3250"/>
  <c r="AX3249"/>
  <c r="G3249"/>
  <c r="D3249"/>
  <c r="C3249"/>
  <c r="AX3248"/>
  <c r="G3248"/>
  <c r="D3248"/>
  <c r="C3248"/>
  <c r="AX3247"/>
  <c r="G3247"/>
  <c r="D3247"/>
  <c r="C3247"/>
  <c r="AX3246"/>
  <c r="G3246"/>
  <c r="D3246"/>
  <c r="C3246"/>
  <c r="AX3245"/>
  <c r="G3245"/>
  <c r="D3245"/>
  <c r="C3245"/>
  <c r="AX3244"/>
  <c r="G3244"/>
  <c r="D3244"/>
  <c r="C3244"/>
  <c r="AX3243"/>
  <c r="G3243"/>
  <c r="D3243"/>
  <c r="C3243"/>
  <c r="AX3242"/>
  <c r="G3242"/>
  <c r="D3242"/>
  <c r="C3242"/>
  <c r="AX3241"/>
  <c r="G3241"/>
  <c r="D3241"/>
  <c r="C3241"/>
  <c r="AX3240"/>
  <c r="G3240"/>
  <c r="D3240"/>
  <c r="C3240"/>
  <c r="AX3239"/>
  <c r="G3239"/>
  <c r="D3239"/>
  <c r="C3239"/>
  <c r="AX3238"/>
  <c r="G3238"/>
  <c r="D3238"/>
  <c r="C3238"/>
  <c r="AX3237"/>
  <c r="G3237"/>
  <c r="D3237"/>
  <c r="C3237"/>
  <c r="AX3236"/>
  <c r="G3236"/>
  <c r="D3236"/>
  <c r="C3236"/>
  <c r="AX3235"/>
  <c r="G3235"/>
  <c r="D3235"/>
  <c r="C3235"/>
  <c r="AX3234"/>
  <c r="G3234"/>
  <c r="D3234"/>
  <c r="C3234"/>
  <c r="AX3233"/>
  <c r="G3233"/>
  <c r="D3233"/>
  <c r="C3233"/>
  <c r="AX3232"/>
  <c r="G3232"/>
  <c r="D3232"/>
  <c r="C3232"/>
  <c r="AX3231"/>
  <c r="G3231"/>
  <c r="D3231"/>
  <c r="C3231"/>
  <c r="AX3230"/>
  <c r="G3230"/>
  <c r="D3230"/>
  <c r="C3230"/>
  <c r="AX3229"/>
  <c r="G3229"/>
  <c r="D3229"/>
  <c r="C3229"/>
  <c r="AX3228"/>
  <c r="G3228"/>
  <c r="D3228"/>
  <c r="C3228"/>
  <c r="AX3227"/>
  <c r="G3227"/>
  <c r="D3227"/>
  <c r="C3227"/>
  <c r="AX3226"/>
  <c r="G3226"/>
  <c r="D3226"/>
  <c r="C3226"/>
  <c r="AX3225"/>
  <c r="G3225"/>
  <c r="D3225"/>
  <c r="C3225"/>
  <c r="AX3224"/>
  <c r="G3224"/>
  <c r="D3224"/>
  <c r="C3224"/>
  <c r="AX3223"/>
  <c r="G3223"/>
  <c r="D3223"/>
  <c r="C3223"/>
  <c r="AX3222"/>
  <c r="G3222"/>
  <c r="D3222"/>
  <c r="C3222"/>
  <c r="AX3221"/>
  <c r="G3221"/>
  <c r="D3221"/>
  <c r="C3221"/>
  <c r="AX3220"/>
  <c r="G3220"/>
  <c r="D3220"/>
  <c r="C3220"/>
  <c r="AX3219"/>
  <c r="G3219"/>
  <c r="D3219"/>
  <c r="C3219"/>
  <c r="AX3218"/>
  <c r="G3218"/>
  <c r="D3218"/>
  <c r="C3218"/>
  <c r="AX3217"/>
  <c r="G3217"/>
  <c r="D3217"/>
  <c r="C3217"/>
  <c r="AX3216"/>
  <c r="G3216"/>
  <c r="D3216"/>
  <c r="C3216"/>
  <c r="AX3215"/>
  <c r="G3215"/>
  <c r="D3215"/>
  <c r="C3215"/>
  <c r="AX3214"/>
  <c r="G3214"/>
  <c r="D3214"/>
  <c r="C3214"/>
  <c r="AX3213"/>
  <c r="G3213"/>
  <c r="D3213"/>
  <c r="C3213"/>
  <c r="AX3212"/>
  <c r="G3212"/>
  <c r="D3212"/>
  <c r="C3212"/>
  <c r="AX3211"/>
  <c r="G3211"/>
  <c r="D3211"/>
  <c r="C3211"/>
  <c r="AX3210"/>
  <c r="G3210"/>
  <c r="D3210"/>
  <c r="C3210"/>
  <c r="AX3209"/>
  <c r="G3209"/>
  <c r="D3209"/>
  <c r="C3209"/>
  <c r="AX3208"/>
  <c r="G3208"/>
  <c r="D3208"/>
  <c r="C3208"/>
  <c r="AX3207"/>
  <c r="G3207"/>
  <c r="D3207"/>
  <c r="C3207"/>
  <c r="AX3206"/>
  <c r="G3206"/>
  <c r="D3206"/>
  <c r="C3206"/>
  <c r="AX3205"/>
  <c r="G3205"/>
  <c r="D3205"/>
  <c r="C3205"/>
  <c r="AX3204"/>
  <c r="G3204"/>
  <c r="D3204"/>
  <c r="C3204"/>
  <c r="AX3203"/>
  <c r="G3203"/>
  <c r="D3203"/>
  <c r="C3203"/>
  <c r="AX3202"/>
  <c r="G3202"/>
  <c r="D3202"/>
  <c r="C3202"/>
  <c r="AX3201"/>
  <c r="G3201"/>
  <c r="D3201"/>
  <c r="C3201"/>
  <c r="AX3200"/>
  <c r="G3200"/>
  <c r="D3200"/>
  <c r="C3200"/>
  <c r="AX3199"/>
  <c r="G3199"/>
  <c r="D3199"/>
  <c r="C3199"/>
  <c r="AX3198"/>
  <c r="G3198"/>
  <c r="D3198"/>
  <c r="C3198"/>
  <c r="AX3197"/>
  <c r="G3197"/>
  <c r="D3197"/>
  <c r="C3197"/>
  <c r="AX3196"/>
  <c r="G3196"/>
  <c r="D3196"/>
  <c r="C3196"/>
  <c r="AX3195"/>
  <c r="G3195"/>
  <c r="D3195"/>
  <c r="C3195"/>
  <c r="AX3194"/>
  <c r="G3194"/>
  <c r="D3194"/>
  <c r="C3194"/>
  <c r="AX3193"/>
  <c r="G3193"/>
  <c r="D3193"/>
  <c r="C3193"/>
  <c r="AX3192"/>
  <c r="G3192"/>
  <c r="D3192"/>
  <c r="C3192"/>
  <c r="AX3191"/>
  <c r="G3191"/>
  <c r="D3191"/>
  <c r="C3191"/>
  <c r="AX3190"/>
  <c r="G3190"/>
  <c r="D3190"/>
  <c r="C3190"/>
  <c r="AX3189"/>
  <c r="G3189"/>
  <c r="D3189"/>
  <c r="C3189"/>
  <c r="AX3188"/>
  <c r="G3188"/>
  <c r="D3188"/>
  <c r="C3188"/>
  <c r="AX3187"/>
  <c r="G3187"/>
  <c r="D3187"/>
  <c r="C3187"/>
  <c r="AX3186"/>
  <c r="G3186"/>
  <c r="D3186"/>
  <c r="C3186"/>
  <c r="AX3185"/>
  <c r="G3185"/>
  <c r="D3185"/>
  <c r="C3185"/>
  <c r="AX3184"/>
  <c r="G3184"/>
  <c r="D3184"/>
  <c r="C3184"/>
  <c r="AX3183"/>
  <c r="G3183"/>
  <c r="D3183"/>
  <c r="C3183"/>
  <c r="AX3182"/>
  <c r="G3182"/>
  <c r="D3182"/>
  <c r="C3182"/>
  <c r="AX3181"/>
  <c r="G3181"/>
  <c r="D3181"/>
  <c r="C3181"/>
  <c r="AX3180"/>
  <c r="G3180"/>
  <c r="D3180"/>
  <c r="C3180"/>
  <c r="AX3179"/>
  <c r="G3179"/>
  <c r="D3179"/>
  <c r="C3179"/>
  <c r="AX3178"/>
  <c r="G3178"/>
  <c r="D3178"/>
  <c r="C3178"/>
  <c r="AX3177"/>
  <c r="G3177"/>
  <c r="D3177"/>
  <c r="C3177"/>
  <c r="AX3176"/>
  <c r="G3176"/>
  <c r="D3176"/>
  <c r="C3176"/>
  <c r="AX3175"/>
  <c r="G3175"/>
  <c r="D3175"/>
  <c r="C3175"/>
  <c r="AX3174"/>
  <c r="G3174"/>
  <c r="D3174"/>
  <c r="C3174"/>
  <c r="AX3173"/>
  <c r="G3173"/>
  <c r="D3173"/>
  <c r="C3173"/>
  <c r="AX3172"/>
  <c r="G3172"/>
  <c r="D3172"/>
  <c r="C3172"/>
  <c r="AX3171"/>
  <c r="G3171"/>
  <c r="D3171"/>
  <c r="C3171"/>
  <c r="AX3170"/>
  <c r="G3170"/>
  <c r="D3170"/>
  <c r="C3170"/>
  <c r="AX3169"/>
  <c r="G3169"/>
  <c r="D3169"/>
  <c r="C3169"/>
  <c r="AX3168"/>
  <c r="G3168"/>
  <c r="D3168"/>
  <c r="C3168"/>
  <c r="AX3167"/>
  <c r="G3167"/>
  <c r="D3167"/>
  <c r="C3167"/>
  <c r="AX3166"/>
  <c r="G3166"/>
  <c r="D3166"/>
  <c r="C3166"/>
  <c r="AX3165"/>
  <c r="G3165"/>
  <c r="D3165"/>
  <c r="C3165"/>
  <c r="AX3164"/>
  <c r="G3164"/>
  <c r="D3164"/>
  <c r="C3164"/>
  <c r="AX3163"/>
  <c r="G3163"/>
  <c r="D3163"/>
  <c r="C3163"/>
  <c r="AX3162"/>
  <c r="G3162"/>
  <c r="D3162"/>
  <c r="C3162"/>
  <c r="AX3161"/>
  <c r="G3161"/>
  <c r="D3161"/>
  <c r="C3161"/>
  <c r="AX3160"/>
  <c r="G3160"/>
  <c r="D3160"/>
  <c r="C3160"/>
  <c r="AX3159"/>
  <c r="G3159"/>
  <c r="D3159"/>
  <c r="C3159"/>
  <c r="AX3158"/>
  <c r="G3158"/>
  <c r="D3158"/>
  <c r="C3158"/>
  <c r="AX3157"/>
  <c r="G3157"/>
  <c r="D3157"/>
  <c r="C3157"/>
  <c r="AX3156"/>
  <c r="G3156"/>
  <c r="D3156"/>
  <c r="C3156"/>
  <c r="AX3155"/>
  <c r="G3155"/>
  <c r="D3155"/>
  <c r="C3155"/>
  <c r="AX3154"/>
  <c r="G3154"/>
  <c r="D3154"/>
  <c r="C3154"/>
  <c r="AX3153"/>
  <c r="G3153"/>
  <c r="D3153"/>
  <c r="C3153"/>
  <c r="AX3152"/>
  <c r="G3152"/>
  <c r="D3152"/>
  <c r="C3152"/>
  <c r="AX3151"/>
  <c r="G3151"/>
  <c r="D3151"/>
  <c r="C3151"/>
  <c r="AX3150"/>
  <c r="G3150"/>
  <c r="D3150"/>
  <c r="C3150"/>
  <c r="AX3149"/>
  <c r="G3149"/>
  <c r="D3149"/>
  <c r="C3149"/>
  <c r="AX3148"/>
  <c r="G3148"/>
  <c r="D3148"/>
  <c r="C3148"/>
  <c r="AX3147"/>
  <c r="G3147"/>
  <c r="D3147"/>
  <c r="C3147"/>
  <c r="AX3146"/>
  <c r="G3146"/>
  <c r="D3146"/>
  <c r="C3146"/>
  <c r="AX3145"/>
  <c r="G3145"/>
  <c r="D3145"/>
  <c r="C3145"/>
  <c r="AX3144"/>
  <c r="G3144"/>
  <c r="D3144"/>
  <c r="C3144"/>
  <c r="AX3143"/>
  <c r="G3143"/>
  <c r="D3143"/>
  <c r="C3143"/>
  <c r="AX3142"/>
  <c r="G3142"/>
  <c r="D3142"/>
  <c r="C3142"/>
  <c r="AX3141"/>
  <c r="G3141"/>
  <c r="D3141"/>
  <c r="C3141"/>
  <c r="AX3140"/>
  <c r="G3140"/>
  <c r="D3140"/>
  <c r="C3140"/>
  <c r="AX3139"/>
  <c r="G3139"/>
  <c r="D3139"/>
  <c r="C3139"/>
  <c r="AX3138"/>
  <c r="G3138"/>
  <c r="D3138"/>
  <c r="C3138"/>
  <c r="AX3137"/>
  <c r="G3137"/>
  <c r="D3137"/>
  <c r="C3137"/>
  <c r="AX3136"/>
  <c r="G3136"/>
  <c r="D3136"/>
  <c r="C3136"/>
  <c r="AX3135"/>
  <c r="G3135"/>
  <c r="D3135"/>
  <c r="C3135"/>
  <c r="AX3134"/>
  <c r="G3134"/>
  <c r="D3134"/>
  <c r="C3134"/>
  <c r="AX3133"/>
  <c r="G3133"/>
  <c r="D3133"/>
  <c r="C3133"/>
  <c r="AX3132"/>
  <c r="G3132"/>
  <c r="D3132"/>
  <c r="C3132"/>
  <c r="AX3131"/>
  <c r="G3131"/>
  <c r="D3131"/>
  <c r="C3131"/>
  <c r="AX3130"/>
  <c r="G3130"/>
  <c r="D3130"/>
  <c r="C3130"/>
  <c r="AX3129"/>
  <c r="G3129"/>
  <c r="D3129"/>
  <c r="C3129"/>
  <c r="AX3128"/>
  <c r="G3128"/>
  <c r="D3128"/>
  <c r="C3128"/>
  <c r="AX3127"/>
  <c r="G3127"/>
  <c r="D3127"/>
  <c r="C3127"/>
  <c r="AX3126"/>
  <c r="G3126"/>
  <c r="D3126"/>
  <c r="C3126"/>
  <c r="AX3125"/>
  <c r="G3125"/>
  <c r="D3125"/>
  <c r="C3125"/>
  <c r="AX3124"/>
  <c r="G3124"/>
  <c r="D3124"/>
  <c r="C3124"/>
  <c r="AX3123"/>
  <c r="G3123"/>
  <c r="D3123"/>
  <c r="C3123"/>
  <c r="AX3122"/>
  <c r="G3122"/>
  <c r="D3122"/>
  <c r="C3122"/>
  <c r="AX3121"/>
  <c r="G3121"/>
  <c r="D3121"/>
  <c r="C3121"/>
  <c r="AX3120"/>
  <c r="G3120"/>
  <c r="D3120"/>
  <c r="C3120"/>
  <c r="AX3119"/>
  <c r="G3119"/>
  <c r="D3119"/>
  <c r="C3119"/>
  <c r="AX3118"/>
  <c r="G3118"/>
  <c r="D3118"/>
  <c r="C3118"/>
  <c r="AX3117"/>
  <c r="G3117"/>
  <c r="D3117"/>
  <c r="C3117"/>
  <c r="AX3116"/>
  <c r="G3116"/>
  <c r="D3116"/>
  <c r="C3116"/>
  <c r="AX3115"/>
  <c r="G3115"/>
  <c r="D3115"/>
  <c r="C3115"/>
  <c r="AX3114"/>
  <c r="G3114"/>
  <c r="D3114"/>
  <c r="C3114"/>
  <c r="AX3113"/>
  <c r="G3113"/>
  <c r="D3113"/>
  <c r="C3113"/>
  <c r="AX3112"/>
  <c r="G3112"/>
  <c r="D3112"/>
  <c r="C3112"/>
  <c r="AX3111"/>
  <c r="G3111"/>
  <c r="D3111"/>
  <c r="C3111"/>
  <c r="AX3110"/>
  <c r="G3110"/>
  <c r="D3110"/>
  <c r="C3110"/>
  <c r="AX3109"/>
  <c r="G3109"/>
  <c r="D3109"/>
  <c r="C3109"/>
  <c r="AX3108"/>
  <c r="G3108"/>
  <c r="D3108"/>
  <c r="C3108"/>
  <c r="AX3107"/>
  <c r="G3107"/>
  <c r="D3107"/>
  <c r="C3107"/>
  <c r="AX3106"/>
  <c r="G3106"/>
  <c r="D3106"/>
  <c r="C3106"/>
  <c r="AX3105"/>
  <c r="G3105"/>
  <c r="D3105"/>
  <c r="C3105"/>
  <c r="AX3104"/>
  <c r="G3104"/>
  <c r="D3104"/>
  <c r="C3104"/>
  <c r="AX3103"/>
  <c r="G3103"/>
  <c r="D3103"/>
  <c r="C3103"/>
  <c r="AX3102"/>
  <c r="G3102"/>
  <c r="D3102"/>
  <c r="C3102"/>
  <c r="AX3101"/>
  <c r="G3101"/>
  <c r="D3101"/>
  <c r="C3101"/>
  <c r="AX3100"/>
  <c r="G3100"/>
  <c r="D3100"/>
  <c r="C3100"/>
  <c r="AX3099"/>
  <c r="G3099"/>
  <c r="D3099"/>
  <c r="C3099"/>
  <c r="AX3098"/>
  <c r="G3098"/>
  <c r="D3098"/>
  <c r="C3098"/>
  <c r="AX3097"/>
  <c r="G3097"/>
  <c r="D3097"/>
  <c r="C3097"/>
  <c r="AX3096"/>
  <c r="G3096"/>
  <c r="D3096"/>
  <c r="C3096"/>
  <c r="AX3095"/>
  <c r="G3095"/>
  <c r="D3095"/>
  <c r="C3095"/>
  <c r="AX3094"/>
  <c r="G3094"/>
  <c r="D3094"/>
  <c r="C3094"/>
  <c r="AX3093"/>
  <c r="G3093"/>
  <c r="D3093"/>
  <c r="C3093"/>
  <c r="AX3092"/>
  <c r="G3092"/>
  <c r="D3092"/>
  <c r="C3092"/>
  <c r="AX3091"/>
  <c r="G3091"/>
  <c r="D3091"/>
  <c r="C3091"/>
  <c r="AX3090"/>
  <c r="G3090"/>
  <c r="D3090"/>
  <c r="C3090"/>
  <c r="AX3089"/>
  <c r="G3089"/>
  <c r="D3089"/>
  <c r="C3089"/>
  <c r="AX3088"/>
  <c r="G3088"/>
  <c r="D3088"/>
  <c r="C3088"/>
  <c r="AX3087"/>
  <c r="G3087"/>
  <c r="D3087"/>
  <c r="C3087"/>
  <c r="AX3086"/>
  <c r="G3086"/>
  <c r="D3086"/>
  <c r="C3086"/>
  <c r="AX3085"/>
  <c r="G3085"/>
  <c r="D3085"/>
  <c r="C3085"/>
  <c r="AX3084"/>
  <c r="G3084"/>
  <c r="D3084"/>
  <c r="C3084"/>
  <c r="AX3083"/>
  <c r="G3083"/>
  <c r="D3083"/>
  <c r="C3083"/>
  <c r="AX3082"/>
  <c r="G3082"/>
  <c r="D3082"/>
  <c r="C3082"/>
  <c r="AX3081"/>
  <c r="G3081"/>
  <c r="D3081"/>
  <c r="C3081"/>
  <c r="AX3080"/>
  <c r="G3080"/>
  <c r="D3080"/>
  <c r="C3080"/>
  <c r="AX3079"/>
  <c r="G3079"/>
  <c r="D3079"/>
  <c r="C3079"/>
  <c r="AX3078"/>
  <c r="G3078"/>
  <c r="D3078"/>
  <c r="C3078"/>
  <c r="AX3077"/>
  <c r="G3077"/>
  <c r="D3077"/>
  <c r="C3077"/>
  <c r="AX3076"/>
  <c r="G3076"/>
  <c r="D3076"/>
  <c r="C3076"/>
  <c r="AX3075"/>
  <c r="G3075"/>
  <c r="D3075"/>
  <c r="C3075"/>
  <c r="AX3074"/>
  <c r="G3074"/>
  <c r="D3074"/>
  <c r="C3074"/>
  <c r="AX3073"/>
  <c r="G3073"/>
  <c r="D3073"/>
  <c r="C3073"/>
  <c r="AX3072"/>
  <c r="G3072"/>
  <c r="D3072"/>
  <c r="C3072"/>
  <c r="AX3071"/>
  <c r="G3071"/>
  <c r="D3071"/>
  <c r="C3071"/>
  <c r="AX3070"/>
  <c r="G3070"/>
  <c r="D3070"/>
  <c r="C3070"/>
  <c r="AX3069"/>
  <c r="G3069"/>
  <c r="D3069"/>
  <c r="C3069"/>
  <c r="AX3068"/>
  <c r="G3068"/>
  <c r="D3068"/>
  <c r="C3068"/>
  <c r="AX3067"/>
  <c r="G3067"/>
  <c r="D3067"/>
  <c r="C3067"/>
  <c r="AX3066"/>
  <c r="G3066"/>
  <c r="D3066"/>
  <c r="C3066"/>
  <c r="AX3065"/>
  <c r="G3065"/>
  <c r="D3065"/>
  <c r="C3065"/>
  <c r="AX3064"/>
  <c r="G3064"/>
  <c r="D3064"/>
  <c r="C3064"/>
  <c r="AX3063"/>
  <c r="G3063"/>
  <c r="D3063"/>
  <c r="C3063"/>
  <c r="AX3062"/>
  <c r="G3062"/>
  <c r="D3062"/>
  <c r="C3062"/>
  <c r="AX3061"/>
  <c r="G3061"/>
  <c r="D3061"/>
  <c r="C3061"/>
  <c r="AX3060"/>
  <c r="G3060"/>
  <c r="D3060"/>
  <c r="C3060"/>
  <c r="AX3059"/>
  <c r="G3059"/>
  <c r="D3059"/>
  <c r="C3059"/>
  <c r="AX3058"/>
  <c r="G3058"/>
  <c r="D3058"/>
  <c r="C3058"/>
  <c r="AX3057"/>
  <c r="G3057"/>
  <c r="D3057"/>
  <c r="C3057"/>
  <c r="AX3056"/>
  <c r="G3056"/>
  <c r="D3056"/>
  <c r="C3056"/>
  <c r="AX3055"/>
  <c r="G3055"/>
  <c r="D3055"/>
  <c r="C3055"/>
  <c r="AX3054"/>
  <c r="G3054"/>
  <c r="D3054"/>
  <c r="C3054"/>
  <c r="AX3053"/>
  <c r="G3053"/>
  <c r="D3053"/>
  <c r="C3053"/>
  <c r="AX3052"/>
  <c r="G3052"/>
  <c r="D3052"/>
  <c r="C3052"/>
  <c r="AX3051"/>
  <c r="G3051"/>
  <c r="D3051"/>
  <c r="C3051"/>
  <c r="AX3050"/>
  <c r="G3050"/>
  <c r="D3050"/>
  <c r="C3050"/>
  <c r="AX3049"/>
  <c r="G3049"/>
  <c r="D3049"/>
  <c r="C3049"/>
  <c r="AX3048"/>
  <c r="G3048"/>
  <c r="D3048"/>
  <c r="C3048"/>
  <c r="AX3047"/>
  <c r="G3047"/>
  <c r="D3047"/>
  <c r="C3047"/>
  <c r="AX3046"/>
  <c r="G3046"/>
  <c r="D3046"/>
  <c r="C3046"/>
  <c r="AX3045"/>
  <c r="G3045"/>
  <c r="D3045"/>
  <c r="C3045"/>
  <c r="AX3044"/>
  <c r="G3044"/>
  <c r="D3044"/>
  <c r="C3044"/>
  <c r="AX3043"/>
  <c r="G3043"/>
  <c r="D3043"/>
  <c r="C3043"/>
  <c r="AX3042"/>
  <c r="G3042"/>
  <c r="D3042"/>
  <c r="C3042"/>
  <c r="AX3041"/>
  <c r="G3041"/>
  <c r="D3041"/>
  <c r="C3041"/>
  <c r="AX3040"/>
  <c r="G3040"/>
  <c r="D3040"/>
  <c r="C3040"/>
  <c r="AX3039"/>
  <c r="G3039"/>
  <c r="D3039"/>
  <c r="C3039"/>
  <c r="AX3038"/>
  <c r="G3038"/>
  <c r="D3038"/>
  <c r="C3038"/>
  <c r="AX3037"/>
  <c r="G3037"/>
  <c r="D3037"/>
  <c r="C3037"/>
  <c r="AX3036"/>
  <c r="G3036"/>
  <c r="D3036"/>
  <c r="C3036"/>
  <c r="AX3035"/>
  <c r="G3035"/>
  <c r="D3035"/>
  <c r="C3035"/>
  <c r="AX3034"/>
  <c r="G3034"/>
  <c r="D3034"/>
  <c r="C3034"/>
  <c r="AX3033"/>
  <c r="G3033"/>
  <c r="D3033"/>
  <c r="C3033"/>
  <c r="AX3032"/>
  <c r="G3032"/>
  <c r="D3032"/>
  <c r="C3032"/>
  <c r="AX3031"/>
  <c r="G3031"/>
  <c r="D3031"/>
  <c r="C3031"/>
  <c r="AX3030"/>
  <c r="G3030"/>
  <c r="D3030"/>
  <c r="C3030"/>
  <c r="AX3029"/>
  <c r="G3029"/>
  <c r="D3029"/>
  <c r="C3029"/>
  <c r="AX3028"/>
  <c r="G3028"/>
  <c r="D3028"/>
  <c r="C3028"/>
  <c r="AX3027"/>
  <c r="G3027"/>
  <c r="D3027"/>
  <c r="C3027"/>
  <c r="AX3026"/>
  <c r="G3026"/>
  <c r="D3026"/>
  <c r="C3026"/>
  <c r="AX3025"/>
  <c r="G3025"/>
  <c r="D3025"/>
  <c r="C3025"/>
  <c r="AX3024"/>
  <c r="G3024"/>
  <c r="D3024"/>
  <c r="C3024"/>
  <c r="AX3023"/>
  <c r="G3023"/>
  <c r="D3023"/>
  <c r="C3023"/>
  <c r="AX3022"/>
  <c r="G3022"/>
  <c r="D3022"/>
  <c r="C3022"/>
  <c r="AX3021"/>
  <c r="G3021"/>
  <c r="D3021"/>
  <c r="C3021"/>
  <c r="AX3020"/>
  <c r="G3020"/>
  <c r="D3020"/>
  <c r="C3020"/>
  <c r="AX3019"/>
  <c r="G3019"/>
  <c r="D3019"/>
  <c r="C3019"/>
  <c r="AX3018"/>
  <c r="G3018"/>
  <c r="D3018"/>
  <c r="C3018"/>
  <c r="AX3017"/>
  <c r="G3017"/>
  <c r="D3017"/>
  <c r="C3017"/>
  <c r="AX3016"/>
  <c r="G3016"/>
  <c r="D3016"/>
  <c r="C3016"/>
  <c r="AX3015"/>
  <c r="G3015"/>
  <c r="D3015"/>
  <c r="C3015"/>
  <c r="AX3014"/>
  <c r="G3014"/>
  <c r="D3014"/>
  <c r="C3014"/>
  <c r="AX3013"/>
  <c r="G3013"/>
  <c r="D3013"/>
  <c r="C3013"/>
  <c r="AX3012"/>
  <c r="G3012"/>
  <c r="D3012"/>
  <c r="C3012"/>
  <c r="AX3011"/>
  <c r="G3011"/>
  <c r="D3011"/>
  <c r="C3011"/>
  <c r="AX3010"/>
  <c r="G3010"/>
  <c r="D3010"/>
  <c r="C3010"/>
  <c r="AX3009"/>
  <c r="G3009"/>
  <c r="D3009"/>
  <c r="C3009"/>
  <c r="AX3008"/>
  <c r="G3008"/>
  <c r="D3008"/>
  <c r="C3008"/>
  <c r="AX3007"/>
  <c r="G3007"/>
  <c r="D3007"/>
  <c r="C3007"/>
  <c r="AX3006"/>
  <c r="G3006"/>
  <c r="D3006"/>
  <c r="C3006"/>
  <c r="AX3005"/>
  <c r="G3005"/>
  <c r="D3005"/>
  <c r="C3005"/>
  <c r="AX3004"/>
  <c r="G3004"/>
  <c r="D3004"/>
  <c r="C3004"/>
  <c r="AX3003"/>
  <c r="G3003"/>
  <c r="D3003"/>
  <c r="C3003"/>
  <c r="AX3002"/>
  <c r="G3002"/>
  <c r="D3002"/>
  <c r="C3002"/>
  <c r="AX3001"/>
  <c r="G3001"/>
  <c r="D3001"/>
  <c r="C3001"/>
  <c r="AX3000"/>
  <c r="G3000"/>
  <c r="D3000"/>
  <c r="C3000"/>
  <c r="AX2999"/>
  <c r="G2999"/>
  <c r="D2999"/>
  <c r="C2999"/>
  <c r="AX2998"/>
  <c r="G2998"/>
  <c r="D2998"/>
  <c r="C2998"/>
  <c r="AX2997"/>
  <c r="G2997"/>
  <c r="D2997"/>
  <c r="C2997"/>
  <c r="AX2996"/>
  <c r="G2996"/>
  <c r="D2996"/>
  <c r="C2996"/>
  <c r="AX2995"/>
  <c r="G2995"/>
  <c r="D2995"/>
  <c r="C2995"/>
  <c r="AX2994"/>
  <c r="G2994"/>
  <c r="D2994"/>
  <c r="C2994"/>
  <c r="AX2993"/>
  <c r="G2993"/>
  <c r="D2993"/>
  <c r="C2993"/>
  <c r="AX2992"/>
  <c r="G2992"/>
  <c r="D2992"/>
  <c r="C2992"/>
  <c r="AX2991"/>
  <c r="G2991"/>
  <c r="D2991"/>
  <c r="C2991"/>
  <c r="AX2990"/>
  <c r="G2990"/>
  <c r="D2990"/>
  <c r="C2990"/>
  <c r="AX2989"/>
  <c r="G2989"/>
  <c r="D2989"/>
  <c r="C2989"/>
  <c r="AX2988"/>
  <c r="G2988"/>
  <c r="D2988"/>
  <c r="C2988"/>
  <c r="AX2987"/>
  <c r="G2987"/>
  <c r="D2987"/>
  <c r="C2987"/>
  <c r="AX2986"/>
  <c r="G2986"/>
  <c r="D2986"/>
  <c r="C2986"/>
  <c r="AX2985"/>
  <c r="G2985"/>
  <c r="D2985"/>
  <c r="C2985"/>
  <c r="AX2984"/>
  <c r="G2984"/>
  <c r="D2984"/>
  <c r="C2984"/>
  <c r="AX2983"/>
  <c r="G2983"/>
  <c r="D2983"/>
  <c r="C2983"/>
  <c r="AX2982"/>
  <c r="G2982"/>
  <c r="D2982"/>
  <c r="C2982"/>
  <c r="AX2981"/>
  <c r="G2981"/>
  <c r="D2981"/>
  <c r="C2981"/>
  <c r="AX2980"/>
  <c r="G2980"/>
  <c r="D2980"/>
  <c r="C2980"/>
  <c r="AX2979"/>
  <c r="G2979"/>
  <c r="D2979"/>
  <c r="C2979"/>
  <c r="AX2978"/>
  <c r="G2978"/>
  <c r="D2978"/>
  <c r="C2978"/>
  <c r="AX2977"/>
  <c r="G2977"/>
  <c r="D2977"/>
  <c r="C2977"/>
  <c r="AX2976"/>
  <c r="G2976"/>
  <c r="D2976"/>
  <c r="C2976"/>
  <c r="AX2975"/>
  <c r="G2975"/>
  <c r="D2975"/>
  <c r="C2975"/>
  <c r="AX2974"/>
  <c r="G2974"/>
  <c r="D2974"/>
  <c r="C2974"/>
  <c r="AX2973"/>
  <c r="G2973"/>
  <c r="D2973"/>
  <c r="C2973"/>
  <c r="AX2972"/>
  <c r="G2972"/>
  <c r="D2972"/>
  <c r="C2972"/>
  <c r="AX2971"/>
  <c r="G2971"/>
  <c r="D2971"/>
  <c r="C2971"/>
  <c r="AX2970"/>
  <c r="G2970"/>
  <c r="D2970"/>
  <c r="C2970"/>
  <c r="AX2969"/>
  <c r="G2969"/>
  <c r="D2969"/>
  <c r="C2969"/>
  <c r="AX2968"/>
  <c r="G2968"/>
  <c r="D2968"/>
  <c r="C2968"/>
  <c r="AX2967"/>
  <c r="G2967"/>
  <c r="D2967"/>
  <c r="C2967"/>
  <c r="AX2966"/>
  <c r="G2966"/>
  <c r="D2966"/>
  <c r="C2966"/>
  <c r="AX2965"/>
  <c r="G2965"/>
  <c r="D2965"/>
  <c r="C2965"/>
  <c r="AX2964"/>
  <c r="G2964"/>
  <c r="D2964"/>
  <c r="C2964"/>
  <c r="AX2963"/>
  <c r="G2963"/>
  <c r="D2963"/>
  <c r="C2963"/>
  <c r="AX2962"/>
  <c r="G2962"/>
  <c r="D2962"/>
  <c r="C2962"/>
  <c r="AX2961"/>
  <c r="G2961"/>
  <c r="D2961"/>
  <c r="C2961"/>
  <c r="AX2960"/>
  <c r="G2960"/>
  <c r="D2960"/>
  <c r="C2960"/>
  <c r="AX2959"/>
  <c r="G2959"/>
  <c r="D2959"/>
  <c r="C2959"/>
  <c r="AX2958"/>
  <c r="G2958"/>
  <c r="D2958"/>
  <c r="C2958"/>
  <c r="AX2957"/>
  <c r="G2957"/>
  <c r="D2957"/>
  <c r="C2957"/>
  <c r="AX2956"/>
  <c r="G2956"/>
  <c r="D2956"/>
  <c r="C2956"/>
  <c r="AX2955"/>
  <c r="G2955"/>
  <c r="D2955"/>
  <c r="C2955"/>
  <c r="AX2954"/>
  <c r="G2954"/>
  <c r="D2954"/>
  <c r="C2954"/>
  <c r="AX2953"/>
  <c r="G2953"/>
  <c r="D2953"/>
  <c r="C2953"/>
  <c r="AX2952"/>
  <c r="G2952"/>
  <c r="D2952"/>
  <c r="C2952"/>
  <c r="AX2951"/>
  <c r="G2951"/>
  <c r="D2951"/>
  <c r="C2951"/>
  <c r="AX2950"/>
  <c r="G2950"/>
  <c r="D2950"/>
  <c r="C2950"/>
  <c r="AX2949"/>
  <c r="G2949"/>
  <c r="D2949"/>
  <c r="C2949"/>
  <c r="AX2948"/>
  <c r="G2948"/>
  <c r="D2948"/>
  <c r="C2948"/>
  <c r="AX2947"/>
  <c r="G2947"/>
  <c r="D2947"/>
  <c r="C2947"/>
  <c r="AX2946"/>
  <c r="G2946"/>
  <c r="D2946"/>
  <c r="C2946"/>
  <c r="AX2945"/>
  <c r="G2945"/>
  <c r="D2945"/>
  <c r="C2945"/>
  <c r="AX2944"/>
  <c r="G2944"/>
  <c r="D2944"/>
  <c r="C2944"/>
  <c r="AX2943"/>
  <c r="G2943"/>
  <c r="D2943"/>
  <c r="C2943"/>
  <c r="AX2942"/>
  <c r="G2942"/>
  <c r="D2942"/>
  <c r="C2942"/>
  <c r="AX2941"/>
  <c r="G2941"/>
  <c r="D2941"/>
  <c r="C2941"/>
  <c r="AX2940"/>
  <c r="G2940"/>
  <c r="D2940"/>
  <c r="C2940"/>
  <c r="AX2939"/>
  <c r="G2939"/>
  <c r="D2939"/>
  <c r="C2939"/>
  <c r="AX2938"/>
  <c r="G2938"/>
  <c r="D2938"/>
  <c r="C2938"/>
  <c r="AX2937"/>
  <c r="G2937"/>
  <c r="D2937"/>
  <c r="C2937"/>
  <c r="AX2936"/>
  <c r="G2936"/>
  <c r="D2936"/>
  <c r="C2936"/>
  <c r="AX2935"/>
  <c r="G2935"/>
  <c r="D2935"/>
  <c r="C2935"/>
  <c r="AX2934"/>
  <c r="G2934"/>
  <c r="D2934"/>
  <c r="C2934"/>
  <c r="AX2933"/>
  <c r="G2933"/>
  <c r="D2933"/>
  <c r="C2933"/>
  <c r="AX2932"/>
  <c r="G2932"/>
  <c r="D2932"/>
  <c r="C2932"/>
  <c r="AX2931"/>
  <c r="G2931"/>
  <c r="D2931"/>
  <c r="C2931"/>
  <c r="AX2930"/>
  <c r="G2930"/>
  <c r="D2930"/>
  <c r="C2930"/>
  <c r="AX2929"/>
  <c r="G2929"/>
  <c r="D2929"/>
  <c r="C2929"/>
  <c r="AX2928"/>
  <c r="G2928"/>
  <c r="D2928"/>
  <c r="C2928"/>
  <c r="AX2927"/>
  <c r="G2927"/>
  <c r="D2927"/>
  <c r="C2927"/>
  <c r="AX2926"/>
  <c r="G2926"/>
  <c r="D2926"/>
  <c r="C2926"/>
  <c r="AX2925"/>
  <c r="G2925"/>
  <c r="D2925"/>
  <c r="C2925"/>
  <c r="AX2924"/>
  <c r="G2924"/>
  <c r="D2924"/>
  <c r="C2924"/>
  <c r="AX2923"/>
  <c r="G2923"/>
  <c r="D2923"/>
  <c r="C2923"/>
  <c r="AX2922"/>
  <c r="G2922"/>
  <c r="D2922"/>
  <c r="C2922"/>
  <c r="AX2921"/>
  <c r="G2921"/>
  <c r="D2921"/>
  <c r="C2921"/>
  <c r="AX2920"/>
  <c r="G2920"/>
  <c r="D2920"/>
  <c r="C2920"/>
  <c r="AX2919"/>
  <c r="G2919"/>
  <c r="D2919"/>
  <c r="C2919"/>
  <c r="AX2918"/>
  <c r="G2918"/>
  <c r="D2918"/>
  <c r="C2918"/>
  <c r="AX2917"/>
  <c r="G2917"/>
  <c r="D2917"/>
  <c r="C2917"/>
  <c r="AX2916"/>
  <c r="G2916"/>
  <c r="D2916"/>
  <c r="C2916"/>
  <c r="AX2915"/>
  <c r="G2915"/>
  <c r="D2915"/>
  <c r="C2915"/>
  <c r="AX2914"/>
  <c r="G2914"/>
  <c r="D2914"/>
  <c r="C2914"/>
  <c r="AX2913"/>
  <c r="G2913"/>
  <c r="D2913"/>
  <c r="C2913"/>
  <c r="AX2912"/>
  <c r="G2912"/>
  <c r="D2912"/>
  <c r="C2912"/>
  <c r="AX2911"/>
  <c r="G2911"/>
  <c r="D2911"/>
  <c r="C2911"/>
  <c r="AX2910"/>
  <c r="G2910"/>
  <c r="D2910"/>
  <c r="C2910"/>
  <c r="AX2909"/>
  <c r="G2909"/>
  <c r="D2909"/>
  <c r="C2909"/>
  <c r="AX2908"/>
  <c r="G2908"/>
  <c r="D2908"/>
  <c r="C2908"/>
  <c r="AX2907"/>
  <c r="G2907"/>
  <c r="D2907"/>
  <c r="C2907"/>
  <c r="AX2906"/>
  <c r="G2906"/>
  <c r="D2906"/>
  <c r="C2906"/>
  <c r="AX2905"/>
  <c r="G2905"/>
  <c r="D2905"/>
  <c r="C2905"/>
  <c r="AX2904"/>
  <c r="G2904"/>
  <c r="D2904"/>
  <c r="C2904"/>
  <c r="AX2903"/>
  <c r="G2903"/>
  <c r="D2903"/>
  <c r="C2903"/>
  <c r="AX2902"/>
  <c r="G2902"/>
  <c r="D2902"/>
  <c r="C2902"/>
  <c r="AX2901"/>
  <c r="G2901"/>
  <c r="D2901"/>
  <c r="C2901"/>
  <c r="AX2900"/>
  <c r="G2900"/>
  <c r="D2900"/>
  <c r="C2900"/>
  <c r="AX2899"/>
  <c r="G2899"/>
  <c r="D2899"/>
  <c r="C2899"/>
  <c r="AX2898"/>
  <c r="G2898"/>
  <c r="D2898"/>
  <c r="C2898"/>
  <c r="AX2897"/>
  <c r="G2897"/>
  <c r="D2897"/>
  <c r="C2897"/>
  <c r="AX2896"/>
  <c r="G2896"/>
  <c r="D2896"/>
  <c r="C2896"/>
  <c r="AX2895"/>
  <c r="G2895"/>
  <c r="D2895"/>
  <c r="C2895"/>
  <c r="AX2894"/>
  <c r="G2894"/>
  <c r="D2894"/>
  <c r="C2894"/>
  <c r="AX2893"/>
  <c r="G2893"/>
  <c r="D2893"/>
  <c r="C2893"/>
  <c r="AX2892"/>
  <c r="G2892"/>
  <c r="D2892"/>
  <c r="C2892"/>
  <c r="AX2891"/>
  <c r="G2891"/>
  <c r="D2891"/>
  <c r="C2891"/>
  <c r="AX2890"/>
  <c r="G2890"/>
  <c r="D2890"/>
  <c r="C2890"/>
  <c r="AX2889"/>
  <c r="G2889"/>
  <c r="D2889"/>
  <c r="C2889"/>
  <c r="AX2888"/>
  <c r="G2888"/>
  <c r="D2888"/>
  <c r="C2888"/>
  <c r="AX2887"/>
  <c r="G2887"/>
  <c r="D2887"/>
  <c r="C2887"/>
  <c r="AX2886"/>
  <c r="G2886"/>
  <c r="D2886"/>
  <c r="C2886"/>
  <c r="AX2885"/>
  <c r="G2885"/>
  <c r="D2885"/>
  <c r="C2885"/>
  <c r="AX2884"/>
  <c r="G2884"/>
  <c r="D2884"/>
  <c r="C2884"/>
  <c r="AX2883"/>
  <c r="G2883"/>
  <c r="D2883"/>
  <c r="C2883"/>
  <c r="AX2882"/>
  <c r="G2882"/>
  <c r="D2882"/>
  <c r="C2882"/>
  <c r="AX2881"/>
  <c r="G2881"/>
  <c r="D2881"/>
  <c r="C2881"/>
  <c r="AX2880"/>
  <c r="G2880"/>
  <c r="D2880"/>
  <c r="C2880"/>
  <c r="AX2879"/>
  <c r="G2879"/>
  <c r="D2879"/>
  <c r="C2879"/>
  <c r="AX2878"/>
  <c r="G2878"/>
  <c r="D2878"/>
  <c r="C2878"/>
  <c r="AX2877"/>
  <c r="G2877"/>
  <c r="D2877"/>
  <c r="C2877"/>
  <c r="AX2876"/>
  <c r="G2876"/>
  <c r="D2876"/>
  <c r="C2876"/>
  <c r="AX2875"/>
  <c r="G2875"/>
  <c r="D2875"/>
  <c r="C2875"/>
  <c r="AX2874"/>
  <c r="G2874"/>
  <c r="D2874"/>
  <c r="C2874"/>
  <c r="AX2873"/>
  <c r="G2873"/>
  <c r="D2873"/>
  <c r="C2873"/>
  <c r="AX2872"/>
  <c r="G2872"/>
  <c r="D2872"/>
  <c r="C2872"/>
  <c r="AX2871"/>
  <c r="G2871"/>
  <c r="D2871"/>
  <c r="C2871"/>
  <c r="AX2870"/>
  <c r="G2870"/>
  <c r="D2870"/>
  <c r="C2870"/>
  <c r="AX2869"/>
  <c r="G2869"/>
  <c r="D2869"/>
  <c r="C2869"/>
  <c r="AX2868"/>
  <c r="G2868"/>
  <c r="D2868"/>
  <c r="C2868"/>
  <c r="AX2867"/>
  <c r="G2867"/>
  <c r="D2867"/>
  <c r="C2867"/>
  <c r="AX2866"/>
  <c r="G2866"/>
  <c r="D2866"/>
  <c r="C2866"/>
  <c r="AX2865"/>
  <c r="G2865"/>
  <c r="D2865"/>
  <c r="C2865"/>
  <c r="AX2864"/>
  <c r="G2864"/>
  <c r="D2864"/>
  <c r="C2864"/>
  <c r="AX2863"/>
  <c r="G2863"/>
  <c r="D2863"/>
  <c r="C2863"/>
  <c r="AX2862"/>
  <c r="G2862"/>
  <c r="D2862"/>
  <c r="C2862"/>
  <c r="AX2861"/>
  <c r="G2861"/>
  <c r="D2861"/>
  <c r="C2861"/>
  <c r="AX2860"/>
  <c r="G2860"/>
  <c r="D2860"/>
  <c r="C2860"/>
  <c r="AX2859"/>
  <c r="G2859"/>
  <c r="D2859"/>
  <c r="C2859"/>
  <c r="AX2858"/>
  <c r="G2858"/>
  <c r="D2858"/>
  <c r="C2858"/>
  <c r="AX2857"/>
  <c r="G2857"/>
  <c r="D2857"/>
  <c r="C2857"/>
  <c r="AX2856"/>
  <c r="G2856"/>
  <c r="D2856"/>
  <c r="C2856"/>
  <c r="AX2855"/>
  <c r="G2855"/>
  <c r="D2855"/>
  <c r="C2855"/>
  <c r="AX2854"/>
  <c r="G2854"/>
  <c r="D2854"/>
  <c r="C2854"/>
  <c r="AX2853"/>
  <c r="G2853"/>
  <c r="D2853"/>
  <c r="C2853"/>
  <c r="AX2852"/>
  <c r="G2852"/>
  <c r="D2852"/>
  <c r="C2852"/>
  <c r="AX2851"/>
  <c r="G2851"/>
  <c r="D2851"/>
  <c r="C2851"/>
  <c r="AX2850"/>
  <c r="G2850"/>
  <c r="D2850"/>
  <c r="C2850"/>
  <c r="AX2849"/>
  <c r="G2849"/>
  <c r="D2849"/>
  <c r="C2849"/>
  <c r="AX2848"/>
  <c r="G2848"/>
  <c r="D2848"/>
  <c r="C2848"/>
  <c r="AX2847"/>
  <c r="G2847"/>
  <c r="D2847"/>
  <c r="C2847"/>
  <c r="AX2846"/>
  <c r="G2846"/>
  <c r="D2846"/>
  <c r="C2846"/>
  <c r="AX2845"/>
  <c r="G2845"/>
  <c r="D2845"/>
  <c r="C2845"/>
  <c r="AX2844"/>
  <c r="G2844"/>
  <c r="D2844"/>
  <c r="C2844"/>
  <c r="AX2843"/>
  <c r="G2843"/>
  <c r="D2843"/>
  <c r="C2843"/>
  <c r="AX2842"/>
  <c r="G2842"/>
  <c r="D2842"/>
  <c r="C2842"/>
  <c r="AX2841"/>
  <c r="G2841"/>
  <c r="D2841"/>
  <c r="C2841"/>
  <c r="AX2840"/>
  <c r="G2840"/>
  <c r="D2840"/>
  <c r="C2840"/>
  <c r="AX2839"/>
  <c r="G2839"/>
  <c r="D2839"/>
  <c r="C2839"/>
  <c r="AX2838"/>
  <c r="G2838"/>
  <c r="D2838"/>
  <c r="C2838"/>
  <c r="AX2837"/>
  <c r="G2837"/>
  <c r="D2837"/>
  <c r="C2837"/>
  <c r="AX2836"/>
  <c r="G2836"/>
  <c r="D2836"/>
  <c r="C2836"/>
  <c r="AX2835"/>
  <c r="G2835"/>
  <c r="D2835"/>
  <c r="C2835"/>
  <c r="AX2834"/>
  <c r="G2834"/>
  <c r="D2834"/>
  <c r="C2834"/>
  <c r="AX2833"/>
  <c r="G2833"/>
  <c r="D2833"/>
  <c r="C2833"/>
  <c r="AX2832"/>
  <c r="G2832"/>
  <c r="D2832"/>
  <c r="C2832"/>
  <c r="AX2831"/>
  <c r="G2831"/>
  <c r="D2831"/>
  <c r="C2831"/>
  <c r="AX2830"/>
  <c r="G2830"/>
  <c r="D2830"/>
  <c r="C2830"/>
  <c r="AX2829"/>
  <c r="G2829"/>
  <c r="D2829"/>
  <c r="C2829"/>
  <c r="AX2828"/>
  <c r="G2828"/>
  <c r="D2828"/>
  <c r="C2828"/>
  <c r="AX2827"/>
  <c r="G2827"/>
  <c r="D2827"/>
  <c r="C2827"/>
  <c r="AX2826"/>
  <c r="G2826"/>
  <c r="D2826"/>
  <c r="C2826"/>
  <c r="AX2825"/>
  <c r="G2825"/>
  <c r="D2825"/>
  <c r="C2825"/>
  <c r="AX2824"/>
  <c r="G2824"/>
  <c r="D2824"/>
  <c r="C2824"/>
  <c r="AX2823"/>
  <c r="G2823"/>
  <c r="D2823"/>
  <c r="C2823"/>
  <c r="AX2822"/>
  <c r="G2822"/>
  <c r="D2822"/>
  <c r="C2822"/>
  <c r="AX2821"/>
  <c r="G2821"/>
  <c r="D2821"/>
  <c r="C2821"/>
  <c r="AX2820"/>
  <c r="G2820"/>
  <c r="D2820"/>
  <c r="C2820"/>
  <c r="AX2819"/>
  <c r="G2819"/>
  <c r="D2819"/>
  <c r="C2819"/>
  <c r="AX2818"/>
  <c r="G2818"/>
  <c r="D2818"/>
  <c r="C2818"/>
  <c r="AX2817"/>
  <c r="G2817"/>
  <c r="D2817"/>
  <c r="C2817"/>
  <c r="AX2816"/>
  <c r="G2816"/>
  <c r="D2816"/>
  <c r="C2816"/>
  <c r="AX2815"/>
  <c r="G2815"/>
  <c r="D2815"/>
  <c r="C2815"/>
  <c r="AX2814"/>
  <c r="G2814"/>
  <c r="D2814"/>
  <c r="C2814"/>
  <c r="AX2813"/>
  <c r="G2813"/>
  <c r="D2813"/>
  <c r="C2813"/>
  <c r="AX2812"/>
  <c r="G2812"/>
  <c r="D2812"/>
  <c r="C2812"/>
  <c r="AX2811"/>
  <c r="G2811"/>
  <c r="D2811"/>
  <c r="C2811"/>
  <c r="AX2810"/>
  <c r="G2810"/>
  <c r="D2810"/>
  <c r="C2810"/>
  <c r="AX2809"/>
  <c r="G2809"/>
  <c r="D2809"/>
  <c r="C2809"/>
  <c r="AX2808"/>
  <c r="G2808"/>
  <c r="D2808"/>
  <c r="C2808"/>
  <c r="AX2807"/>
  <c r="G2807"/>
  <c r="D2807"/>
  <c r="C2807"/>
  <c r="AX2806"/>
  <c r="G2806"/>
  <c r="D2806"/>
  <c r="C2806"/>
  <c r="AX2805"/>
  <c r="G2805"/>
  <c r="D2805"/>
  <c r="C2805"/>
  <c r="AX2804"/>
  <c r="G2804"/>
  <c r="D2804"/>
  <c r="C2804"/>
  <c r="AX2803"/>
  <c r="G2803"/>
  <c r="D2803"/>
  <c r="C2803"/>
  <c r="AX2802"/>
  <c r="G2802"/>
  <c r="D2802"/>
  <c r="C2802"/>
  <c r="AX2801"/>
  <c r="G2801"/>
  <c r="D2801"/>
  <c r="C2801"/>
  <c r="AX2800"/>
  <c r="G2800"/>
  <c r="D2800"/>
  <c r="C2800"/>
  <c r="AX2799"/>
  <c r="G2799"/>
  <c r="D2799"/>
  <c r="C2799"/>
  <c r="AX2798"/>
  <c r="G2798"/>
  <c r="D2798"/>
  <c r="C2798"/>
  <c r="AX2797"/>
  <c r="G2797"/>
  <c r="D2797"/>
  <c r="C2797"/>
  <c r="AX2796"/>
  <c r="G2796"/>
  <c r="D2796"/>
  <c r="C2796"/>
  <c r="AX2795"/>
  <c r="G2795"/>
  <c r="D2795"/>
  <c r="C2795"/>
  <c r="AX2794"/>
  <c r="G2794"/>
  <c r="D2794"/>
  <c r="C2794"/>
  <c r="AX2793"/>
  <c r="G2793"/>
  <c r="D2793"/>
  <c r="C2793"/>
  <c r="AX2792"/>
  <c r="G2792"/>
  <c r="D2792"/>
  <c r="C2792"/>
  <c r="AX2791"/>
  <c r="G2791"/>
  <c r="D2791"/>
  <c r="C2791"/>
  <c r="AX2790"/>
  <c r="G2790"/>
  <c r="D2790"/>
  <c r="C2790"/>
  <c r="AX2789"/>
  <c r="G2789"/>
  <c r="D2789"/>
  <c r="C2789"/>
  <c r="AX2788"/>
  <c r="G2788"/>
  <c r="D2788"/>
  <c r="C2788"/>
  <c r="AX2787"/>
  <c r="G2787"/>
  <c r="D2787"/>
  <c r="C2787"/>
  <c r="AX2786"/>
  <c r="G2786"/>
  <c r="D2786"/>
  <c r="C2786"/>
  <c r="AX2785"/>
  <c r="G2785"/>
  <c r="D2785"/>
  <c r="C2785"/>
  <c r="AX2784"/>
  <c r="G2784"/>
  <c r="D2784"/>
  <c r="C2784"/>
  <c r="AX2783"/>
  <c r="G2783"/>
  <c r="D2783"/>
  <c r="C2783"/>
  <c r="AX2782"/>
  <c r="G2782"/>
  <c r="D2782"/>
  <c r="C2782"/>
  <c r="AX2781"/>
  <c r="G2781"/>
  <c r="D2781"/>
  <c r="C2781"/>
  <c r="AX2780"/>
  <c r="G2780"/>
  <c r="D2780"/>
  <c r="C2780"/>
  <c r="AX2779"/>
  <c r="G2779"/>
  <c r="D2779"/>
  <c r="C2779"/>
  <c r="AX2778"/>
  <c r="G2778"/>
  <c r="D2778"/>
  <c r="C2778"/>
  <c r="AX2777"/>
  <c r="G2777"/>
  <c r="D2777"/>
  <c r="C2777"/>
  <c r="AX2776"/>
  <c r="G2776"/>
  <c r="D2776"/>
  <c r="C2776"/>
  <c r="AX2775"/>
  <c r="G2775"/>
  <c r="D2775"/>
  <c r="C2775"/>
  <c r="AX2774"/>
  <c r="G2774"/>
  <c r="D2774"/>
  <c r="C2774"/>
  <c r="AX2773"/>
  <c r="G2773"/>
  <c r="D2773"/>
  <c r="C2773"/>
  <c r="AX2772"/>
  <c r="G2772"/>
  <c r="D2772"/>
  <c r="C2772"/>
  <c r="AX2771"/>
  <c r="G2771"/>
  <c r="D2771"/>
  <c r="C2771"/>
  <c r="AX2770"/>
  <c r="G2770"/>
  <c r="D2770"/>
  <c r="C2770"/>
  <c r="AX2769"/>
  <c r="G2769"/>
  <c r="D2769"/>
  <c r="C2769"/>
  <c r="AX2768"/>
  <c r="G2768"/>
  <c r="D2768"/>
  <c r="C2768"/>
  <c r="AX2767"/>
  <c r="G2767"/>
  <c r="D2767"/>
  <c r="C2767"/>
  <c r="AX2766"/>
  <c r="G2766"/>
  <c r="D2766"/>
  <c r="C2766"/>
  <c r="AX2765"/>
  <c r="G2765"/>
  <c r="D2765"/>
  <c r="C2765"/>
  <c r="AX2764"/>
  <c r="G2764"/>
  <c r="D2764"/>
  <c r="C2764"/>
  <c r="AX2763"/>
  <c r="G2763"/>
  <c r="D2763"/>
  <c r="C2763"/>
  <c r="AX2762"/>
  <c r="G2762"/>
  <c r="D2762"/>
  <c r="C2762"/>
  <c r="AX2761"/>
  <c r="G2761"/>
  <c r="D2761"/>
  <c r="C2761"/>
  <c r="AX2760"/>
  <c r="G2760"/>
  <c r="D2760"/>
  <c r="C2760"/>
  <c r="AX2759"/>
  <c r="G2759"/>
  <c r="D2759"/>
  <c r="C2759"/>
  <c r="AX2758"/>
  <c r="G2758"/>
  <c r="D2758"/>
  <c r="C2758"/>
  <c r="AX2757"/>
  <c r="G2757"/>
  <c r="D2757"/>
  <c r="C2757"/>
  <c r="AX2756"/>
  <c r="G2756"/>
  <c r="D2756"/>
  <c r="C2756"/>
  <c r="AX2755"/>
  <c r="G2755"/>
  <c r="D2755"/>
  <c r="C2755"/>
  <c r="AX2754"/>
  <c r="G2754"/>
  <c r="D2754"/>
  <c r="C2754"/>
  <c r="AX2753"/>
  <c r="G2753"/>
  <c r="D2753"/>
  <c r="C2753"/>
  <c r="AX2752"/>
  <c r="G2752"/>
  <c r="D2752"/>
  <c r="C2752"/>
  <c r="AX2751"/>
  <c r="G2751"/>
  <c r="D2751"/>
  <c r="C2751"/>
  <c r="AX2750"/>
  <c r="G2750"/>
  <c r="D2750"/>
  <c r="C2750"/>
  <c r="AX2749"/>
  <c r="G2749"/>
  <c r="D2749"/>
  <c r="C2749"/>
  <c r="AX2748"/>
  <c r="G2748"/>
  <c r="D2748"/>
  <c r="C2748"/>
  <c r="AX2747"/>
  <c r="G2747"/>
  <c r="D2747"/>
  <c r="C2747"/>
  <c r="AX2746"/>
  <c r="G2746"/>
  <c r="D2746"/>
  <c r="C2746"/>
  <c r="AX2745"/>
  <c r="G2745"/>
  <c r="D2745"/>
  <c r="C2745"/>
  <c r="AX2744"/>
  <c r="G2744"/>
  <c r="D2744"/>
  <c r="C2744"/>
  <c r="AX2743"/>
  <c r="G2743"/>
  <c r="D2743"/>
  <c r="C2743"/>
  <c r="AX2742"/>
  <c r="G2742"/>
  <c r="D2742"/>
  <c r="C2742"/>
  <c r="AX2741"/>
  <c r="G2741"/>
  <c r="D2741"/>
  <c r="C2741"/>
  <c r="AX2740"/>
  <c r="G2740"/>
  <c r="D2740"/>
  <c r="C2740"/>
  <c r="AX2739"/>
  <c r="G2739"/>
  <c r="D2739"/>
  <c r="C2739"/>
  <c r="AX2738"/>
  <c r="G2738"/>
  <c r="D2738"/>
  <c r="C2738"/>
  <c r="AX2737"/>
  <c r="G2737"/>
  <c r="D2737"/>
  <c r="C2737"/>
  <c r="AX2736"/>
  <c r="G2736"/>
  <c r="D2736"/>
  <c r="C2736"/>
  <c r="AX2735"/>
  <c r="G2735"/>
  <c r="D2735"/>
  <c r="C2735"/>
  <c r="AX2734"/>
  <c r="G2734"/>
  <c r="D2734"/>
  <c r="C2734"/>
  <c r="AX2733"/>
  <c r="G2733"/>
  <c r="D2733"/>
  <c r="C2733"/>
  <c r="AX2732"/>
  <c r="G2732"/>
  <c r="D2732"/>
  <c r="C2732"/>
  <c r="AX2731"/>
  <c r="G2731"/>
  <c r="D2731"/>
  <c r="C2731"/>
  <c r="AX2730"/>
  <c r="G2730"/>
  <c r="D2730"/>
  <c r="C2730"/>
  <c r="AX2729"/>
  <c r="G2729"/>
  <c r="D2729"/>
  <c r="C2729"/>
  <c r="AX2728"/>
  <c r="G2728"/>
  <c r="D2728"/>
  <c r="C2728"/>
  <c r="AX2727"/>
  <c r="G2727"/>
  <c r="D2727"/>
  <c r="C2727"/>
  <c r="AX2726"/>
  <c r="G2726"/>
  <c r="D2726"/>
  <c r="C2726"/>
  <c r="AX2725"/>
  <c r="G2725"/>
  <c r="D2725"/>
  <c r="C2725"/>
  <c r="AX2724"/>
  <c r="G2724"/>
  <c r="D2724"/>
  <c r="C2724"/>
  <c r="AX2723"/>
  <c r="G2723"/>
  <c r="D2723"/>
  <c r="C2723"/>
  <c r="AX2722"/>
  <c r="G2722"/>
  <c r="D2722"/>
  <c r="C2722"/>
  <c r="AX2721"/>
  <c r="G2721"/>
  <c r="D2721"/>
  <c r="C2721"/>
  <c r="AX2720"/>
  <c r="G2720"/>
  <c r="D2720"/>
  <c r="C2720"/>
  <c r="AX2719"/>
  <c r="G2719"/>
  <c r="D2719"/>
  <c r="C2719"/>
  <c r="AX2718"/>
  <c r="G2718"/>
  <c r="D2718"/>
  <c r="C2718"/>
  <c r="AX2717"/>
  <c r="G2717"/>
  <c r="D2717"/>
  <c r="C2717"/>
  <c r="AX2716"/>
  <c r="G2716"/>
  <c r="D2716"/>
  <c r="C2716"/>
  <c r="AX2715"/>
  <c r="G2715"/>
  <c r="D2715"/>
  <c r="C2715"/>
  <c r="AX2714"/>
  <c r="G2714"/>
  <c r="D2714"/>
  <c r="C2714"/>
  <c r="AX2713"/>
  <c r="G2713"/>
  <c r="D2713"/>
  <c r="C2713"/>
  <c r="AX2712"/>
  <c r="G2712"/>
  <c r="D2712"/>
  <c r="C2712"/>
  <c r="AX2711"/>
  <c r="G2711"/>
  <c r="D2711"/>
  <c r="C2711"/>
  <c r="AX2710"/>
  <c r="G2710"/>
  <c r="D2710"/>
  <c r="C2710"/>
  <c r="AX2709"/>
  <c r="G2709"/>
  <c r="D2709"/>
  <c r="C2709"/>
  <c r="AX2708"/>
  <c r="G2708"/>
  <c r="D2708"/>
  <c r="C2708"/>
  <c r="AX2707"/>
  <c r="G2707"/>
  <c r="D2707"/>
  <c r="C2707"/>
  <c r="AX2706"/>
  <c r="G2706"/>
  <c r="D2706"/>
  <c r="C2706"/>
  <c r="AX2705"/>
  <c r="G2705"/>
  <c r="D2705"/>
  <c r="C2705"/>
  <c r="AX2704"/>
  <c r="G2704"/>
  <c r="D2704"/>
  <c r="C2704"/>
  <c r="AX2703"/>
  <c r="G2703"/>
  <c r="D2703"/>
  <c r="C2703"/>
  <c r="AX2702"/>
  <c r="G2702"/>
  <c r="D2702"/>
  <c r="C2702"/>
  <c r="AX2701"/>
  <c r="G2701"/>
  <c r="D2701"/>
  <c r="C2701"/>
  <c r="AX2700"/>
  <c r="G2700"/>
  <c r="D2700"/>
  <c r="C2700"/>
  <c r="AX2699"/>
  <c r="G2699"/>
  <c r="D2699"/>
  <c r="C2699"/>
  <c r="AX2698"/>
  <c r="G2698"/>
  <c r="D2698"/>
  <c r="C2698"/>
  <c r="AX2697"/>
  <c r="G2697"/>
  <c r="D2697"/>
  <c r="C2697"/>
  <c r="AX2696"/>
  <c r="G2696"/>
  <c r="D2696"/>
  <c r="C2696"/>
  <c r="AX2695"/>
  <c r="G2695"/>
  <c r="D2695"/>
  <c r="C2695"/>
  <c r="AX2694"/>
  <c r="G2694"/>
  <c r="D2694"/>
  <c r="C2694"/>
  <c r="AX2693"/>
  <c r="G2693"/>
  <c r="D2693"/>
  <c r="C2693"/>
  <c r="AX2692"/>
  <c r="G2692"/>
  <c r="D2692"/>
  <c r="C2692"/>
  <c r="AX2691"/>
  <c r="G2691"/>
  <c r="D2691"/>
  <c r="C2691"/>
  <c r="AX2690"/>
  <c r="G2690"/>
  <c r="D2690"/>
  <c r="C2690"/>
  <c r="AX2689"/>
  <c r="G2689"/>
  <c r="D2689"/>
  <c r="C2689"/>
  <c r="AX2688"/>
  <c r="G2688"/>
  <c r="D2688"/>
  <c r="C2688"/>
  <c r="AX2687"/>
  <c r="G2687"/>
  <c r="D2687"/>
  <c r="C2687"/>
  <c r="AX2686"/>
  <c r="G2686"/>
  <c r="D2686"/>
  <c r="C2686"/>
  <c r="AX2685"/>
  <c r="G2685"/>
  <c r="D2685"/>
  <c r="C2685"/>
  <c r="AX2684"/>
  <c r="G2684"/>
  <c r="D2684"/>
  <c r="C2684"/>
  <c r="AX2683"/>
  <c r="G2683"/>
  <c r="D2683"/>
  <c r="C2683"/>
  <c r="AX2682"/>
  <c r="G2682"/>
  <c r="D2682"/>
  <c r="C2682"/>
  <c r="AX2681"/>
  <c r="G2681"/>
  <c r="D2681"/>
  <c r="C2681"/>
  <c r="AX2680"/>
  <c r="G2680"/>
  <c r="D2680"/>
  <c r="C2680"/>
  <c r="AX2679"/>
  <c r="G2679"/>
  <c r="D2679"/>
  <c r="C2679"/>
  <c r="AX2678"/>
  <c r="G2678"/>
  <c r="D2678"/>
  <c r="C2678"/>
  <c r="AX2677"/>
  <c r="G2677"/>
  <c r="D2677"/>
  <c r="C2677"/>
  <c r="AX2676"/>
  <c r="G2676"/>
  <c r="D2676"/>
  <c r="C2676"/>
  <c r="AX2675"/>
  <c r="G2675"/>
  <c r="D2675"/>
  <c r="C2675"/>
  <c r="AX2674"/>
  <c r="G2674"/>
  <c r="D2674"/>
  <c r="C2674"/>
  <c r="AX2673"/>
  <c r="G2673"/>
  <c r="D2673"/>
  <c r="C2673"/>
  <c r="AX2672"/>
  <c r="G2672"/>
  <c r="D2672"/>
  <c r="C2672"/>
  <c r="AX2671"/>
  <c r="G2671"/>
  <c r="D2671"/>
  <c r="C2671"/>
  <c r="AX2670"/>
  <c r="G2670"/>
  <c r="D2670"/>
  <c r="C2670"/>
  <c r="AX2669"/>
  <c r="G2669"/>
  <c r="D2669"/>
  <c r="C2669"/>
  <c r="AX2668"/>
  <c r="G2668"/>
  <c r="D2668"/>
  <c r="C2668"/>
  <c r="AX2667"/>
  <c r="G2667"/>
  <c r="D2667"/>
  <c r="C2667"/>
  <c r="AX2666"/>
  <c r="G2666"/>
  <c r="D2666"/>
  <c r="C2666"/>
  <c r="AX2665"/>
  <c r="G2665"/>
  <c r="D2665"/>
  <c r="C2665"/>
  <c r="AX2664"/>
  <c r="G2664"/>
  <c r="D2664"/>
  <c r="C2664"/>
  <c r="AX2663"/>
  <c r="G2663"/>
  <c r="D2663"/>
  <c r="C2663"/>
  <c r="AX2662"/>
  <c r="G2662"/>
  <c r="D2662"/>
  <c r="C2662"/>
  <c r="AX2661"/>
  <c r="G2661"/>
  <c r="D2661"/>
  <c r="C2661"/>
  <c r="AX2660"/>
  <c r="G2660"/>
  <c r="D2660"/>
  <c r="C2660"/>
  <c r="AX2659"/>
  <c r="G2659"/>
  <c r="D2659"/>
  <c r="C2659"/>
  <c r="AX2658"/>
  <c r="G2658"/>
  <c r="D2658"/>
  <c r="C2658"/>
  <c r="AX2657"/>
  <c r="G2657"/>
  <c r="D2657"/>
  <c r="C2657"/>
  <c r="AX2656"/>
  <c r="G2656"/>
  <c r="D2656"/>
  <c r="C2656"/>
  <c r="AX2655"/>
  <c r="G2655"/>
  <c r="D2655"/>
  <c r="C2655"/>
  <c r="AX2654"/>
  <c r="G2654"/>
  <c r="D2654"/>
  <c r="C2654"/>
  <c r="AX2653"/>
  <c r="G2653"/>
  <c r="D2653"/>
  <c r="C2653"/>
  <c r="AX2652"/>
  <c r="G2652"/>
  <c r="D2652"/>
  <c r="C2652"/>
  <c r="AX2651"/>
  <c r="G2651"/>
  <c r="D2651"/>
  <c r="C2651"/>
  <c r="AX2650"/>
  <c r="G2650"/>
  <c r="D2650"/>
  <c r="C2650"/>
  <c r="AX2649"/>
  <c r="G2649"/>
  <c r="D2649"/>
  <c r="C2649"/>
  <c r="AX2648"/>
  <c r="G2648"/>
  <c r="D2648"/>
  <c r="C2648"/>
  <c r="AX2647"/>
  <c r="G2647"/>
  <c r="D2647"/>
  <c r="C2647"/>
  <c r="AX2646"/>
  <c r="G2646"/>
  <c r="D2646"/>
  <c r="C2646"/>
  <c r="AX2645"/>
  <c r="G2645"/>
  <c r="D2645"/>
  <c r="C2645"/>
  <c r="AX2644"/>
  <c r="G2644"/>
  <c r="D2644"/>
  <c r="C2644"/>
  <c r="AX2643"/>
  <c r="G2643"/>
  <c r="D2643"/>
  <c r="C2643"/>
  <c r="AX2642"/>
  <c r="G2642"/>
  <c r="D2642"/>
  <c r="C2642"/>
  <c r="AX2641"/>
  <c r="G2641"/>
  <c r="D2641"/>
  <c r="C2641"/>
  <c r="AX2640"/>
  <c r="G2640"/>
  <c r="D2640"/>
  <c r="C2640"/>
  <c r="AX2639"/>
  <c r="G2639"/>
  <c r="D2639"/>
  <c r="C2639"/>
  <c r="AX2638"/>
  <c r="G2638"/>
  <c r="D2638"/>
  <c r="C2638"/>
  <c r="AX2637"/>
  <c r="G2637"/>
  <c r="D2637"/>
  <c r="C2637"/>
  <c r="AX2636"/>
  <c r="G2636"/>
  <c r="D2636"/>
  <c r="C2636"/>
  <c r="AX2635"/>
  <c r="G2635"/>
  <c r="D2635"/>
  <c r="C2635"/>
  <c r="AX2634"/>
  <c r="G2634"/>
  <c r="D2634"/>
  <c r="C2634"/>
  <c r="AX2633"/>
  <c r="G2633"/>
  <c r="D2633"/>
  <c r="C2633"/>
  <c r="AX2632"/>
  <c r="G2632"/>
  <c r="D2632"/>
  <c r="C2632"/>
  <c r="AX2631"/>
  <c r="G2631"/>
  <c r="D2631"/>
  <c r="C2631"/>
  <c r="AX2630"/>
  <c r="G2630"/>
  <c r="D2630"/>
  <c r="C2630"/>
  <c r="AX2629"/>
  <c r="G2629"/>
  <c r="D2629"/>
  <c r="C2629"/>
  <c r="AX2628"/>
  <c r="G2628"/>
  <c r="D2628"/>
  <c r="C2628"/>
  <c r="AX2627"/>
  <c r="G2627"/>
  <c r="D2627"/>
  <c r="C2627"/>
  <c r="AX2626"/>
  <c r="G2626"/>
  <c r="D2626"/>
  <c r="C2626"/>
  <c r="AX2625"/>
  <c r="G2625"/>
  <c r="D2625"/>
  <c r="C2625"/>
  <c r="AX2624"/>
  <c r="G2624"/>
  <c r="D2624"/>
  <c r="C2624"/>
  <c r="AX2623"/>
  <c r="G2623"/>
  <c r="D2623"/>
  <c r="C2623"/>
  <c r="AX2622"/>
  <c r="G2622"/>
  <c r="D2622"/>
  <c r="C2622"/>
  <c r="AX2621"/>
  <c r="G2621"/>
  <c r="D2621"/>
  <c r="C2621"/>
  <c r="AX2620"/>
  <c r="G2620"/>
  <c r="D2620"/>
  <c r="C2620"/>
  <c r="AX2619"/>
  <c r="G2619"/>
  <c r="D2619"/>
  <c r="C2619"/>
  <c r="AX2618"/>
  <c r="G2618"/>
  <c r="D2618"/>
  <c r="C2618"/>
  <c r="AX2617"/>
  <c r="G2617"/>
  <c r="D2617"/>
  <c r="C2617"/>
  <c r="AX2616"/>
  <c r="G2616"/>
  <c r="D2616"/>
  <c r="C2616"/>
  <c r="AX2615"/>
  <c r="G2615"/>
  <c r="D2615"/>
  <c r="C2615"/>
  <c r="AX2614"/>
  <c r="G2614"/>
  <c r="D2614"/>
  <c r="C2614"/>
  <c r="AX2613"/>
  <c r="G2613"/>
  <c r="D2613"/>
  <c r="C2613"/>
  <c r="AX2612"/>
  <c r="G2612"/>
  <c r="D2612"/>
  <c r="C2612"/>
  <c r="AX2611"/>
  <c r="G2611"/>
  <c r="D2611"/>
  <c r="C2611"/>
  <c r="AX2610"/>
  <c r="G2610"/>
  <c r="D2610"/>
  <c r="C2610"/>
  <c r="AX2609"/>
  <c r="G2609"/>
  <c r="D2609"/>
  <c r="C2609"/>
  <c r="AX2608"/>
  <c r="G2608"/>
  <c r="D2608"/>
  <c r="C2608"/>
  <c r="AX2607"/>
  <c r="G2607"/>
  <c r="D2607"/>
  <c r="C2607"/>
  <c r="AX2606"/>
  <c r="G2606"/>
  <c r="D2606"/>
  <c r="C2606"/>
  <c r="AX2605"/>
  <c r="G2605"/>
  <c r="D2605"/>
  <c r="C2605"/>
  <c r="AX2604"/>
  <c r="G2604"/>
  <c r="D2604"/>
  <c r="C2604"/>
  <c r="AX2603"/>
  <c r="G2603"/>
  <c r="D2603"/>
  <c r="C2603"/>
  <c r="AX2602"/>
  <c r="G2602"/>
  <c r="D2602"/>
  <c r="C2602"/>
  <c r="AX2601"/>
  <c r="G2601"/>
  <c r="D2601"/>
  <c r="C2601"/>
  <c r="AX2600"/>
  <c r="G2600"/>
  <c r="D2600"/>
  <c r="C2600"/>
  <c r="AX2599"/>
  <c r="G2599"/>
  <c r="D2599"/>
  <c r="C2599"/>
  <c r="AX2598"/>
  <c r="G2598"/>
  <c r="D2598"/>
  <c r="C2598"/>
  <c r="AX2597"/>
  <c r="G2597"/>
  <c r="D2597"/>
  <c r="C2597"/>
  <c r="AX2596"/>
  <c r="G2596"/>
  <c r="D2596"/>
  <c r="C2596"/>
  <c r="AX2595"/>
  <c r="G2595"/>
  <c r="D2595"/>
  <c r="C2595"/>
  <c r="AX2594"/>
  <c r="G2594"/>
  <c r="D2594"/>
  <c r="C2594"/>
  <c r="AX2593"/>
  <c r="G2593"/>
  <c r="D2593"/>
  <c r="C2593"/>
  <c r="AX2592"/>
  <c r="G2592"/>
  <c r="D2592"/>
  <c r="C2592"/>
  <c r="AX2591"/>
  <c r="G2591"/>
  <c r="D2591"/>
  <c r="C2591"/>
  <c r="AX2590"/>
  <c r="G2590"/>
  <c r="D2590"/>
  <c r="C2590"/>
  <c r="AX2589"/>
  <c r="G2589"/>
  <c r="D2589"/>
  <c r="C2589"/>
  <c r="AX2588"/>
  <c r="G2588"/>
  <c r="D2588"/>
  <c r="C2588"/>
  <c r="AX2587"/>
  <c r="G2587"/>
  <c r="D2587"/>
  <c r="C2587"/>
  <c r="AX2586"/>
  <c r="G2586"/>
  <c r="D2586"/>
  <c r="C2586"/>
  <c r="AX2585"/>
  <c r="G2585"/>
  <c r="D2585"/>
  <c r="C2585"/>
  <c r="AX2584"/>
  <c r="G2584"/>
  <c r="D2584"/>
  <c r="C2584"/>
  <c r="AX2583"/>
  <c r="G2583"/>
  <c r="D2583"/>
  <c r="C2583"/>
  <c r="AX2582"/>
  <c r="G2582"/>
  <c r="D2582"/>
  <c r="C2582"/>
  <c r="AX2581"/>
  <c r="G2581"/>
  <c r="D2581"/>
  <c r="C2581"/>
  <c r="AX2580"/>
  <c r="G2580"/>
  <c r="D2580"/>
  <c r="C2580"/>
  <c r="AX2579"/>
  <c r="G2579"/>
  <c r="D2579"/>
  <c r="C2579"/>
  <c r="AX2578"/>
  <c r="G2578"/>
  <c r="D2578"/>
  <c r="C2578"/>
  <c r="AX2577"/>
  <c r="G2577"/>
  <c r="D2577"/>
  <c r="C2577"/>
  <c r="AX2576"/>
  <c r="G2576"/>
  <c r="D2576"/>
  <c r="C2576"/>
  <c r="AX2575"/>
  <c r="G2575"/>
  <c r="D2575"/>
  <c r="C2575"/>
  <c r="AX2574"/>
  <c r="G2574"/>
  <c r="D2574"/>
  <c r="C2574"/>
  <c r="AX2573"/>
  <c r="G2573"/>
  <c r="D2573"/>
  <c r="C2573"/>
  <c r="AX2572"/>
  <c r="G2572"/>
  <c r="D2572"/>
  <c r="C2572"/>
  <c r="AX2571"/>
  <c r="G2571"/>
  <c r="D2571"/>
  <c r="C2571"/>
  <c r="AX2570"/>
  <c r="G2570"/>
  <c r="D2570"/>
  <c r="C2570"/>
  <c r="AX2569"/>
  <c r="G2569"/>
  <c r="D2569"/>
  <c r="C2569"/>
  <c r="AX2568"/>
  <c r="G2568"/>
  <c r="D2568"/>
  <c r="C2568"/>
  <c r="AX2567"/>
  <c r="G2567"/>
  <c r="D2567"/>
  <c r="C2567"/>
  <c r="AX2566"/>
  <c r="G2566"/>
  <c r="D2566"/>
  <c r="C2566"/>
  <c r="AX2565"/>
  <c r="G2565"/>
  <c r="D2565"/>
  <c r="C2565"/>
  <c r="AX2564"/>
  <c r="G2564"/>
  <c r="D2564"/>
  <c r="C2564"/>
  <c r="AX2563"/>
  <c r="G2563"/>
  <c r="D2563"/>
  <c r="C2563"/>
  <c r="AX2562"/>
  <c r="G2562"/>
  <c r="D2562"/>
  <c r="C2562"/>
  <c r="AX2561"/>
  <c r="G2561"/>
  <c r="D2561"/>
  <c r="C2561"/>
  <c r="AX2560"/>
  <c r="G2560"/>
  <c r="D2560"/>
  <c r="C2560"/>
  <c r="AX2559"/>
  <c r="G2559"/>
  <c r="D2559"/>
  <c r="C2559"/>
  <c r="AX2558"/>
  <c r="G2558"/>
  <c r="D2558"/>
  <c r="C2558"/>
  <c r="AX2557"/>
  <c r="G2557"/>
  <c r="D2557"/>
  <c r="C2557"/>
  <c r="AX2556"/>
  <c r="G2556"/>
  <c r="D2556"/>
  <c r="C2556"/>
  <c r="AX2555"/>
  <c r="G2555"/>
  <c r="D2555"/>
  <c r="C2555"/>
  <c r="AX2554"/>
  <c r="G2554"/>
  <c r="D2554"/>
  <c r="C2554"/>
  <c r="AX2553"/>
  <c r="G2553"/>
  <c r="D2553"/>
  <c r="C2553"/>
  <c r="AX2552"/>
  <c r="G2552"/>
  <c r="D2552"/>
  <c r="C2552"/>
  <c r="AX2551"/>
  <c r="G2551"/>
  <c r="D2551"/>
  <c r="C2551"/>
  <c r="AX2550"/>
  <c r="G2550"/>
  <c r="D2550"/>
  <c r="C2550"/>
  <c r="AX2549"/>
  <c r="G2549"/>
  <c r="D2549"/>
  <c r="C2549"/>
  <c r="AX2548"/>
  <c r="G2548"/>
  <c r="D2548"/>
  <c r="C2548"/>
  <c r="AX2547"/>
  <c r="G2547"/>
  <c r="D2547"/>
  <c r="C2547"/>
  <c r="AX2546"/>
  <c r="G2546"/>
  <c r="D2546"/>
  <c r="C2546"/>
  <c r="AX2545"/>
  <c r="G2545"/>
  <c r="D2545"/>
  <c r="C2545"/>
  <c r="AX2544"/>
  <c r="G2544"/>
  <c r="D2544"/>
  <c r="C2544"/>
  <c r="AX2543"/>
  <c r="G2543"/>
  <c r="D2543"/>
  <c r="C2543"/>
  <c r="AX2542"/>
  <c r="G2542"/>
  <c r="D2542"/>
  <c r="C2542"/>
  <c r="AX2541"/>
  <c r="G2541"/>
  <c r="D2541"/>
  <c r="C2541"/>
  <c r="AX2540"/>
  <c r="G2540"/>
  <c r="D2540"/>
  <c r="C2540"/>
  <c r="AX2539"/>
  <c r="G2539"/>
  <c r="D2539"/>
  <c r="C2539"/>
  <c r="AX2538"/>
  <c r="G2538"/>
  <c r="D2538"/>
  <c r="C2538"/>
  <c r="AX2537"/>
  <c r="G2537"/>
  <c r="D2537"/>
  <c r="C2537"/>
  <c r="AX2536"/>
  <c r="G2536"/>
  <c r="D2536"/>
  <c r="C2536"/>
  <c r="AX2535"/>
  <c r="G2535"/>
  <c r="D2535"/>
  <c r="C2535"/>
  <c r="AX2534"/>
  <c r="G2534"/>
  <c r="D2534"/>
  <c r="C2534"/>
  <c r="AX2533"/>
  <c r="G2533"/>
  <c r="D2533"/>
  <c r="C2533"/>
  <c r="AX2532"/>
  <c r="G2532"/>
  <c r="D2532"/>
  <c r="C2532"/>
  <c r="AX2531"/>
  <c r="G2531"/>
  <c r="D2531"/>
  <c r="C2531"/>
  <c r="AX2530"/>
  <c r="G2530"/>
  <c r="D2530"/>
  <c r="C2530"/>
  <c r="AX2529"/>
  <c r="G2529"/>
  <c r="D2529"/>
  <c r="C2529"/>
  <c r="AX2528"/>
  <c r="G2528"/>
  <c r="D2528"/>
  <c r="C2528"/>
  <c r="AX2527"/>
  <c r="G2527"/>
  <c r="D2527"/>
  <c r="C2527"/>
  <c r="AX2526"/>
  <c r="G2526"/>
  <c r="D2526"/>
  <c r="C2526"/>
  <c r="AX2525"/>
  <c r="G2525"/>
  <c r="D2525"/>
  <c r="C2525"/>
  <c r="AX2524"/>
  <c r="G2524"/>
  <c r="D2524"/>
  <c r="C2524"/>
  <c r="AX2523"/>
  <c r="G2523"/>
  <c r="D2523"/>
  <c r="C2523"/>
  <c r="AX2522"/>
  <c r="G2522"/>
  <c r="D2522"/>
  <c r="C2522"/>
  <c r="AX2521"/>
  <c r="G2521"/>
  <c r="D2521"/>
  <c r="C2521"/>
  <c r="AX2520"/>
  <c r="G2520"/>
  <c r="D2520"/>
  <c r="C2520"/>
  <c r="AX2519"/>
  <c r="G2519"/>
  <c r="D2519"/>
  <c r="C2519"/>
  <c r="AX2518"/>
  <c r="G2518"/>
  <c r="D2518"/>
  <c r="C2518"/>
  <c r="AX2517"/>
  <c r="G2517"/>
  <c r="D2517"/>
  <c r="C2517"/>
  <c r="AX2516"/>
  <c r="G2516"/>
  <c r="D2516"/>
  <c r="C2516"/>
  <c r="AX2515"/>
  <c r="G2515"/>
  <c r="D2515"/>
  <c r="C2515"/>
  <c r="AX2514"/>
  <c r="G2514"/>
  <c r="D2514"/>
  <c r="C2514"/>
  <c r="AX2513"/>
  <c r="G2513"/>
  <c r="D2513"/>
  <c r="C2513"/>
  <c r="AX2512"/>
  <c r="G2512"/>
  <c r="D2512"/>
  <c r="C2512"/>
  <c r="AX2511"/>
  <c r="G2511"/>
  <c r="D2511"/>
  <c r="C2511"/>
  <c r="AX2510"/>
  <c r="G2510"/>
  <c r="D2510"/>
  <c r="C2510"/>
  <c r="AX2509"/>
  <c r="G2509"/>
  <c r="D2509"/>
  <c r="C2509"/>
  <c r="AX2508"/>
  <c r="G2508"/>
  <c r="D2508"/>
  <c r="C2508"/>
  <c r="AX2507"/>
  <c r="G2507"/>
  <c r="D2507"/>
  <c r="C2507"/>
  <c r="AX2506"/>
  <c r="G2506"/>
  <c r="D2506"/>
  <c r="C2506"/>
  <c r="AX2505"/>
  <c r="G2505"/>
  <c r="D2505"/>
  <c r="C2505"/>
  <c r="AX2504"/>
  <c r="G2504"/>
  <c r="D2504"/>
  <c r="C2504"/>
  <c r="AX2503"/>
  <c r="G2503"/>
  <c r="D2503"/>
  <c r="C2503"/>
  <c r="AX2502"/>
  <c r="G2502"/>
  <c r="D2502"/>
  <c r="C2502"/>
  <c r="AX2501"/>
  <c r="G2501"/>
  <c r="D2501"/>
  <c r="C2501"/>
  <c r="AX2500"/>
  <c r="G2500"/>
  <c r="D2500"/>
  <c r="C2500"/>
  <c r="AX2499"/>
  <c r="G2499"/>
  <c r="D2499"/>
  <c r="C2499"/>
  <c r="AX2498"/>
  <c r="G2498"/>
  <c r="D2498"/>
  <c r="C2498"/>
  <c r="AX2497"/>
  <c r="G2497"/>
  <c r="D2497"/>
  <c r="C2497"/>
  <c r="AX2496"/>
  <c r="G2496"/>
  <c r="D2496"/>
  <c r="C2496"/>
  <c r="AX2495"/>
  <c r="G2495"/>
  <c r="D2495"/>
  <c r="C2495"/>
  <c r="AX2494"/>
  <c r="G2494"/>
  <c r="D2494"/>
  <c r="C2494"/>
  <c r="AX2493"/>
  <c r="G2493"/>
  <c r="D2493"/>
  <c r="C2493"/>
  <c r="AX2492"/>
  <c r="G2492"/>
  <c r="D2492"/>
  <c r="C2492"/>
  <c r="AX2491"/>
  <c r="G2491"/>
  <c r="D2491"/>
  <c r="C2491"/>
  <c r="AX2490"/>
  <c r="G2490"/>
  <c r="D2490"/>
  <c r="C2490"/>
  <c r="AX2489"/>
  <c r="G2489"/>
  <c r="D2489"/>
  <c r="C2489"/>
  <c r="AX2488"/>
  <c r="G2488"/>
  <c r="D2488"/>
  <c r="C2488"/>
  <c r="AX2487"/>
  <c r="G2487"/>
  <c r="D2487"/>
  <c r="C2487"/>
  <c r="AX2486"/>
  <c r="G2486"/>
  <c r="D2486"/>
  <c r="C2486"/>
  <c r="AX2485"/>
  <c r="G2485"/>
  <c r="D2485"/>
  <c r="C2485"/>
  <c r="AX2484"/>
  <c r="G2484"/>
  <c r="D2484"/>
  <c r="C2484"/>
  <c r="AX2483"/>
  <c r="G2483"/>
  <c r="D2483"/>
  <c r="C2483"/>
  <c r="AX2482"/>
  <c r="G2482"/>
  <c r="D2482"/>
  <c r="C2482"/>
  <c r="AX2481"/>
  <c r="G2481"/>
  <c r="D2481"/>
  <c r="C2481"/>
  <c r="AX2480"/>
  <c r="G2480"/>
  <c r="D2480"/>
  <c r="C2480"/>
  <c r="AX2479"/>
  <c r="G2479"/>
  <c r="D2479"/>
  <c r="C2479"/>
  <c r="AX2478"/>
  <c r="G2478"/>
  <c r="D2478"/>
  <c r="C2478"/>
  <c r="AX2477"/>
  <c r="G2477"/>
  <c r="D2477"/>
  <c r="C2477"/>
  <c r="AX2476"/>
  <c r="G2476"/>
  <c r="D2476"/>
  <c r="C2476"/>
  <c r="AX2475"/>
  <c r="G2475"/>
  <c r="D2475"/>
  <c r="C2475"/>
  <c r="AX2474"/>
  <c r="G2474"/>
  <c r="D2474"/>
  <c r="C2474"/>
  <c r="AX2473"/>
  <c r="G2473"/>
  <c r="D2473"/>
  <c r="C2473"/>
  <c r="AX2472"/>
  <c r="G2472"/>
  <c r="D2472"/>
  <c r="C2472"/>
  <c r="AX2471"/>
  <c r="G2471"/>
  <c r="D2471"/>
  <c r="C2471"/>
  <c r="AX2470"/>
  <c r="G2470"/>
  <c r="D2470"/>
  <c r="C2470"/>
  <c r="AX2469"/>
  <c r="G2469"/>
  <c r="D2469"/>
  <c r="C2469"/>
  <c r="AX2468"/>
  <c r="G2468"/>
  <c r="D2468"/>
  <c r="C2468"/>
  <c r="AX2467"/>
  <c r="G2467"/>
  <c r="D2467"/>
  <c r="C2467"/>
  <c r="AX2466"/>
  <c r="G2466"/>
  <c r="D2466"/>
  <c r="C2466"/>
  <c r="AX2465"/>
  <c r="G2465"/>
  <c r="D2465"/>
  <c r="C2465"/>
  <c r="AX2464"/>
  <c r="G2464"/>
  <c r="D2464"/>
  <c r="C2464"/>
  <c r="AX2463"/>
  <c r="G2463"/>
  <c r="D2463"/>
  <c r="C2463"/>
  <c r="AX2462"/>
  <c r="G2462"/>
  <c r="D2462"/>
  <c r="C2462"/>
  <c r="AX2461"/>
  <c r="G2461"/>
  <c r="D2461"/>
  <c r="C2461"/>
  <c r="AX2460"/>
  <c r="G2460"/>
  <c r="D2460"/>
  <c r="C2460"/>
  <c r="AX2459"/>
  <c r="G2459"/>
  <c r="D2459"/>
  <c r="C2459"/>
  <c r="AX2458"/>
  <c r="G2458"/>
  <c r="D2458"/>
  <c r="C2458"/>
  <c r="AX2457"/>
  <c r="G2457"/>
  <c r="D2457"/>
  <c r="C2457"/>
  <c r="AX2456"/>
  <c r="G2456"/>
  <c r="D2456"/>
  <c r="C2456"/>
  <c r="AX2455"/>
  <c r="G2455"/>
  <c r="D2455"/>
  <c r="C2455"/>
  <c r="AX2454"/>
  <c r="G2454"/>
  <c r="D2454"/>
  <c r="C2454"/>
  <c r="AX2453"/>
  <c r="G2453"/>
  <c r="D2453"/>
  <c r="C2453"/>
  <c r="AX2452"/>
  <c r="G2452"/>
  <c r="D2452"/>
  <c r="C2452"/>
  <c r="AX2451"/>
  <c r="G2451"/>
  <c r="D2451"/>
  <c r="C2451"/>
  <c r="AX2450"/>
  <c r="G2450"/>
  <c r="D2450"/>
  <c r="C2450"/>
  <c r="AX2449"/>
  <c r="G2449"/>
  <c r="D2449"/>
  <c r="C2449"/>
  <c r="AX2448"/>
  <c r="G2448"/>
  <c r="D2448"/>
  <c r="C2448"/>
  <c r="AX2447"/>
  <c r="G2447"/>
  <c r="D2447"/>
  <c r="C2447"/>
  <c r="AX2446"/>
  <c r="G2446"/>
  <c r="D2446"/>
  <c r="C2446"/>
  <c r="AX2445"/>
  <c r="G2445"/>
  <c r="D2445"/>
  <c r="C2445"/>
  <c r="AX2444"/>
  <c r="G2444"/>
  <c r="D2444"/>
  <c r="C2444"/>
  <c r="AX2443"/>
  <c r="G2443"/>
  <c r="D2443"/>
  <c r="C2443"/>
  <c r="AX2442"/>
  <c r="G2442"/>
  <c r="D2442"/>
  <c r="C2442"/>
  <c r="AX2441"/>
  <c r="G2441"/>
  <c r="D2441"/>
  <c r="C2441"/>
  <c r="AX2440"/>
  <c r="G2440"/>
  <c r="D2440"/>
  <c r="C2440"/>
  <c r="AX2439"/>
  <c r="G2439"/>
  <c r="D2439"/>
  <c r="C2439"/>
  <c r="AX2438"/>
  <c r="G2438"/>
  <c r="D2438"/>
  <c r="C2438"/>
  <c r="AX2437"/>
  <c r="G2437"/>
  <c r="D2437"/>
  <c r="C2437"/>
  <c r="AX2436"/>
  <c r="G2436"/>
  <c r="D2436"/>
  <c r="C2436"/>
  <c r="AX2435"/>
  <c r="G2435"/>
  <c r="D2435"/>
  <c r="C2435"/>
  <c r="AX2434"/>
  <c r="G2434"/>
  <c r="D2434"/>
  <c r="C2434"/>
  <c r="AX2433"/>
  <c r="G2433"/>
  <c r="D2433"/>
  <c r="C2433"/>
  <c r="AX2432"/>
  <c r="G2432"/>
  <c r="D2432"/>
  <c r="C2432"/>
  <c r="AX2431"/>
  <c r="G2431"/>
  <c r="D2431"/>
  <c r="C2431"/>
  <c r="AX2430"/>
  <c r="G2430"/>
  <c r="D2430"/>
  <c r="C2430"/>
  <c r="AX2429"/>
  <c r="G2429"/>
  <c r="D2429"/>
  <c r="C2429"/>
  <c r="AX2428"/>
  <c r="G2428"/>
  <c r="D2428"/>
  <c r="C2428"/>
  <c r="AX2427"/>
  <c r="G2427"/>
  <c r="D2427"/>
  <c r="C2427"/>
  <c r="AX2426"/>
  <c r="G2426"/>
  <c r="D2426"/>
  <c r="C2426"/>
  <c r="AX2425"/>
  <c r="G2425"/>
  <c r="D2425"/>
  <c r="C2425"/>
  <c r="AX2424"/>
  <c r="G2424"/>
  <c r="D2424"/>
  <c r="C2424"/>
  <c r="AX2423"/>
  <c r="G2423"/>
  <c r="D2423"/>
  <c r="C2423"/>
  <c r="AX2422"/>
  <c r="G2422"/>
  <c r="D2422"/>
  <c r="C2422"/>
  <c r="AX2421"/>
  <c r="G2421"/>
  <c r="D2421"/>
  <c r="C2421"/>
  <c r="AX2420"/>
  <c r="G2420"/>
  <c r="D2420"/>
  <c r="C2420"/>
  <c r="AX2419"/>
  <c r="G2419"/>
  <c r="D2419"/>
  <c r="C2419"/>
  <c r="AX2418"/>
  <c r="G2418"/>
  <c r="D2418"/>
  <c r="C2418"/>
  <c r="AX2417"/>
  <c r="G2417"/>
  <c r="D2417"/>
  <c r="C2417"/>
  <c r="AX2416"/>
  <c r="G2416"/>
  <c r="D2416"/>
  <c r="C2416"/>
  <c r="AX2415"/>
  <c r="G2415"/>
  <c r="D2415"/>
  <c r="C2415"/>
  <c r="AX2414"/>
  <c r="G2414"/>
  <c r="D2414"/>
  <c r="C2414"/>
  <c r="AX2413"/>
  <c r="G2413"/>
  <c r="D2413"/>
  <c r="C2413"/>
  <c r="AX2412"/>
  <c r="G2412"/>
  <c r="D2412"/>
  <c r="C2412"/>
  <c r="AX2411"/>
  <c r="G2411"/>
  <c r="D2411"/>
  <c r="C2411"/>
  <c r="AX2410"/>
  <c r="G2410"/>
  <c r="D2410"/>
  <c r="C2410"/>
  <c r="AX2409"/>
  <c r="G2409"/>
  <c r="D2409"/>
  <c r="C2409"/>
  <c r="AX2408"/>
  <c r="G2408"/>
  <c r="D2408"/>
  <c r="C2408"/>
  <c r="AX2407"/>
  <c r="G2407"/>
  <c r="D2407"/>
  <c r="C2407"/>
  <c r="AX2406"/>
  <c r="G2406"/>
  <c r="D2406"/>
  <c r="C2406"/>
  <c r="AX2405"/>
  <c r="G2405"/>
  <c r="D2405"/>
  <c r="C2405"/>
  <c r="AX2404"/>
  <c r="G2404"/>
  <c r="D2404"/>
  <c r="C2404"/>
  <c r="AX2403"/>
  <c r="G2403"/>
  <c r="D2403"/>
  <c r="C2403"/>
  <c r="AX2402"/>
  <c r="G2402"/>
  <c r="D2402"/>
  <c r="C2402"/>
  <c r="AX2401"/>
  <c r="G2401"/>
  <c r="D2401"/>
  <c r="C2401"/>
  <c r="AX2400"/>
  <c r="G2400"/>
  <c r="D2400"/>
  <c r="C2400"/>
  <c r="AX2399"/>
  <c r="G2399"/>
  <c r="D2399"/>
  <c r="C2399"/>
  <c r="AX2398"/>
  <c r="G2398"/>
  <c r="D2398"/>
  <c r="C2398"/>
  <c r="AX2397"/>
  <c r="G2397"/>
  <c r="D2397"/>
  <c r="C2397"/>
  <c r="AX2396"/>
  <c r="G2396"/>
  <c r="D2396"/>
  <c r="C2396"/>
  <c r="AX2395"/>
  <c r="G2395"/>
  <c r="D2395"/>
  <c r="C2395"/>
  <c r="AX2394"/>
  <c r="G2394"/>
  <c r="D2394"/>
  <c r="C2394"/>
  <c r="AX2393"/>
  <c r="G2393"/>
  <c r="D2393"/>
  <c r="C2393"/>
  <c r="AX2392"/>
  <c r="G2392"/>
  <c r="D2392"/>
  <c r="C2392"/>
  <c r="AX2391"/>
  <c r="G2391"/>
  <c r="D2391"/>
  <c r="C2391"/>
  <c r="AX2390"/>
  <c r="G2390"/>
  <c r="D2390"/>
  <c r="C2390"/>
  <c r="AX2389"/>
  <c r="G2389"/>
  <c r="D2389"/>
  <c r="C2389"/>
  <c r="AX2388"/>
  <c r="G2388"/>
  <c r="D2388"/>
  <c r="C2388"/>
  <c r="AX2387"/>
  <c r="G2387"/>
  <c r="D2387"/>
  <c r="C2387"/>
  <c r="AX2386"/>
  <c r="G2386"/>
  <c r="D2386"/>
  <c r="C2386"/>
  <c r="AX2385"/>
  <c r="G2385"/>
  <c r="D2385"/>
  <c r="C2385"/>
  <c r="AX2384"/>
  <c r="G2384"/>
  <c r="D2384"/>
  <c r="C2384"/>
  <c r="AX2383"/>
  <c r="G2383"/>
  <c r="D2383"/>
  <c r="C2383"/>
  <c r="AX2382"/>
  <c r="G2382"/>
  <c r="D2382"/>
  <c r="C2382"/>
  <c r="AX2381"/>
  <c r="G2381"/>
  <c r="D2381"/>
  <c r="C2381"/>
  <c r="AX2380"/>
  <c r="G2380"/>
  <c r="D2380"/>
  <c r="C2380"/>
  <c r="AX2379"/>
  <c r="G2379"/>
  <c r="D2379"/>
  <c r="C2379"/>
  <c r="AX2378"/>
  <c r="G2378"/>
  <c r="D2378"/>
  <c r="C2378"/>
  <c r="AX2377"/>
  <c r="G2377"/>
  <c r="D2377"/>
  <c r="C2377"/>
  <c r="AX2376"/>
  <c r="G2376"/>
  <c r="D2376"/>
  <c r="C2376"/>
  <c r="AX2375"/>
  <c r="G2375"/>
  <c r="D2375"/>
  <c r="C2375"/>
  <c r="AX2374"/>
  <c r="G2374"/>
  <c r="D2374"/>
  <c r="C2374"/>
  <c r="AX2373"/>
  <c r="G2373"/>
  <c r="D2373"/>
  <c r="C2373"/>
  <c r="AX2372"/>
  <c r="G2372"/>
  <c r="D2372"/>
  <c r="C2372"/>
  <c r="AX2371"/>
  <c r="G2371"/>
  <c r="D2371"/>
  <c r="C2371"/>
  <c r="AX2370"/>
  <c r="G2370"/>
  <c r="D2370"/>
  <c r="C2370"/>
  <c r="AX2369"/>
  <c r="G2369"/>
  <c r="D2369"/>
  <c r="C2369"/>
  <c r="AX2368"/>
  <c r="G2368"/>
  <c r="D2368"/>
  <c r="C2368"/>
  <c r="AX2367"/>
  <c r="G2367"/>
  <c r="D2367"/>
  <c r="C2367"/>
  <c r="AX2366"/>
  <c r="G2366"/>
  <c r="D2366"/>
  <c r="C2366"/>
  <c r="AX2365"/>
  <c r="G2365"/>
  <c r="D2365"/>
  <c r="C2365"/>
  <c r="AX2364"/>
  <c r="G2364"/>
  <c r="D2364"/>
  <c r="C2364"/>
  <c r="AX2363"/>
  <c r="G2363"/>
  <c r="D2363"/>
  <c r="C2363"/>
  <c r="AX2362"/>
  <c r="G2362"/>
  <c r="D2362"/>
  <c r="C2362"/>
  <c r="AX2361"/>
  <c r="G2361"/>
  <c r="D2361"/>
  <c r="C2361"/>
  <c r="AX2360"/>
  <c r="G2360"/>
  <c r="D2360"/>
  <c r="C2360"/>
  <c r="AX2359"/>
  <c r="G2359"/>
  <c r="D2359"/>
  <c r="C2359"/>
  <c r="AX2358"/>
  <c r="G2358"/>
  <c r="D2358"/>
  <c r="C2358"/>
  <c r="AX2357"/>
  <c r="G2357"/>
  <c r="D2357"/>
  <c r="C2357"/>
  <c r="AX2356"/>
  <c r="G2356"/>
  <c r="D2356"/>
  <c r="C2356"/>
  <c r="AX2355"/>
  <c r="G2355"/>
  <c r="D2355"/>
  <c r="C2355"/>
  <c r="AX2354"/>
  <c r="G2354"/>
  <c r="D2354"/>
  <c r="C2354"/>
  <c r="AX2353"/>
  <c r="G2353"/>
  <c r="D2353"/>
  <c r="C2353"/>
  <c r="AX2352"/>
  <c r="G2352"/>
  <c r="D2352"/>
  <c r="C2352"/>
  <c r="AX2351"/>
  <c r="G2351"/>
  <c r="D2351"/>
  <c r="C2351"/>
  <c r="AX2350"/>
  <c r="G2350"/>
  <c r="D2350"/>
  <c r="C2350"/>
  <c r="AX2349"/>
  <c r="G2349"/>
  <c r="D2349"/>
  <c r="C2349"/>
  <c r="AX2348"/>
  <c r="G2348"/>
  <c r="D2348"/>
  <c r="C2348"/>
  <c r="AX2347"/>
  <c r="G2347"/>
  <c r="D2347"/>
  <c r="C2347"/>
  <c r="AX2346"/>
  <c r="G2346"/>
  <c r="D2346"/>
  <c r="C2346"/>
  <c r="AX2345"/>
  <c r="G2345"/>
  <c r="D2345"/>
  <c r="C2345"/>
  <c r="AX2344"/>
  <c r="G2344"/>
  <c r="D2344"/>
  <c r="C2344"/>
  <c r="AX2343"/>
  <c r="G2343"/>
  <c r="D2343"/>
  <c r="C2343"/>
  <c r="AX2342"/>
  <c r="G2342"/>
  <c r="D2342"/>
  <c r="C2342"/>
  <c r="AX2341"/>
  <c r="G2341"/>
  <c r="D2341"/>
  <c r="C2341"/>
  <c r="AX2340"/>
  <c r="G2340"/>
  <c r="D2340"/>
  <c r="C2340"/>
  <c r="AX2339"/>
  <c r="G2339"/>
  <c r="D2339"/>
  <c r="C2339"/>
  <c r="AX2338"/>
  <c r="G2338"/>
  <c r="D2338"/>
  <c r="C2338"/>
  <c r="AX2337"/>
  <c r="G2337"/>
  <c r="D2337"/>
  <c r="C2337"/>
  <c r="AX2336"/>
  <c r="G2336"/>
  <c r="D2336"/>
  <c r="C2336"/>
  <c r="AX2335"/>
  <c r="G2335"/>
  <c r="D2335"/>
  <c r="C2335"/>
  <c r="AX2334"/>
  <c r="G2334"/>
  <c r="D2334"/>
  <c r="C2334"/>
  <c r="AX2333"/>
  <c r="G2333"/>
  <c r="D2333"/>
  <c r="C2333"/>
  <c r="AX2332"/>
  <c r="G2332"/>
  <c r="D2332"/>
  <c r="C2332"/>
  <c r="AX2331"/>
  <c r="G2331"/>
  <c r="D2331"/>
  <c r="C2331"/>
  <c r="AX2330"/>
  <c r="G2330"/>
  <c r="D2330"/>
  <c r="C2330"/>
  <c r="AX2329"/>
  <c r="G2329"/>
  <c r="D2329"/>
  <c r="C2329"/>
  <c r="AX2328"/>
  <c r="G2328"/>
  <c r="D2328"/>
  <c r="C2328"/>
  <c r="AX2327"/>
  <c r="G2327"/>
  <c r="D2327"/>
  <c r="C2327"/>
  <c r="AX2326"/>
  <c r="G2326"/>
  <c r="D2326"/>
  <c r="C2326"/>
  <c r="AX2325"/>
  <c r="G2325"/>
  <c r="D2325"/>
  <c r="C2325"/>
  <c r="AX2324"/>
  <c r="G2324"/>
  <c r="D2324"/>
  <c r="C2324"/>
  <c r="AX2323"/>
  <c r="G2323"/>
  <c r="D2323"/>
  <c r="C2323"/>
  <c r="AX2322"/>
  <c r="G2322"/>
  <c r="D2322"/>
  <c r="C2322"/>
  <c r="AX2321"/>
  <c r="G2321"/>
  <c r="D2321"/>
  <c r="C2321"/>
  <c r="AX2320"/>
  <c r="G2320"/>
  <c r="D2320"/>
  <c r="C2320"/>
  <c r="AX2319"/>
  <c r="G2319"/>
  <c r="D2319"/>
  <c r="C2319"/>
  <c r="AX2318"/>
  <c r="G2318"/>
  <c r="D2318"/>
  <c r="C2318"/>
  <c r="AX2317"/>
  <c r="G2317"/>
  <c r="D2317"/>
  <c r="C2317"/>
  <c r="AX2316"/>
  <c r="G2316"/>
  <c r="D2316"/>
  <c r="C2316"/>
  <c r="AX2315"/>
  <c r="G2315"/>
  <c r="D2315"/>
  <c r="C2315"/>
  <c r="AX2314"/>
  <c r="G2314"/>
  <c r="D2314"/>
  <c r="C2314"/>
  <c r="AX2313"/>
  <c r="G2313"/>
  <c r="D2313"/>
  <c r="C2313"/>
  <c r="AX2312"/>
  <c r="G2312"/>
  <c r="D2312"/>
  <c r="C2312"/>
  <c r="AX2311"/>
  <c r="G2311"/>
  <c r="D2311"/>
  <c r="C2311"/>
  <c r="AX2310"/>
  <c r="G2310"/>
  <c r="D2310"/>
  <c r="C2310"/>
  <c r="AX2309"/>
  <c r="G2309"/>
  <c r="D2309"/>
  <c r="C2309"/>
  <c r="AX2308"/>
  <c r="G2308"/>
  <c r="D2308"/>
  <c r="C2308"/>
  <c r="AX2307"/>
  <c r="G2307"/>
  <c r="D2307"/>
  <c r="C2307"/>
  <c r="AX2306"/>
  <c r="G2306"/>
  <c r="D2306"/>
  <c r="C2306"/>
  <c r="AX2305"/>
  <c r="G2305"/>
  <c r="D2305"/>
  <c r="C2305"/>
  <c r="AX2304"/>
  <c r="G2304"/>
  <c r="D2304"/>
  <c r="C2304"/>
  <c r="AX2303"/>
  <c r="G2303"/>
  <c r="D2303"/>
  <c r="C2303"/>
  <c r="AX2302"/>
  <c r="G2302"/>
  <c r="D2302"/>
  <c r="C2302"/>
  <c r="AX2301"/>
  <c r="G2301"/>
  <c r="D2301"/>
  <c r="C2301"/>
  <c r="AX2300"/>
  <c r="G2300"/>
  <c r="D2300"/>
  <c r="C2300"/>
  <c r="AX2299"/>
  <c r="G2299"/>
  <c r="D2299"/>
  <c r="C2299"/>
  <c r="AX2298"/>
  <c r="G2298"/>
  <c r="D2298"/>
  <c r="C2298"/>
  <c r="AX2297"/>
  <c r="G2297"/>
  <c r="D2297"/>
  <c r="C2297"/>
  <c r="AX2296"/>
  <c r="G2296"/>
  <c r="D2296"/>
  <c r="C2296"/>
  <c r="AX2295"/>
  <c r="G2295"/>
  <c r="D2295"/>
  <c r="C2295"/>
  <c r="AX2294"/>
  <c r="G2294"/>
  <c r="D2294"/>
  <c r="C2294"/>
  <c r="AX2293"/>
  <c r="G2293"/>
  <c r="D2293"/>
  <c r="C2293"/>
  <c r="AX2292"/>
  <c r="G2292"/>
  <c r="D2292"/>
  <c r="C2292"/>
  <c r="AX2291"/>
  <c r="G2291"/>
  <c r="D2291"/>
  <c r="C2291"/>
  <c r="AX2290"/>
  <c r="G2290"/>
  <c r="D2290"/>
  <c r="C2290"/>
  <c r="AX2289"/>
  <c r="G2289"/>
  <c r="D2289"/>
  <c r="C2289"/>
  <c r="AX2288"/>
  <c r="G2288"/>
  <c r="D2288"/>
  <c r="C2288"/>
  <c r="AX2287"/>
  <c r="G2287"/>
  <c r="D2287"/>
  <c r="C2287"/>
  <c r="AX2286"/>
  <c r="G2286"/>
  <c r="D2286"/>
  <c r="C2286"/>
  <c r="AX2285"/>
  <c r="G2285"/>
  <c r="D2285"/>
  <c r="C2285"/>
  <c r="AX2284"/>
  <c r="G2284"/>
  <c r="D2284"/>
  <c r="C2284"/>
  <c r="AX2283"/>
  <c r="G2283"/>
  <c r="D2283"/>
  <c r="C2283"/>
  <c r="AX2282"/>
  <c r="G2282"/>
  <c r="D2282"/>
  <c r="C2282"/>
  <c r="AX2281"/>
  <c r="G2281"/>
  <c r="D2281"/>
  <c r="C2281"/>
  <c r="AX2280"/>
  <c r="G2280"/>
  <c r="D2280"/>
  <c r="C2280"/>
  <c r="AX2279"/>
  <c r="G2279"/>
  <c r="D2279"/>
  <c r="C2279"/>
  <c r="AX2278"/>
  <c r="G2278"/>
  <c r="D2278"/>
  <c r="C2278"/>
  <c r="AX2277"/>
  <c r="G2277"/>
  <c r="D2277"/>
  <c r="C2277"/>
  <c r="AX2276"/>
  <c r="G2276"/>
  <c r="D2276"/>
  <c r="C2276"/>
  <c r="AX2275"/>
  <c r="G2275"/>
  <c r="D2275"/>
  <c r="C2275"/>
  <c r="AX2274"/>
  <c r="G2274"/>
  <c r="D2274"/>
  <c r="C2274"/>
  <c r="AX2273"/>
  <c r="G2273"/>
  <c r="D2273"/>
  <c r="C2273"/>
  <c r="AX2272"/>
  <c r="G2272"/>
  <c r="D2272"/>
  <c r="C2272"/>
  <c r="AX2271"/>
  <c r="G2271"/>
  <c r="D2271"/>
  <c r="C2271"/>
  <c r="AX2270"/>
  <c r="G2270"/>
  <c r="D2270"/>
  <c r="C2270"/>
  <c r="AX2269"/>
  <c r="G2269"/>
  <c r="D2269"/>
  <c r="C2269"/>
  <c r="AX2268"/>
  <c r="G2268"/>
  <c r="D2268"/>
  <c r="C2268"/>
  <c r="AX2267"/>
  <c r="G2267"/>
  <c r="D2267"/>
  <c r="C2267"/>
  <c r="AX2266"/>
  <c r="G2266"/>
  <c r="D2266"/>
  <c r="C2266"/>
  <c r="AX2265"/>
  <c r="G2265"/>
  <c r="D2265"/>
  <c r="C2265"/>
  <c r="AX2264"/>
  <c r="G2264"/>
  <c r="D2264"/>
  <c r="C2264"/>
  <c r="AX2263"/>
  <c r="G2263"/>
  <c r="D2263"/>
  <c r="C2263"/>
  <c r="AX2262"/>
  <c r="G2262"/>
  <c r="D2262"/>
  <c r="C2262"/>
  <c r="AX2261"/>
  <c r="G2261"/>
  <c r="D2261"/>
  <c r="C2261"/>
  <c r="AX2260"/>
  <c r="G2260"/>
  <c r="D2260"/>
  <c r="C2260"/>
  <c r="AX2259"/>
  <c r="G2259"/>
  <c r="D2259"/>
  <c r="C2259"/>
  <c r="AX2258"/>
  <c r="G2258"/>
  <c r="D2258"/>
  <c r="C2258"/>
  <c r="AX2257"/>
  <c r="G2257"/>
  <c r="D2257"/>
  <c r="C2257"/>
  <c r="AX2256"/>
  <c r="G2256"/>
  <c r="D2256"/>
  <c r="C2256"/>
  <c r="AX2255"/>
  <c r="G2255"/>
  <c r="D2255"/>
  <c r="C2255"/>
  <c r="AX2254"/>
  <c r="G2254"/>
  <c r="D2254"/>
  <c r="C2254"/>
  <c r="AX2253"/>
  <c r="G2253"/>
  <c r="D2253"/>
  <c r="C2253"/>
  <c r="AX2252"/>
  <c r="G2252"/>
  <c r="D2252"/>
  <c r="C2252"/>
  <c r="AX2251"/>
  <c r="G2251"/>
  <c r="D2251"/>
  <c r="C2251"/>
  <c r="AX2250"/>
  <c r="G2250"/>
  <c r="D2250"/>
  <c r="C2250"/>
  <c r="AX2249"/>
  <c r="G2249"/>
  <c r="D2249"/>
  <c r="C2249"/>
  <c r="AX2248"/>
  <c r="G2248"/>
  <c r="D2248"/>
  <c r="C2248"/>
  <c r="AX2247"/>
  <c r="G2247"/>
  <c r="D2247"/>
  <c r="C2247"/>
  <c r="AX2246"/>
  <c r="G2246"/>
  <c r="D2246"/>
  <c r="C2246"/>
  <c r="AX2245"/>
  <c r="G2245"/>
  <c r="D2245"/>
  <c r="C2245"/>
  <c r="AX2244"/>
  <c r="G2244"/>
  <c r="D2244"/>
  <c r="C2244"/>
  <c r="AX2243"/>
  <c r="G2243"/>
  <c r="D2243"/>
  <c r="C2243"/>
  <c r="AX2242"/>
  <c r="G2242"/>
  <c r="D2242"/>
  <c r="C2242"/>
  <c r="AX2241"/>
  <c r="G2241"/>
  <c r="D2241"/>
  <c r="C2241"/>
  <c r="AX2240"/>
  <c r="G2240"/>
  <c r="D2240"/>
  <c r="C2240"/>
  <c r="AX2239"/>
  <c r="G2239"/>
  <c r="D2239"/>
  <c r="C2239"/>
  <c r="AX2238"/>
  <c r="G2238"/>
  <c r="D2238"/>
  <c r="C2238"/>
  <c r="AX2237"/>
  <c r="G2237"/>
  <c r="D2237"/>
  <c r="C2237"/>
  <c r="AX2236"/>
  <c r="G2236"/>
  <c r="D2236"/>
  <c r="C2236"/>
  <c r="AX2235"/>
  <c r="G2235"/>
  <c r="D2235"/>
  <c r="C2235"/>
  <c r="AX2234"/>
  <c r="G2234"/>
  <c r="D2234"/>
  <c r="C2234"/>
  <c r="AX2233"/>
  <c r="G2233"/>
  <c r="D2233"/>
  <c r="C2233"/>
  <c r="AX2232"/>
  <c r="G2232"/>
  <c r="D2232"/>
  <c r="C2232"/>
  <c r="AX2231"/>
  <c r="G2231"/>
  <c r="D2231"/>
  <c r="C2231"/>
  <c r="AX2230"/>
  <c r="G2230"/>
  <c r="D2230"/>
  <c r="C2230"/>
  <c r="AX2229"/>
  <c r="G2229"/>
  <c r="D2229"/>
  <c r="C2229"/>
  <c r="AX2228"/>
  <c r="G2228"/>
  <c r="D2228"/>
  <c r="C2228"/>
  <c r="AX2227"/>
  <c r="G2227"/>
  <c r="D2227"/>
  <c r="C2227"/>
  <c r="AX2226"/>
  <c r="G2226"/>
  <c r="D2226"/>
  <c r="C2226"/>
  <c r="AX2225"/>
  <c r="G2225"/>
  <c r="D2225"/>
  <c r="C2225"/>
  <c r="AX2224"/>
  <c r="G2224"/>
  <c r="D2224"/>
  <c r="C2224"/>
  <c r="AX2223"/>
  <c r="G2223"/>
  <c r="D2223"/>
  <c r="C2223"/>
  <c r="AX2222"/>
  <c r="G2222"/>
  <c r="D2222"/>
  <c r="C2222"/>
  <c r="AX2221"/>
  <c r="G2221"/>
  <c r="D2221"/>
  <c r="C2221"/>
  <c r="AX2220"/>
  <c r="G2220"/>
  <c r="D2220"/>
  <c r="C2220"/>
  <c r="AX2219"/>
  <c r="G2219"/>
  <c r="D2219"/>
  <c r="C2219"/>
  <c r="AX2218"/>
  <c r="G2218"/>
  <c r="D2218"/>
  <c r="C2218"/>
  <c r="AX2217"/>
  <c r="G2217"/>
  <c r="D2217"/>
  <c r="C2217"/>
  <c r="AX2216"/>
  <c r="G2216"/>
  <c r="D2216"/>
  <c r="C2216"/>
  <c r="AX2215"/>
  <c r="G2215"/>
  <c r="D2215"/>
  <c r="C2215"/>
  <c r="AX2214"/>
  <c r="G2214"/>
  <c r="D2214"/>
  <c r="C2214"/>
  <c r="AX2213"/>
  <c r="G2213"/>
  <c r="D2213"/>
  <c r="C2213"/>
  <c r="AX2212"/>
  <c r="G2212"/>
  <c r="D2212"/>
  <c r="C2212"/>
  <c r="AX2211"/>
  <c r="G2211"/>
  <c r="D2211"/>
  <c r="C2211"/>
  <c r="AX2210"/>
  <c r="G2210"/>
  <c r="D2210"/>
  <c r="C2210"/>
  <c r="AX2209"/>
  <c r="G2209"/>
  <c r="D2209"/>
  <c r="C2209"/>
  <c r="AX2208"/>
  <c r="G2208"/>
  <c r="D2208"/>
  <c r="C2208"/>
  <c r="AX2207"/>
  <c r="G2207"/>
  <c r="D2207"/>
  <c r="C2207"/>
  <c r="AX2206"/>
  <c r="G2206"/>
  <c r="D2206"/>
  <c r="C2206"/>
  <c r="AX2205"/>
  <c r="G2205"/>
  <c r="D2205"/>
  <c r="C2205"/>
  <c r="AX2204"/>
  <c r="G2204"/>
  <c r="D2204"/>
  <c r="C2204"/>
  <c r="AX2203"/>
  <c r="G2203"/>
  <c r="D2203"/>
  <c r="C2203"/>
  <c r="AX2202"/>
  <c r="G2202"/>
  <c r="D2202"/>
  <c r="C2202"/>
  <c r="AX2201"/>
  <c r="G2201"/>
  <c r="D2201"/>
  <c r="C2201"/>
  <c r="AX2200"/>
  <c r="G2200"/>
  <c r="D2200"/>
  <c r="C2200"/>
  <c r="AX2199"/>
  <c r="G2199"/>
  <c r="D2199"/>
  <c r="C2199"/>
  <c r="AX2198"/>
  <c r="G2198"/>
  <c r="D2198"/>
  <c r="C2198"/>
  <c r="AX2197"/>
  <c r="G2197"/>
  <c r="D2197"/>
  <c r="C2197"/>
  <c r="AX2196"/>
  <c r="G2196"/>
  <c r="D2196"/>
  <c r="C2196"/>
  <c r="AX2195"/>
  <c r="G2195"/>
  <c r="D2195"/>
  <c r="C2195"/>
  <c r="AX2194"/>
  <c r="G2194"/>
  <c r="D2194"/>
  <c r="C2194"/>
  <c r="AX2193"/>
  <c r="G2193"/>
  <c r="D2193"/>
  <c r="C2193"/>
  <c r="AX2192"/>
  <c r="G2192"/>
  <c r="D2192"/>
  <c r="C2192"/>
  <c r="AX2191"/>
  <c r="G2191"/>
  <c r="D2191"/>
  <c r="C2191"/>
  <c r="AX2190"/>
  <c r="G2190"/>
  <c r="D2190"/>
  <c r="C2190"/>
  <c r="AX2189"/>
  <c r="G2189"/>
  <c r="D2189"/>
  <c r="C2189"/>
  <c r="AX2188"/>
  <c r="G2188"/>
  <c r="D2188"/>
  <c r="C2188"/>
  <c r="AX2187"/>
  <c r="G2187"/>
  <c r="D2187"/>
  <c r="C2187"/>
  <c r="AX2186"/>
  <c r="G2186"/>
  <c r="D2186"/>
  <c r="C2186"/>
  <c r="AX2185"/>
  <c r="G2185"/>
  <c r="D2185"/>
  <c r="C2185"/>
  <c r="AX2184"/>
  <c r="G2184"/>
  <c r="D2184"/>
  <c r="C2184"/>
  <c r="AX2183"/>
  <c r="G2183"/>
  <c r="D2183"/>
  <c r="C2183"/>
  <c r="AX2182"/>
  <c r="G2182"/>
  <c r="D2182"/>
  <c r="C2182"/>
  <c r="AX2181"/>
  <c r="G2181"/>
  <c r="D2181"/>
  <c r="C2181"/>
  <c r="AX2180"/>
  <c r="G2180"/>
  <c r="D2180"/>
  <c r="C2180"/>
  <c r="AX2179"/>
  <c r="G2179"/>
  <c r="D2179"/>
  <c r="C2179"/>
  <c r="AX2178"/>
  <c r="G2178"/>
  <c r="D2178"/>
  <c r="C2178"/>
  <c r="AX2177"/>
  <c r="G2177"/>
  <c r="D2177"/>
  <c r="C2177"/>
  <c r="AX2176"/>
  <c r="G2176"/>
  <c r="D2176"/>
  <c r="C2176"/>
  <c r="AX2175"/>
  <c r="G2175"/>
  <c r="D2175"/>
  <c r="C2175"/>
  <c r="AX2174"/>
  <c r="G2174"/>
  <c r="D2174"/>
  <c r="C2174"/>
  <c r="AX2173"/>
  <c r="G2173"/>
  <c r="D2173"/>
  <c r="C2173"/>
  <c r="AX2172"/>
  <c r="G2172"/>
  <c r="D2172"/>
  <c r="C2172"/>
  <c r="AX2171"/>
  <c r="G2171"/>
  <c r="D2171"/>
  <c r="C2171"/>
  <c r="AX2170"/>
  <c r="G2170"/>
  <c r="D2170"/>
  <c r="C2170"/>
  <c r="AX2169"/>
  <c r="G2169"/>
  <c r="D2169"/>
  <c r="C2169"/>
  <c r="AX2168"/>
  <c r="G2168"/>
  <c r="D2168"/>
  <c r="C2168"/>
  <c r="AX2167"/>
  <c r="G2167"/>
  <c r="D2167"/>
  <c r="C2167"/>
  <c r="AX2166"/>
  <c r="G2166"/>
  <c r="D2166"/>
  <c r="C2166"/>
  <c r="AX2165"/>
  <c r="G2165"/>
  <c r="D2165"/>
  <c r="C2165"/>
  <c r="AX2164"/>
  <c r="G2164"/>
  <c r="D2164"/>
  <c r="C2164"/>
  <c r="AX2163"/>
  <c r="G2163"/>
  <c r="D2163"/>
  <c r="C2163"/>
  <c r="AX2162"/>
  <c r="G2162"/>
  <c r="D2162"/>
  <c r="C2162"/>
  <c r="AX2161"/>
  <c r="G2161"/>
  <c r="D2161"/>
  <c r="C2161"/>
  <c r="AX2160"/>
  <c r="G2160"/>
  <c r="D2160"/>
  <c r="C2160"/>
  <c r="AX2159"/>
  <c r="G2159"/>
  <c r="D2159"/>
  <c r="C2159"/>
  <c r="AX2158"/>
  <c r="G2158"/>
  <c r="D2158"/>
  <c r="C2158"/>
  <c r="AX2157"/>
  <c r="G2157"/>
  <c r="D2157"/>
  <c r="C2157"/>
  <c r="AX2156"/>
  <c r="G2156"/>
  <c r="D2156"/>
  <c r="C2156"/>
  <c r="AX2155"/>
  <c r="G2155"/>
  <c r="D2155"/>
  <c r="C2155"/>
  <c r="AX2154"/>
  <c r="G2154"/>
  <c r="D2154"/>
  <c r="C2154"/>
  <c r="AX2153"/>
  <c r="G2153"/>
  <c r="D2153"/>
  <c r="C2153"/>
  <c r="AX2152"/>
  <c r="G2152"/>
  <c r="D2152"/>
  <c r="C2152"/>
  <c r="AX2151"/>
  <c r="G2151"/>
  <c r="D2151"/>
  <c r="C2151"/>
  <c r="AX2150"/>
  <c r="G2150"/>
  <c r="D2150"/>
  <c r="C2150"/>
  <c r="AX2149"/>
  <c r="G2149"/>
  <c r="D2149"/>
  <c r="C2149"/>
  <c r="AX2148"/>
  <c r="G2148"/>
  <c r="D2148"/>
  <c r="C2148"/>
  <c r="AX2147"/>
  <c r="G2147"/>
  <c r="D2147"/>
  <c r="C2147"/>
  <c r="AX2146"/>
  <c r="G2146"/>
  <c r="D2146"/>
  <c r="C2146"/>
  <c r="AX2145"/>
  <c r="G2145"/>
  <c r="D2145"/>
  <c r="C2145"/>
  <c r="AX2144"/>
  <c r="G2144"/>
  <c r="D2144"/>
  <c r="C2144"/>
  <c r="AX2143"/>
  <c r="G2143"/>
  <c r="D2143"/>
  <c r="C2143"/>
  <c r="AX2142"/>
  <c r="G2142"/>
  <c r="D2142"/>
  <c r="C2142"/>
  <c r="AX2141"/>
  <c r="G2141"/>
  <c r="D2141"/>
  <c r="C2141"/>
  <c r="AX2140"/>
  <c r="G2140"/>
  <c r="D2140"/>
  <c r="C2140"/>
  <c r="AX2139"/>
  <c r="G2139"/>
  <c r="D2139"/>
  <c r="C2139"/>
  <c r="AX2138"/>
  <c r="G2138"/>
  <c r="D2138"/>
  <c r="C2138"/>
  <c r="AX2137"/>
  <c r="G2137"/>
  <c r="D2137"/>
  <c r="C2137"/>
  <c r="AX2136"/>
  <c r="G2136"/>
  <c r="D2136"/>
  <c r="C2136"/>
  <c r="AX2135"/>
  <c r="G2135"/>
  <c r="D2135"/>
  <c r="C2135"/>
  <c r="AX2134"/>
  <c r="G2134"/>
  <c r="D2134"/>
  <c r="C2134"/>
  <c r="AX2133"/>
  <c r="G2133"/>
  <c r="D2133"/>
  <c r="C2133"/>
  <c r="AX2132"/>
  <c r="G2132"/>
  <c r="D2132"/>
  <c r="C2132"/>
  <c r="AX2131"/>
  <c r="G2131"/>
  <c r="D2131"/>
  <c r="C2131"/>
  <c r="AX2130"/>
  <c r="G2130"/>
  <c r="D2130"/>
  <c r="C2130"/>
  <c r="AX2129"/>
  <c r="G2129"/>
  <c r="D2129"/>
  <c r="C2129"/>
  <c r="AX2128"/>
  <c r="G2128"/>
  <c r="D2128"/>
  <c r="C2128"/>
  <c r="AX2127"/>
  <c r="G2127"/>
  <c r="D2127"/>
  <c r="C2127"/>
  <c r="AX2126"/>
  <c r="G2126"/>
  <c r="D2126"/>
  <c r="C2126"/>
  <c r="AX2125"/>
  <c r="G2125"/>
  <c r="D2125"/>
  <c r="C2125"/>
  <c r="AX2124"/>
  <c r="G2124"/>
  <c r="D2124"/>
  <c r="C2124"/>
  <c r="AX2123"/>
  <c r="G2123"/>
  <c r="D2123"/>
  <c r="C2123"/>
  <c r="AX2122"/>
  <c r="G2122"/>
  <c r="D2122"/>
  <c r="C2122"/>
  <c r="AX2121"/>
  <c r="G2121"/>
  <c r="D2121"/>
  <c r="C2121"/>
  <c r="AX2120"/>
  <c r="G2120"/>
  <c r="D2120"/>
  <c r="C2120"/>
  <c r="AX2119"/>
  <c r="G2119"/>
  <c r="D2119"/>
  <c r="C2119"/>
  <c r="AX2118"/>
  <c r="G2118"/>
  <c r="D2118"/>
  <c r="C2118"/>
  <c r="AX2117"/>
  <c r="G2117"/>
  <c r="D2117"/>
  <c r="C2117"/>
  <c r="AX2116"/>
  <c r="G2116"/>
  <c r="D2116"/>
  <c r="C2116"/>
  <c r="AX2115"/>
  <c r="G2115"/>
  <c r="D2115"/>
  <c r="C2115"/>
  <c r="AX2114"/>
  <c r="G2114"/>
  <c r="D2114"/>
  <c r="C2114"/>
  <c r="AX2113"/>
  <c r="G2113"/>
  <c r="D2113"/>
  <c r="C2113"/>
  <c r="AX2112"/>
  <c r="G2112"/>
  <c r="D2112"/>
  <c r="C2112"/>
  <c r="AX2111"/>
  <c r="G2111"/>
  <c r="D2111"/>
  <c r="C2111"/>
  <c r="AX2110"/>
  <c r="G2110"/>
  <c r="D2110"/>
  <c r="C2110"/>
  <c r="AX2109"/>
  <c r="G2109"/>
  <c r="D2109"/>
  <c r="C2109"/>
  <c r="AX2108"/>
  <c r="G2108"/>
  <c r="D2108"/>
  <c r="C2108"/>
  <c r="AX2107"/>
  <c r="G2107"/>
  <c r="D2107"/>
  <c r="C2107"/>
  <c r="AX2106"/>
  <c r="G2106"/>
  <c r="D2106"/>
  <c r="C2106"/>
  <c r="AX2105"/>
  <c r="G2105"/>
  <c r="D2105"/>
  <c r="C2105"/>
  <c r="AX2104"/>
  <c r="G2104"/>
  <c r="D2104"/>
  <c r="C2104"/>
  <c r="AX2103"/>
  <c r="G2103"/>
  <c r="D2103"/>
  <c r="C2103"/>
  <c r="AX2102"/>
  <c r="G2102"/>
  <c r="D2102"/>
  <c r="C2102"/>
  <c r="AX2101"/>
  <c r="G2101"/>
  <c r="D2101"/>
  <c r="C2101"/>
  <c r="AX2100"/>
  <c r="G2100"/>
  <c r="D2100"/>
  <c r="C2100"/>
  <c r="AX2099"/>
  <c r="G2099"/>
  <c r="D2099"/>
  <c r="C2099"/>
  <c r="AX2098"/>
  <c r="G2098"/>
  <c r="D2098"/>
  <c r="C2098"/>
  <c r="AX2097"/>
  <c r="G2097"/>
  <c r="D2097"/>
  <c r="C2097"/>
  <c r="AX2096"/>
  <c r="G2096"/>
  <c r="D2096"/>
  <c r="C2096"/>
  <c r="AX2095"/>
  <c r="G2095"/>
  <c r="D2095"/>
  <c r="C2095"/>
  <c r="AX2094"/>
  <c r="G2094"/>
  <c r="D2094"/>
  <c r="C2094"/>
  <c r="AX2093"/>
  <c r="G2093"/>
  <c r="D2093"/>
  <c r="C2093"/>
  <c r="AX2092"/>
  <c r="G2092"/>
  <c r="D2092"/>
  <c r="C2092"/>
  <c r="AX2091"/>
  <c r="G2091"/>
  <c r="D2091"/>
  <c r="C2091"/>
  <c r="AX2090"/>
  <c r="G2090"/>
  <c r="D2090"/>
  <c r="C2090"/>
  <c r="AX2089"/>
  <c r="G2089"/>
  <c r="D2089"/>
  <c r="C2089"/>
  <c r="AX2088"/>
  <c r="G2088"/>
  <c r="D2088"/>
  <c r="C2088"/>
  <c r="AX2087"/>
  <c r="G2087"/>
  <c r="D2087"/>
  <c r="C2087"/>
  <c r="AX2086"/>
  <c r="G2086"/>
  <c r="D2086"/>
  <c r="C2086"/>
  <c r="AX2085"/>
  <c r="G2085"/>
  <c r="D2085"/>
  <c r="C2085"/>
  <c r="AX2084"/>
  <c r="G2084"/>
  <c r="D2084"/>
  <c r="C2084"/>
  <c r="AX2083"/>
  <c r="G2083"/>
  <c r="D2083"/>
  <c r="C2083"/>
  <c r="AX2082"/>
  <c r="G2082"/>
  <c r="D2082"/>
  <c r="C2082"/>
  <c r="AX2081"/>
  <c r="G2081"/>
  <c r="D2081"/>
  <c r="C2081"/>
  <c r="AX2080"/>
  <c r="G2080"/>
  <c r="D2080"/>
  <c r="C2080"/>
  <c r="AX2079"/>
  <c r="G2079"/>
  <c r="D2079"/>
  <c r="C2079"/>
  <c r="AX2078"/>
  <c r="G2078"/>
  <c r="D2078"/>
  <c r="C2078"/>
  <c r="AX2077"/>
  <c r="G2077"/>
  <c r="D2077"/>
  <c r="C2077"/>
  <c r="AX2076"/>
  <c r="G2076"/>
  <c r="D2076"/>
  <c r="C2076"/>
  <c r="AX2075"/>
  <c r="G2075"/>
  <c r="D2075"/>
  <c r="C2075"/>
  <c r="AX2074"/>
  <c r="G2074"/>
  <c r="D2074"/>
  <c r="C2074"/>
  <c r="AX2073"/>
  <c r="G2073"/>
  <c r="D2073"/>
  <c r="C2073"/>
  <c r="AX2072"/>
  <c r="G2072"/>
  <c r="D2072"/>
  <c r="C2072"/>
  <c r="AX2071"/>
  <c r="G2071"/>
  <c r="D2071"/>
  <c r="C2071"/>
  <c r="AX2070"/>
  <c r="G2070"/>
  <c r="D2070"/>
  <c r="C2070"/>
  <c r="AX2069"/>
  <c r="G2069"/>
  <c r="D2069"/>
  <c r="C2069"/>
  <c r="AX2068"/>
  <c r="G2068"/>
  <c r="D2068"/>
  <c r="C2068"/>
  <c r="AX2067"/>
  <c r="G2067"/>
  <c r="D2067"/>
  <c r="C2067"/>
  <c r="AX2066"/>
  <c r="G2066"/>
  <c r="D2066"/>
  <c r="C2066"/>
  <c r="AX2065"/>
  <c r="G2065"/>
  <c r="D2065"/>
  <c r="C2065"/>
  <c r="AX2064"/>
  <c r="G2064"/>
  <c r="D2064"/>
  <c r="C2064"/>
  <c r="AX2063"/>
  <c r="G2063"/>
  <c r="D2063"/>
  <c r="C2063"/>
  <c r="AX2062"/>
  <c r="G2062"/>
  <c r="D2062"/>
  <c r="C2062"/>
  <c r="AX2061"/>
  <c r="G2061"/>
  <c r="D2061"/>
  <c r="C2061"/>
  <c r="AX2060"/>
  <c r="G2060"/>
  <c r="D2060"/>
  <c r="C2060"/>
  <c r="AX2059"/>
  <c r="G2059"/>
  <c r="D2059"/>
  <c r="C2059"/>
  <c r="AX2058"/>
  <c r="G2058"/>
  <c r="D2058"/>
  <c r="C2058"/>
  <c r="AX2057"/>
  <c r="G2057"/>
  <c r="D2057"/>
  <c r="C2057"/>
  <c r="AX2056"/>
  <c r="G2056"/>
  <c r="D2056"/>
  <c r="C2056"/>
  <c r="AX2055"/>
  <c r="G2055"/>
  <c r="D2055"/>
  <c r="C2055"/>
  <c r="AX2054"/>
  <c r="G2054"/>
  <c r="D2054"/>
  <c r="C2054"/>
  <c r="AX2053"/>
  <c r="G2053"/>
  <c r="D2053"/>
  <c r="C2053"/>
  <c r="AX2052"/>
  <c r="G2052"/>
  <c r="D2052"/>
  <c r="C2052"/>
  <c r="AX2051"/>
  <c r="G2051"/>
  <c r="D2051"/>
  <c r="C2051"/>
  <c r="AX2050"/>
  <c r="G2050"/>
  <c r="D2050"/>
  <c r="C2050"/>
  <c r="AX2049"/>
  <c r="G2049"/>
  <c r="D2049"/>
  <c r="C2049"/>
  <c r="AX2048"/>
  <c r="G2048"/>
  <c r="D2048"/>
  <c r="C2048"/>
  <c r="AX2047"/>
  <c r="G2047"/>
  <c r="D2047"/>
  <c r="C2047"/>
  <c r="AX2046"/>
  <c r="G2046"/>
  <c r="D2046"/>
  <c r="C2046"/>
  <c r="AX2045"/>
  <c r="G2045"/>
  <c r="D2045"/>
  <c r="C2045"/>
  <c r="AX2044"/>
  <c r="G2044"/>
  <c r="D2044"/>
  <c r="C2044"/>
  <c r="AX2043"/>
  <c r="G2043"/>
  <c r="D2043"/>
  <c r="C2043"/>
  <c r="AX2042"/>
  <c r="G2042"/>
  <c r="D2042"/>
  <c r="C2042"/>
  <c r="AX2041"/>
  <c r="G2041"/>
  <c r="D2041"/>
  <c r="C2041"/>
  <c r="AX2040"/>
  <c r="G2040"/>
  <c r="D2040"/>
  <c r="C2040"/>
  <c r="AX2039"/>
  <c r="G2039"/>
  <c r="D2039"/>
  <c r="C2039"/>
  <c r="AX2038"/>
  <c r="G2038"/>
  <c r="D2038"/>
  <c r="C2038"/>
  <c r="AX2037"/>
  <c r="G2037"/>
  <c r="D2037"/>
  <c r="C2037"/>
  <c r="AX2036"/>
  <c r="G2036"/>
  <c r="D2036"/>
  <c r="C2036"/>
  <c r="AX2035"/>
  <c r="G2035"/>
  <c r="D2035"/>
  <c r="C2035"/>
  <c r="AX2034"/>
  <c r="G2034"/>
  <c r="D2034"/>
  <c r="C2034"/>
  <c r="AX2033"/>
  <c r="G2033"/>
  <c r="D2033"/>
  <c r="C2033"/>
  <c r="AX2032"/>
  <c r="G2032"/>
  <c r="D2032"/>
  <c r="C2032"/>
  <c r="AX2031"/>
  <c r="G2031"/>
  <c r="D2031"/>
  <c r="C2031"/>
  <c r="AX2030"/>
  <c r="G2030"/>
  <c r="D2030"/>
  <c r="C2030"/>
  <c r="AX2029"/>
  <c r="G2029"/>
  <c r="D2029"/>
  <c r="C2029"/>
  <c r="AX2028"/>
  <c r="G2028"/>
  <c r="D2028"/>
  <c r="C2028"/>
  <c r="AX2027"/>
  <c r="G2027"/>
  <c r="D2027"/>
  <c r="C2027"/>
  <c r="AX2026"/>
  <c r="G2026"/>
  <c r="D2026"/>
  <c r="C2026"/>
  <c r="AX2025"/>
  <c r="G2025"/>
  <c r="D2025"/>
  <c r="C2025"/>
  <c r="AX2024"/>
  <c r="G2024"/>
  <c r="D2024"/>
  <c r="C2024"/>
  <c r="AX2023"/>
  <c r="G2023"/>
  <c r="D2023"/>
  <c r="C2023"/>
  <c r="AX2022"/>
  <c r="G2022"/>
  <c r="D2022"/>
  <c r="C2022"/>
  <c r="AX2021"/>
  <c r="G2021"/>
  <c r="D2021"/>
  <c r="C2021"/>
  <c r="AX2020"/>
  <c r="G2020"/>
  <c r="D2020"/>
  <c r="C2020"/>
  <c r="AX2019"/>
  <c r="G2019"/>
  <c r="D2019"/>
  <c r="C2019"/>
  <c r="AX2018"/>
  <c r="G2018"/>
  <c r="D2018"/>
  <c r="C2018"/>
  <c r="AX2017"/>
  <c r="G2017"/>
  <c r="D2017"/>
  <c r="C2017"/>
  <c r="AX2016"/>
  <c r="G2016"/>
  <c r="D2016"/>
  <c r="C2016"/>
  <c r="AX2015"/>
  <c r="G2015"/>
  <c r="D2015"/>
  <c r="C2015"/>
  <c r="AX2014"/>
  <c r="G2014"/>
  <c r="D2014"/>
  <c r="C2014"/>
  <c r="AX2013"/>
  <c r="G2013"/>
  <c r="D2013"/>
  <c r="C2013"/>
  <c r="AX2012"/>
  <c r="G2012"/>
  <c r="D2012"/>
  <c r="C2012"/>
  <c r="AX2011"/>
  <c r="G2011"/>
  <c r="D2011"/>
  <c r="C2011"/>
  <c r="AX2010"/>
  <c r="G2010"/>
  <c r="D2010"/>
  <c r="C2010"/>
  <c r="AX2009"/>
  <c r="G2009"/>
  <c r="D2009"/>
  <c r="C2009"/>
  <c r="AX2008"/>
  <c r="G2008"/>
  <c r="D2008"/>
  <c r="C2008"/>
  <c r="AX2007"/>
  <c r="G2007"/>
  <c r="D2007"/>
  <c r="C2007"/>
  <c r="AX2006"/>
  <c r="G2006"/>
  <c r="D2006"/>
  <c r="C2006"/>
  <c r="AX2005"/>
  <c r="G2005"/>
  <c r="D2005"/>
  <c r="C2005"/>
  <c r="AX2004"/>
  <c r="G2004"/>
  <c r="D2004"/>
  <c r="C2004"/>
  <c r="AX2003"/>
  <c r="G2003"/>
  <c r="D2003"/>
  <c r="C2003"/>
  <c r="AX2002"/>
  <c r="G2002"/>
  <c r="D2002"/>
  <c r="C2002"/>
  <c r="AX2001"/>
  <c r="G2001"/>
  <c r="D2001"/>
  <c r="C2001"/>
  <c r="AX2000"/>
  <c r="G2000"/>
  <c r="D2000"/>
  <c r="C2000"/>
  <c r="AX1999"/>
  <c r="G1999"/>
  <c r="D1999"/>
  <c r="C1999"/>
  <c r="AX1998"/>
  <c r="G1998"/>
  <c r="D1998"/>
  <c r="C1998"/>
  <c r="AX1997"/>
  <c r="G1997"/>
  <c r="D1997"/>
  <c r="C1997"/>
  <c r="AX1996"/>
  <c r="G1996"/>
  <c r="D1996"/>
  <c r="C1996"/>
  <c r="AX1995"/>
  <c r="G1995"/>
  <c r="D1995"/>
  <c r="C1995"/>
  <c r="AX1994"/>
  <c r="G1994"/>
  <c r="D1994"/>
  <c r="C1994"/>
  <c r="AX1993"/>
  <c r="G1993"/>
  <c r="D1993"/>
  <c r="C1993"/>
  <c r="AX1992"/>
  <c r="G1992"/>
  <c r="D1992"/>
  <c r="C1992"/>
  <c r="AX1991"/>
  <c r="G1991"/>
  <c r="D1991"/>
  <c r="C1991"/>
  <c r="AX1990"/>
  <c r="G1990"/>
  <c r="D1990"/>
  <c r="C1990"/>
  <c r="AX1989"/>
  <c r="G1989"/>
  <c r="D1989"/>
  <c r="C1989"/>
  <c r="AX1988"/>
  <c r="G1988"/>
  <c r="D1988"/>
  <c r="C1988"/>
  <c r="AX1987"/>
  <c r="G1987"/>
  <c r="D1987"/>
  <c r="C1987"/>
  <c r="AX1986"/>
  <c r="G1986"/>
  <c r="D1986"/>
  <c r="C1986"/>
  <c r="AX1985"/>
  <c r="G1985"/>
  <c r="D1985"/>
  <c r="C1985"/>
  <c r="AX1984"/>
  <c r="G1984"/>
  <c r="D1984"/>
  <c r="C1984"/>
  <c r="AX1983"/>
  <c r="G1983"/>
  <c r="D1983"/>
  <c r="C1983"/>
  <c r="AX1982"/>
  <c r="G1982"/>
  <c r="D1982"/>
  <c r="C1982"/>
  <c r="AX1981"/>
  <c r="G1981"/>
  <c r="D1981"/>
  <c r="C1981"/>
  <c r="AX1980"/>
  <c r="G1980"/>
  <c r="D1980"/>
  <c r="C1980"/>
  <c r="AX1979"/>
  <c r="G1979"/>
  <c r="D1979"/>
  <c r="C1979"/>
  <c r="AX1978"/>
  <c r="G1978"/>
  <c r="D1978"/>
  <c r="C1978"/>
  <c r="AX1977"/>
  <c r="G1977"/>
  <c r="D1977"/>
  <c r="C1977"/>
  <c r="AX1976"/>
  <c r="G1976"/>
  <c r="D1976"/>
  <c r="C1976"/>
  <c r="AX1975"/>
  <c r="G1975"/>
  <c r="D1975"/>
  <c r="C1975"/>
  <c r="AX1974"/>
  <c r="G1974"/>
  <c r="D1974"/>
  <c r="C1974"/>
  <c r="AX1973"/>
  <c r="G1973"/>
  <c r="D1973"/>
  <c r="C1973"/>
  <c r="AX1972"/>
  <c r="G1972"/>
  <c r="D1972"/>
  <c r="C1972"/>
  <c r="AX1971"/>
  <c r="G1971"/>
  <c r="D1971"/>
  <c r="C1971"/>
  <c r="AX1970"/>
  <c r="G1970"/>
  <c r="D1970"/>
  <c r="C1970"/>
  <c r="AX1969"/>
  <c r="G1969"/>
  <c r="D1969"/>
  <c r="C1969"/>
  <c r="AX1968"/>
  <c r="G1968"/>
  <c r="D1968"/>
  <c r="C1968"/>
  <c r="AX1967"/>
  <c r="G1967"/>
  <c r="D1967"/>
  <c r="C1967"/>
  <c r="AX1966"/>
  <c r="G1966"/>
  <c r="D1966"/>
  <c r="C1966"/>
  <c r="AX1965"/>
  <c r="G1965"/>
  <c r="D1965"/>
  <c r="C1965"/>
  <c r="AX1964"/>
  <c r="G1964"/>
  <c r="D1964"/>
  <c r="C1964"/>
  <c r="AX1963"/>
  <c r="G1963"/>
  <c r="D1963"/>
  <c r="C1963"/>
  <c r="AX1962"/>
  <c r="G1962"/>
  <c r="D1962"/>
  <c r="C1962"/>
  <c r="AX1961"/>
  <c r="G1961"/>
  <c r="D1961"/>
  <c r="C1961"/>
  <c r="AX1960"/>
  <c r="G1960"/>
  <c r="D1960"/>
  <c r="C1960"/>
  <c r="AX1959"/>
  <c r="G1959"/>
  <c r="D1959"/>
  <c r="C1959"/>
  <c r="AX1958"/>
  <c r="G1958"/>
  <c r="D1958"/>
  <c r="C1958"/>
  <c r="AX1957"/>
  <c r="G1957"/>
  <c r="D1957"/>
  <c r="C1957"/>
  <c r="AX1956"/>
  <c r="G1956"/>
  <c r="D1956"/>
  <c r="C1956"/>
  <c r="AX1955"/>
  <c r="G1955"/>
  <c r="D1955"/>
  <c r="C1955"/>
  <c r="AX1954"/>
  <c r="G1954"/>
  <c r="D1954"/>
  <c r="C1954"/>
  <c r="AX1953"/>
  <c r="G1953"/>
  <c r="D1953"/>
  <c r="C1953"/>
  <c r="AX1952"/>
  <c r="G1952"/>
  <c r="D1952"/>
  <c r="C1952"/>
  <c r="AX1951"/>
  <c r="G1951"/>
  <c r="D1951"/>
  <c r="C1951"/>
  <c r="AX1950"/>
  <c r="G1950"/>
  <c r="D1950"/>
  <c r="C1950"/>
  <c r="AX1949"/>
  <c r="G1949"/>
  <c r="D1949"/>
  <c r="C1949"/>
  <c r="AX1948"/>
  <c r="G1948"/>
  <c r="D1948"/>
  <c r="C1948"/>
  <c r="AX1947"/>
  <c r="G1947"/>
  <c r="D1947"/>
  <c r="C1947"/>
  <c r="AX1946"/>
  <c r="G1946"/>
  <c r="D1946"/>
  <c r="C1946"/>
  <c r="AX1945"/>
  <c r="G1945"/>
  <c r="D1945"/>
  <c r="C1945"/>
  <c r="AX1944"/>
  <c r="G1944"/>
  <c r="D1944"/>
  <c r="C1944"/>
  <c r="AX1943"/>
  <c r="G1943"/>
  <c r="D1943"/>
  <c r="C1943"/>
  <c r="AX1942"/>
  <c r="G1942"/>
  <c r="D1942"/>
  <c r="C1942"/>
  <c r="AX1941"/>
  <c r="G1941"/>
  <c r="D1941"/>
  <c r="C1941"/>
  <c r="AX1940"/>
  <c r="G1940"/>
  <c r="D1940"/>
  <c r="C1940"/>
  <c r="AX1939"/>
  <c r="G1939"/>
  <c r="D1939"/>
  <c r="C1939"/>
  <c r="AX1938"/>
  <c r="G1938"/>
  <c r="D1938"/>
  <c r="C1938"/>
  <c r="AX1937"/>
  <c r="G1937"/>
  <c r="D1937"/>
  <c r="C1937"/>
  <c r="AX1936"/>
  <c r="G1936"/>
  <c r="D1936"/>
  <c r="C1936"/>
  <c r="AX1935"/>
  <c r="G1935"/>
  <c r="D1935"/>
  <c r="C1935"/>
  <c r="AX1934"/>
  <c r="G1934"/>
  <c r="D1934"/>
  <c r="C1934"/>
  <c r="AX1933"/>
  <c r="G1933"/>
  <c r="D1933"/>
  <c r="C1933"/>
  <c r="AX1932"/>
  <c r="G1932"/>
  <c r="D1932"/>
  <c r="C1932"/>
  <c r="AX1931"/>
  <c r="G1931"/>
  <c r="D1931"/>
  <c r="C1931"/>
  <c r="AX1930"/>
  <c r="G1930"/>
  <c r="D1930"/>
  <c r="C1930"/>
  <c r="AX1929"/>
  <c r="G1929"/>
  <c r="D1929"/>
  <c r="C1929"/>
  <c r="AX1928"/>
  <c r="G1928"/>
  <c r="D1928"/>
  <c r="C1928"/>
  <c r="AX1927"/>
  <c r="G1927"/>
  <c r="D1927"/>
  <c r="C1927"/>
  <c r="AX1926"/>
  <c r="G1926"/>
  <c r="D1926"/>
  <c r="C1926"/>
  <c r="AX1925"/>
  <c r="G1925"/>
  <c r="D1925"/>
  <c r="C1925"/>
  <c r="AX1924"/>
  <c r="G1924"/>
  <c r="D1924"/>
  <c r="C1924"/>
  <c r="AX1923"/>
  <c r="G1923"/>
  <c r="D1923"/>
  <c r="C1923"/>
  <c r="AX1922"/>
  <c r="G1922"/>
  <c r="D1922"/>
  <c r="C1922"/>
  <c r="AX1921"/>
  <c r="G1921"/>
  <c r="D1921"/>
  <c r="C1921"/>
  <c r="AX1920"/>
  <c r="G1920"/>
  <c r="D1920"/>
  <c r="C1920"/>
  <c r="AX1919"/>
  <c r="G1919"/>
  <c r="D1919"/>
  <c r="C1919"/>
  <c r="AX1918"/>
  <c r="G1918"/>
  <c r="D1918"/>
  <c r="C1918"/>
  <c r="AX1917"/>
  <c r="G1917"/>
  <c r="D1917"/>
  <c r="C1917"/>
  <c r="AX1916"/>
  <c r="G1916"/>
  <c r="D1916"/>
  <c r="C1916"/>
  <c r="AX1915"/>
  <c r="G1915"/>
  <c r="D1915"/>
  <c r="C1915"/>
  <c r="AX1914"/>
  <c r="G1914"/>
  <c r="D1914"/>
  <c r="C1914"/>
  <c r="AX1913"/>
  <c r="G1913"/>
  <c r="D1913"/>
  <c r="C1913"/>
  <c r="AX1912"/>
  <c r="G1912"/>
  <c r="D1912"/>
  <c r="C1912"/>
  <c r="AX1911"/>
  <c r="G1911"/>
  <c r="D1911"/>
  <c r="C1911"/>
  <c r="AX1910"/>
  <c r="G1910"/>
  <c r="D1910"/>
  <c r="C1910"/>
  <c r="AX1909"/>
  <c r="G1909"/>
  <c r="D1909"/>
  <c r="C1909"/>
  <c r="AX1908"/>
  <c r="G1908"/>
  <c r="D1908"/>
  <c r="C1908"/>
  <c r="AX1907"/>
  <c r="G1907"/>
  <c r="D1907"/>
  <c r="C1907"/>
  <c r="AX1906"/>
  <c r="G1906"/>
  <c r="D1906"/>
  <c r="C1906"/>
  <c r="AX1905"/>
  <c r="G1905"/>
  <c r="D1905"/>
  <c r="C1905"/>
  <c r="AX1904"/>
  <c r="G1904"/>
  <c r="D1904"/>
  <c r="C1904"/>
  <c r="AX1903"/>
  <c r="G1903"/>
  <c r="D1903"/>
  <c r="C1903"/>
  <c r="AX1902"/>
  <c r="G1902"/>
  <c r="D1902"/>
  <c r="C1902"/>
  <c r="AX1901"/>
  <c r="G1901"/>
  <c r="D1901"/>
  <c r="C1901"/>
  <c r="AX1900"/>
  <c r="G1900"/>
  <c r="D1900"/>
  <c r="C1900"/>
  <c r="AX1899"/>
  <c r="G1899"/>
  <c r="D1899"/>
  <c r="C1899"/>
  <c r="AX1898"/>
  <c r="G1898"/>
  <c r="D1898"/>
  <c r="C1898"/>
  <c r="AX1897"/>
  <c r="G1897"/>
  <c r="D1897"/>
  <c r="C1897"/>
  <c r="AX1896"/>
  <c r="G1896"/>
  <c r="D1896"/>
  <c r="C1896"/>
  <c r="AX1895"/>
  <c r="G1895"/>
  <c r="D1895"/>
  <c r="C1895"/>
  <c r="AX1894"/>
  <c r="G1894"/>
  <c r="D1894"/>
  <c r="C1894"/>
  <c r="AX1893"/>
  <c r="G1893"/>
  <c r="D1893"/>
  <c r="C1893"/>
  <c r="AX1892"/>
  <c r="G1892"/>
  <c r="D1892"/>
  <c r="C1892"/>
  <c r="AX1891"/>
  <c r="G1891"/>
  <c r="D1891"/>
  <c r="C1891"/>
  <c r="AX1890"/>
  <c r="G1890"/>
  <c r="D1890"/>
  <c r="C1890"/>
  <c r="AX1889"/>
  <c r="G1889"/>
  <c r="D1889"/>
  <c r="C1889"/>
  <c r="AX1888"/>
  <c r="G1888"/>
  <c r="D1888"/>
  <c r="C1888"/>
  <c r="AX1887"/>
  <c r="G1887"/>
  <c r="D1887"/>
  <c r="C1887"/>
  <c r="AX1886"/>
  <c r="G1886"/>
  <c r="D1886"/>
  <c r="C1886"/>
  <c r="AX1885"/>
  <c r="G1885"/>
  <c r="D1885"/>
  <c r="C1885"/>
  <c r="AX1884"/>
  <c r="G1884"/>
  <c r="D1884"/>
  <c r="C1884"/>
  <c r="AX1883"/>
  <c r="G1883"/>
  <c r="D1883"/>
  <c r="C1883"/>
  <c r="AX1882"/>
  <c r="G1882"/>
  <c r="D1882"/>
  <c r="C1882"/>
  <c r="AX1881"/>
  <c r="G1881"/>
  <c r="D1881"/>
  <c r="C1881"/>
  <c r="AX1880"/>
  <c r="G1880"/>
  <c r="D1880"/>
  <c r="C1880"/>
  <c r="AX1879"/>
  <c r="G1879"/>
  <c r="D1879"/>
  <c r="C1879"/>
  <c r="AX1878"/>
  <c r="G1878"/>
  <c r="D1878"/>
  <c r="C1878"/>
  <c r="AX1877"/>
  <c r="G1877"/>
  <c r="D1877"/>
  <c r="C1877"/>
  <c r="AX1876"/>
  <c r="G1876"/>
  <c r="D1876"/>
  <c r="C1876"/>
  <c r="AX1875"/>
  <c r="G1875"/>
  <c r="D1875"/>
  <c r="C1875"/>
  <c r="AX1874"/>
  <c r="G1874"/>
  <c r="D1874"/>
  <c r="C1874"/>
  <c r="AX1873"/>
  <c r="G1873"/>
  <c r="D1873"/>
  <c r="C1873"/>
  <c r="AX1872"/>
  <c r="G1872"/>
  <c r="D1872"/>
  <c r="C1872"/>
  <c r="AX1871"/>
  <c r="G1871"/>
  <c r="D1871"/>
  <c r="C1871"/>
  <c r="AX1870"/>
  <c r="G1870"/>
  <c r="D1870"/>
  <c r="C1870"/>
  <c r="AX1869"/>
  <c r="G1869"/>
  <c r="D1869"/>
  <c r="C1869"/>
  <c r="AX1868"/>
  <c r="G1868"/>
  <c r="D1868"/>
  <c r="C1868"/>
  <c r="AX1867"/>
  <c r="G1867"/>
  <c r="D1867"/>
  <c r="C1867"/>
  <c r="AX1866"/>
  <c r="G1866"/>
  <c r="D1866"/>
  <c r="C1866"/>
  <c r="AX1865"/>
  <c r="G1865"/>
  <c r="D1865"/>
  <c r="C1865"/>
  <c r="AX1864"/>
  <c r="G1864"/>
  <c r="D1864"/>
  <c r="C1864"/>
  <c r="AX1863"/>
  <c r="G1863"/>
  <c r="D1863"/>
  <c r="C1863"/>
  <c r="AX1862"/>
  <c r="G1862"/>
  <c r="D1862"/>
  <c r="C1862"/>
  <c r="AX1861"/>
  <c r="G1861"/>
  <c r="D1861"/>
  <c r="C1861"/>
  <c r="AX1860"/>
  <c r="G1860"/>
  <c r="D1860"/>
  <c r="C1860"/>
  <c r="AX1859"/>
  <c r="G1859"/>
  <c r="D1859"/>
  <c r="C1859"/>
  <c r="AX1858"/>
  <c r="G1858"/>
  <c r="D1858"/>
  <c r="C1858"/>
  <c r="AX1857"/>
  <c r="G1857"/>
  <c r="D1857"/>
  <c r="C1857"/>
  <c r="AX1856"/>
  <c r="G1856"/>
  <c r="D1856"/>
  <c r="C1856"/>
  <c r="AX1855"/>
  <c r="G1855"/>
  <c r="D1855"/>
  <c r="C1855"/>
  <c r="AX1854"/>
  <c r="G1854"/>
  <c r="D1854"/>
  <c r="C1854"/>
  <c r="AX1853"/>
  <c r="G1853"/>
  <c r="D1853"/>
  <c r="C1853"/>
  <c r="AX1852"/>
  <c r="G1852"/>
  <c r="D1852"/>
  <c r="C1852"/>
  <c r="AX1851"/>
  <c r="G1851"/>
  <c r="D1851"/>
  <c r="C1851"/>
  <c r="AX1850"/>
  <c r="G1850"/>
  <c r="D1850"/>
  <c r="C1850"/>
  <c r="AX1849"/>
  <c r="G1849"/>
  <c r="D1849"/>
  <c r="C1849"/>
  <c r="AX1848"/>
  <c r="G1848"/>
  <c r="D1848"/>
  <c r="C1848"/>
  <c r="AX1847"/>
  <c r="G1847"/>
  <c r="D1847"/>
  <c r="C1847"/>
  <c r="AX1846"/>
  <c r="G1846"/>
  <c r="D1846"/>
  <c r="C1846"/>
  <c r="AX1845"/>
  <c r="G1845"/>
  <c r="D1845"/>
  <c r="C1845"/>
  <c r="AX1844"/>
  <c r="G1844"/>
  <c r="D1844"/>
  <c r="C1844"/>
  <c r="AX1843"/>
  <c r="G1843"/>
  <c r="D1843"/>
  <c r="C1843"/>
  <c r="AX1842"/>
  <c r="G1842"/>
  <c r="D1842"/>
  <c r="C1842"/>
  <c r="AX1841"/>
  <c r="G1841"/>
  <c r="D1841"/>
  <c r="C1841"/>
  <c r="AX1840"/>
  <c r="G1840"/>
  <c r="D1840"/>
  <c r="C1840"/>
  <c r="AX1839"/>
  <c r="G1839"/>
  <c r="D1839"/>
  <c r="C1839"/>
  <c r="AX1838"/>
  <c r="G1838"/>
  <c r="D1838"/>
  <c r="C1838"/>
  <c r="AX1837"/>
  <c r="G1837"/>
  <c r="D1837"/>
  <c r="C1837"/>
  <c r="AX1836"/>
  <c r="G1836"/>
  <c r="D1836"/>
  <c r="C1836"/>
  <c r="AX1835"/>
  <c r="G1835"/>
  <c r="D1835"/>
  <c r="C1835"/>
  <c r="AX1834"/>
  <c r="G1834"/>
  <c r="D1834"/>
  <c r="C1834"/>
  <c r="AX1833"/>
  <c r="G1833"/>
  <c r="D1833"/>
  <c r="C1833"/>
  <c r="AX1832"/>
  <c r="G1832"/>
  <c r="D1832"/>
  <c r="C1832"/>
  <c r="AX1831"/>
  <c r="G1831"/>
  <c r="D1831"/>
  <c r="C1831"/>
  <c r="AX1830"/>
  <c r="G1830"/>
  <c r="D1830"/>
  <c r="C1830"/>
  <c r="AX1829"/>
  <c r="G1829"/>
  <c r="D1829"/>
  <c r="C1829"/>
  <c r="AX1828"/>
  <c r="G1828"/>
  <c r="D1828"/>
  <c r="C1828"/>
  <c r="AX1827"/>
  <c r="G1827"/>
  <c r="D1827"/>
  <c r="C1827"/>
  <c r="AX1826"/>
  <c r="G1826"/>
  <c r="D1826"/>
  <c r="C1826"/>
  <c r="AX1825"/>
  <c r="G1825"/>
  <c r="D1825"/>
  <c r="C1825"/>
  <c r="AX1824"/>
  <c r="G1824"/>
  <c r="D1824"/>
  <c r="C1824"/>
  <c r="AX1823"/>
  <c r="G1823"/>
  <c r="D1823"/>
  <c r="C1823"/>
  <c r="AX1822"/>
  <c r="G1822"/>
  <c r="D1822"/>
  <c r="C1822"/>
  <c r="AX1821"/>
  <c r="G1821"/>
  <c r="D1821"/>
  <c r="C1821"/>
  <c r="AX1820"/>
  <c r="G1820"/>
  <c r="D1820"/>
  <c r="C1820"/>
  <c r="AX1819"/>
  <c r="G1819"/>
  <c r="D1819"/>
  <c r="C1819"/>
  <c r="AX1818"/>
  <c r="G1818"/>
  <c r="D1818"/>
  <c r="C1818"/>
  <c r="AX1817"/>
  <c r="G1817"/>
  <c r="D1817"/>
  <c r="C1817"/>
  <c r="AX1816"/>
  <c r="G1816"/>
  <c r="D1816"/>
  <c r="C1816"/>
  <c r="AX1815"/>
  <c r="G1815"/>
  <c r="D1815"/>
  <c r="C1815"/>
  <c r="AX1814"/>
  <c r="G1814"/>
  <c r="D1814"/>
  <c r="C1814"/>
  <c r="AX1813"/>
  <c r="G1813"/>
  <c r="D1813"/>
  <c r="C1813"/>
  <c r="AX1812"/>
  <c r="G1812"/>
  <c r="D1812"/>
  <c r="C1812"/>
  <c r="AX1811"/>
  <c r="G1811"/>
  <c r="D1811"/>
  <c r="C1811"/>
  <c r="AX1810"/>
  <c r="G1810"/>
  <c r="D1810"/>
  <c r="C1810"/>
  <c r="AX1809"/>
  <c r="G1809"/>
  <c r="D1809"/>
  <c r="C1809"/>
  <c r="AX1808"/>
  <c r="G1808"/>
  <c r="D1808"/>
  <c r="C1808"/>
  <c r="AX1807"/>
  <c r="G1807"/>
  <c r="D1807"/>
  <c r="C1807"/>
  <c r="AX1806"/>
  <c r="G1806"/>
  <c r="D1806"/>
  <c r="C1806"/>
  <c r="AX1805"/>
  <c r="G1805"/>
  <c r="D1805"/>
  <c r="C1805"/>
  <c r="AX1804"/>
  <c r="G1804"/>
  <c r="D1804"/>
  <c r="C1804"/>
  <c r="AX1803"/>
  <c r="G1803"/>
  <c r="D1803"/>
  <c r="C1803"/>
  <c r="AX1802"/>
  <c r="G1802"/>
  <c r="D1802"/>
  <c r="C1802"/>
  <c r="AX1801"/>
  <c r="G1801"/>
  <c r="D1801"/>
  <c r="C1801"/>
  <c r="AX1800"/>
  <c r="G1800"/>
  <c r="D1800"/>
  <c r="C1800"/>
  <c r="AX1799"/>
  <c r="G1799"/>
  <c r="D1799"/>
  <c r="C1799"/>
  <c r="AX1798"/>
  <c r="G1798"/>
  <c r="D1798"/>
  <c r="C1798"/>
  <c r="AX1797"/>
  <c r="G1797"/>
  <c r="D1797"/>
  <c r="C1797"/>
  <c r="AX1796"/>
  <c r="G1796"/>
  <c r="D1796"/>
  <c r="C1796"/>
  <c r="AX1795"/>
  <c r="G1795"/>
  <c r="D1795"/>
  <c r="C1795"/>
  <c r="AX1794"/>
  <c r="G1794"/>
  <c r="D1794"/>
  <c r="C1794"/>
  <c r="AX1793"/>
  <c r="G1793"/>
  <c r="D1793"/>
  <c r="C1793"/>
  <c r="AX1792"/>
  <c r="G1792"/>
  <c r="D1792"/>
  <c r="C1792"/>
  <c r="AX1791"/>
  <c r="G1791"/>
  <c r="D1791"/>
  <c r="C1791"/>
  <c r="AX1790"/>
  <c r="G1790"/>
  <c r="D1790"/>
  <c r="C1790"/>
  <c r="AX1789"/>
  <c r="G1789"/>
  <c r="D1789"/>
  <c r="C1789"/>
  <c r="AX1788"/>
  <c r="G1788"/>
  <c r="D1788"/>
  <c r="C1788"/>
  <c r="AX1787"/>
  <c r="G1787"/>
  <c r="D1787"/>
  <c r="C1787"/>
  <c r="AX1786"/>
  <c r="G1786"/>
  <c r="D1786"/>
  <c r="C1786"/>
  <c r="AX1785"/>
  <c r="G1785"/>
  <c r="D1785"/>
  <c r="C1785"/>
  <c r="AX1784"/>
  <c r="G1784"/>
  <c r="D1784"/>
  <c r="C1784"/>
  <c r="AX1783"/>
  <c r="G1783"/>
  <c r="D1783"/>
  <c r="C1783"/>
  <c r="AX1782"/>
  <c r="G1782"/>
  <c r="D1782"/>
  <c r="C1782"/>
  <c r="AX1781"/>
  <c r="G1781"/>
  <c r="D1781"/>
  <c r="C1781"/>
  <c r="AX1780"/>
  <c r="G1780"/>
  <c r="D1780"/>
  <c r="C1780"/>
  <c r="AX1779"/>
  <c r="G1779"/>
  <c r="D1779"/>
  <c r="C1779"/>
  <c r="AX1778"/>
  <c r="G1778"/>
  <c r="D1778"/>
  <c r="C1778"/>
  <c r="AX1777"/>
  <c r="G1777"/>
  <c r="D1777"/>
  <c r="C1777"/>
  <c r="AX1776"/>
  <c r="G1776"/>
  <c r="D1776"/>
  <c r="C1776"/>
  <c r="AX1775"/>
  <c r="G1775"/>
  <c r="D1775"/>
  <c r="C1775"/>
  <c r="AX1774"/>
  <c r="G1774"/>
  <c r="D1774"/>
  <c r="C1774"/>
  <c r="AX1773"/>
  <c r="G1773"/>
  <c r="D1773"/>
  <c r="C1773"/>
  <c r="AX1772"/>
  <c r="G1772"/>
  <c r="D1772"/>
  <c r="C1772"/>
  <c r="AX1771"/>
  <c r="G1771"/>
  <c r="D1771"/>
  <c r="C1771"/>
  <c r="AX1770"/>
  <c r="G1770"/>
  <c r="D1770"/>
  <c r="C1770"/>
  <c r="AX1769"/>
  <c r="G1769"/>
  <c r="D1769"/>
  <c r="C1769"/>
  <c r="AX1768"/>
  <c r="G1768"/>
  <c r="D1768"/>
  <c r="C1768"/>
  <c r="AX1767"/>
  <c r="G1767"/>
  <c r="D1767"/>
  <c r="C1767"/>
  <c r="AX1766"/>
  <c r="G1766"/>
  <c r="D1766"/>
  <c r="C1766"/>
  <c r="AX1765"/>
  <c r="G1765"/>
  <c r="D1765"/>
  <c r="C1765"/>
  <c r="AX1764"/>
  <c r="G1764"/>
  <c r="D1764"/>
  <c r="C1764"/>
  <c r="AX1763"/>
  <c r="G1763"/>
  <c r="D1763"/>
  <c r="C1763"/>
  <c r="AX1762"/>
  <c r="G1762"/>
  <c r="D1762"/>
  <c r="C1762"/>
  <c r="AX1761"/>
  <c r="G1761"/>
  <c r="D1761"/>
  <c r="C1761"/>
  <c r="AX1760"/>
  <c r="G1760"/>
  <c r="D1760"/>
  <c r="C1760"/>
  <c r="AX1759"/>
  <c r="G1759"/>
  <c r="D1759"/>
  <c r="C1759"/>
  <c r="AX1758"/>
  <c r="G1758"/>
  <c r="D1758"/>
  <c r="C1758"/>
  <c r="AX1757"/>
  <c r="G1757"/>
  <c r="D1757"/>
  <c r="C1757"/>
  <c r="AX1756"/>
  <c r="G1756"/>
  <c r="D1756"/>
  <c r="C1756"/>
  <c r="AX1755"/>
  <c r="G1755"/>
  <c r="D1755"/>
  <c r="C1755"/>
  <c r="AX1754"/>
  <c r="G1754"/>
  <c r="D1754"/>
  <c r="C1754"/>
  <c r="AX1753"/>
  <c r="G1753"/>
  <c r="D1753"/>
  <c r="C1753"/>
  <c r="AX1752"/>
  <c r="G1752"/>
  <c r="D1752"/>
  <c r="C1752"/>
  <c r="AX1751"/>
  <c r="G1751"/>
  <c r="D1751"/>
  <c r="C1751"/>
  <c r="AX1750"/>
  <c r="G1750"/>
  <c r="D1750"/>
  <c r="C1750"/>
  <c r="AX1749"/>
  <c r="G1749"/>
  <c r="D1749"/>
  <c r="C1749"/>
  <c r="AX1748"/>
  <c r="G1748"/>
  <c r="D1748"/>
  <c r="C1748"/>
  <c r="AX1747"/>
  <c r="G1747"/>
  <c r="D1747"/>
  <c r="C1747"/>
  <c r="AX1746"/>
  <c r="G1746"/>
  <c r="D1746"/>
  <c r="C1746"/>
  <c r="AX1745"/>
  <c r="G1745"/>
  <c r="D1745"/>
  <c r="C1745"/>
  <c r="AX1744"/>
  <c r="G1744"/>
  <c r="D1744"/>
  <c r="C1744"/>
  <c r="AX1743"/>
  <c r="G1743"/>
  <c r="D1743"/>
  <c r="C1743"/>
  <c r="AX1742"/>
  <c r="G1742"/>
  <c r="D1742"/>
  <c r="C1742"/>
  <c r="AX1741"/>
  <c r="G1741"/>
  <c r="D1741"/>
  <c r="C1741"/>
  <c r="AX1740"/>
  <c r="G1740"/>
  <c r="D1740"/>
  <c r="C1740"/>
  <c r="AX1739"/>
  <c r="G1739"/>
  <c r="D1739"/>
  <c r="C1739"/>
  <c r="AX1738"/>
  <c r="G1738"/>
  <c r="D1738"/>
  <c r="C1738"/>
  <c r="AX1737"/>
  <c r="G1737"/>
  <c r="D1737"/>
  <c r="C1737"/>
  <c r="AX1736"/>
  <c r="G1736"/>
  <c r="D1736"/>
  <c r="C1736"/>
  <c r="AX1735"/>
  <c r="G1735"/>
  <c r="D1735"/>
  <c r="C1735"/>
  <c r="AX1734"/>
  <c r="G1734"/>
  <c r="D1734"/>
  <c r="C1734"/>
  <c r="AX1733"/>
  <c r="G1733"/>
  <c r="D1733"/>
  <c r="C1733"/>
  <c r="AX1732"/>
  <c r="G1732"/>
  <c r="D1732"/>
  <c r="C1732"/>
  <c r="AX1731"/>
  <c r="G1731"/>
  <c r="D1731"/>
  <c r="C1731"/>
  <c r="AX1730"/>
  <c r="G1730"/>
  <c r="D1730"/>
  <c r="C1730"/>
  <c r="AX1729"/>
  <c r="G1729"/>
  <c r="D1729"/>
  <c r="C1729"/>
  <c r="AX1728"/>
  <c r="G1728"/>
  <c r="D1728"/>
  <c r="C1728"/>
  <c r="AX1727"/>
  <c r="G1727"/>
  <c r="D1727"/>
  <c r="C1727"/>
  <c r="AX1726"/>
  <c r="G1726"/>
  <c r="D1726"/>
  <c r="C1726"/>
  <c r="AX1725"/>
  <c r="G1725"/>
  <c r="D1725"/>
  <c r="C1725"/>
  <c r="AX1724"/>
  <c r="G1724"/>
  <c r="D1724"/>
  <c r="C1724"/>
  <c r="AX1723"/>
  <c r="G1723"/>
  <c r="D1723"/>
  <c r="C1723"/>
  <c r="AX1722"/>
  <c r="G1722"/>
  <c r="D1722"/>
  <c r="C1722"/>
  <c r="AX1721"/>
  <c r="G1721"/>
  <c r="D1721"/>
  <c r="C1721"/>
  <c r="AX1720"/>
  <c r="G1720"/>
  <c r="D1720"/>
  <c r="C1720"/>
  <c r="AX1719"/>
  <c r="G1719"/>
  <c r="D1719"/>
  <c r="C1719"/>
  <c r="AX1718"/>
  <c r="G1718"/>
  <c r="D1718"/>
  <c r="C1718"/>
  <c r="AX1717"/>
  <c r="G1717"/>
  <c r="D1717"/>
  <c r="C1717"/>
  <c r="AX1716"/>
  <c r="G1716"/>
  <c r="D1716"/>
  <c r="C1716"/>
  <c r="AX1715"/>
  <c r="G1715"/>
  <c r="D1715"/>
  <c r="C1715"/>
  <c r="AX1714"/>
  <c r="G1714"/>
  <c r="D1714"/>
  <c r="C1714"/>
  <c r="AX1713"/>
  <c r="G1713"/>
  <c r="D1713"/>
  <c r="C1713"/>
  <c r="AX1712"/>
  <c r="G1712"/>
  <c r="D1712"/>
  <c r="C1712"/>
  <c r="AX1711"/>
  <c r="G1711"/>
  <c r="D1711"/>
  <c r="C1711"/>
  <c r="AX1710"/>
  <c r="G1710"/>
  <c r="D1710"/>
  <c r="C1710"/>
  <c r="AX1709"/>
  <c r="G1709"/>
  <c r="D1709"/>
  <c r="C1709"/>
  <c r="AX1708"/>
  <c r="G1708"/>
  <c r="D1708"/>
  <c r="C1708"/>
  <c r="AX1707"/>
  <c r="G1707"/>
  <c r="D1707"/>
  <c r="C1707"/>
  <c r="AX1706"/>
  <c r="G1706"/>
  <c r="D1706"/>
  <c r="C1706"/>
  <c r="AX1705"/>
  <c r="G1705"/>
  <c r="D1705"/>
  <c r="C1705"/>
  <c r="AX1704"/>
  <c r="G1704"/>
  <c r="D1704"/>
  <c r="C1704"/>
  <c r="AX1703"/>
  <c r="G1703"/>
  <c r="D1703"/>
  <c r="C1703"/>
  <c r="AX1702"/>
  <c r="G1702"/>
  <c r="D1702"/>
  <c r="C1702"/>
  <c r="AX1701"/>
  <c r="G1701"/>
  <c r="D1701"/>
  <c r="C1701"/>
  <c r="AX1700"/>
  <c r="G1700"/>
  <c r="D1700"/>
  <c r="C1700"/>
  <c r="AX1699"/>
  <c r="G1699"/>
  <c r="D1699"/>
  <c r="C1699"/>
  <c r="AX1698"/>
  <c r="G1698"/>
  <c r="D1698"/>
  <c r="C1698"/>
  <c r="AX1697"/>
  <c r="G1697"/>
  <c r="D1697"/>
  <c r="C1697"/>
  <c r="AX1696"/>
  <c r="G1696"/>
  <c r="D1696"/>
  <c r="C1696"/>
  <c r="AX1695"/>
  <c r="G1695"/>
  <c r="D1695"/>
  <c r="C1695"/>
  <c r="AX1694"/>
  <c r="G1694"/>
  <c r="D1694"/>
  <c r="C1694"/>
  <c r="AX1693"/>
  <c r="G1693"/>
  <c r="D1693"/>
  <c r="C1693"/>
  <c r="AX1692"/>
  <c r="G1692"/>
  <c r="D1692"/>
  <c r="C1692"/>
  <c r="AX1691"/>
  <c r="G1691"/>
  <c r="D1691"/>
  <c r="C1691"/>
  <c r="AX1690"/>
  <c r="G1690"/>
  <c r="D1690"/>
  <c r="C1690"/>
  <c r="AX1689"/>
  <c r="G1689"/>
  <c r="D1689"/>
  <c r="C1689"/>
  <c r="AX1688"/>
  <c r="G1688"/>
  <c r="D1688"/>
  <c r="C1688"/>
  <c r="AX1687"/>
  <c r="G1687"/>
  <c r="D1687"/>
  <c r="C1687"/>
  <c r="AX1686"/>
  <c r="G1686"/>
  <c r="D1686"/>
  <c r="C1686"/>
  <c r="AX1685"/>
  <c r="G1685"/>
  <c r="D1685"/>
  <c r="C1685"/>
  <c r="AX1684"/>
  <c r="G1684"/>
  <c r="D1684"/>
  <c r="C1684"/>
  <c r="AX1683"/>
  <c r="G1683"/>
  <c r="D1683"/>
  <c r="C1683"/>
  <c r="AX1682"/>
  <c r="G1682"/>
  <c r="D1682"/>
  <c r="C1682"/>
  <c r="AX1681"/>
  <c r="G1681"/>
  <c r="D1681"/>
  <c r="C1681"/>
  <c r="AX1680"/>
  <c r="G1680"/>
  <c r="D1680"/>
  <c r="C1680"/>
  <c r="AX1679"/>
  <c r="G1679"/>
  <c r="D1679"/>
  <c r="C1679"/>
  <c r="AX1678"/>
  <c r="G1678"/>
  <c r="D1678"/>
  <c r="C1678"/>
  <c r="AX1677"/>
  <c r="G1677"/>
  <c r="D1677"/>
  <c r="C1677"/>
  <c r="AX1676"/>
  <c r="G1676"/>
  <c r="D1676"/>
  <c r="C1676"/>
  <c r="AX1675"/>
  <c r="G1675"/>
  <c r="D1675"/>
  <c r="C1675"/>
  <c r="AX1674"/>
  <c r="G1674"/>
  <c r="D1674"/>
  <c r="C1674"/>
  <c r="AX1673"/>
  <c r="G1673"/>
  <c r="D1673"/>
  <c r="C1673"/>
  <c r="AX1672"/>
  <c r="G1672"/>
  <c r="D1672"/>
  <c r="C1672"/>
  <c r="AX1671"/>
  <c r="G1671"/>
  <c r="D1671"/>
  <c r="C1671"/>
  <c r="AX1670"/>
  <c r="G1670"/>
  <c r="D1670"/>
  <c r="C1670"/>
  <c r="AX1669"/>
  <c r="G1669"/>
  <c r="D1669"/>
  <c r="C1669"/>
  <c r="AX1668"/>
  <c r="G1668"/>
  <c r="D1668"/>
  <c r="C1668"/>
  <c r="AX1667"/>
  <c r="G1667"/>
  <c r="D1667"/>
  <c r="C1667"/>
  <c r="AX1666"/>
  <c r="G1666"/>
  <c r="D1666"/>
  <c r="C1666"/>
  <c r="AX1665"/>
  <c r="G1665"/>
  <c r="D1665"/>
  <c r="C1665"/>
  <c r="AX1664"/>
  <c r="G1664"/>
  <c r="D1664"/>
  <c r="C1664"/>
  <c r="AX1663"/>
  <c r="G1663"/>
  <c r="D1663"/>
  <c r="C1663"/>
  <c r="AX1662"/>
  <c r="G1662"/>
  <c r="D1662"/>
  <c r="C1662"/>
  <c r="AX1661"/>
  <c r="G1661"/>
  <c r="D1661"/>
  <c r="C1661"/>
  <c r="AX1660"/>
  <c r="G1660"/>
  <c r="D1660"/>
  <c r="C1660"/>
  <c r="AX1659"/>
  <c r="G1659"/>
  <c r="D1659"/>
  <c r="C1659"/>
  <c r="AX1658"/>
  <c r="G1658"/>
  <c r="D1658"/>
  <c r="C1658"/>
  <c r="AX1657"/>
  <c r="G1657"/>
  <c r="D1657"/>
  <c r="C1657"/>
  <c r="AX1656"/>
  <c r="G1656"/>
  <c r="D1656"/>
  <c r="C1656"/>
  <c r="AX1655"/>
  <c r="G1655"/>
  <c r="D1655"/>
  <c r="C1655"/>
  <c r="AX1654"/>
  <c r="G1654"/>
  <c r="D1654"/>
  <c r="C1654"/>
  <c r="AX1653"/>
  <c r="G1653"/>
  <c r="D1653"/>
  <c r="C1653"/>
  <c r="AX1652"/>
  <c r="G1652"/>
  <c r="D1652"/>
  <c r="C1652"/>
  <c r="AX1651"/>
  <c r="G1651"/>
  <c r="D1651"/>
  <c r="C1651"/>
  <c r="AX1650"/>
  <c r="G1650"/>
  <c r="D1650"/>
  <c r="C1650"/>
  <c r="AX1649"/>
  <c r="G1649"/>
  <c r="D1649"/>
  <c r="C1649"/>
  <c r="AX1648"/>
  <c r="G1648"/>
  <c r="D1648"/>
  <c r="C1648"/>
  <c r="AX1647"/>
  <c r="G1647"/>
  <c r="D1647"/>
  <c r="C1647"/>
  <c r="AX1646"/>
  <c r="G1646"/>
  <c r="D1646"/>
  <c r="C1646"/>
  <c r="AX1645"/>
  <c r="G1645"/>
  <c r="D1645"/>
  <c r="C1645"/>
  <c r="AX1644"/>
  <c r="G1644"/>
  <c r="D1644"/>
  <c r="C1644"/>
  <c r="AX1643"/>
  <c r="G1643"/>
  <c r="D1643"/>
  <c r="C1643"/>
  <c r="AX1642"/>
  <c r="G1642"/>
  <c r="D1642"/>
  <c r="C1642"/>
  <c r="AX1641"/>
  <c r="G1641"/>
  <c r="D1641"/>
  <c r="C1641"/>
  <c r="AX1640"/>
  <c r="G1640"/>
  <c r="D1640"/>
  <c r="C1640"/>
  <c r="AX1639"/>
  <c r="G1639"/>
  <c r="D1639"/>
  <c r="C1639"/>
  <c r="AX1638"/>
  <c r="G1638"/>
  <c r="D1638"/>
  <c r="C1638"/>
  <c r="AX1637"/>
  <c r="G1637"/>
  <c r="D1637"/>
  <c r="C1637"/>
  <c r="AX1636"/>
  <c r="G1636"/>
  <c r="D1636"/>
  <c r="C1636"/>
  <c r="AX1635"/>
  <c r="G1635"/>
  <c r="D1635"/>
  <c r="C1635"/>
  <c r="AX1634"/>
  <c r="G1634"/>
  <c r="D1634"/>
  <c r="C1634"/>
  <c r="AX1633"/>
  <c r="G1633"/>
  <c r="D1633"/>
  <c r="C1633"/>
  <c r="AX1632"/>
  <c r="G1632"/>
  <c r="D1632"/>
  <c r="C1632"/>
  <c r="AX1631"/>
  <c r="G1631"/>
  <c r="D1631"/>
  <c r="C1631"/>
  <c r="AX1630"/>
  <c r="G1630"/>
  <c r="D1630"/>
  <c r="C1630"/>
  <c r="AX1629"/>
  <c r="G1629"/>
  <c r="D1629"/>
  <c r="C1629"/>
  <c r="AX1628"/>
  <c r="G1628"/>
  <c r="D1628"/>
  <c r="C1628"/>
  <c r="AX1627"/>
  <c r="G1627"/>
  <c r="D1627"/>
  <c r="C1627"/>
  <c r="AX1626"/>
  <c r="G1626"/>
  <c r="D1626"/>
  <c r="C1626"/>
  <c r="AX1625"/>
  <c r="G1625"/>
  <c r="D1625"/>
  <c r="C1625"/>
  <c r="AX1624"/>
  <c r="G1624"/>
  <c r="D1624"/>
  <c r="C1624"/>
  <c r="AX1623"/>
  <c r="G1623"/>
  <c r="D1623"/>
  <c r="C1623"/>
  <c r="AX1622"/>
  <c r="G1622"/>
  <c r="D1622"/>
  <c r="C1622"/>
  <c r="AX1621"/>
  <c r="G1621"/>
  <c r="D1621"/>
  <c r="C1621"/>
  <c r="AX1620"/>
  <c r="G1620"/>
  <c r="D1620"/>
  <c r="C1620"/>
  <c r="AX1619"/>
  <c r="G1619"/>
  <c r="D1619"/>
  <c r="C1619"/>
  <c r="AX1618"/>
  <c r="G1618"/>
  <c r="D1618"/>
  <c r="C1618"/>
  <c r="AX1617"/>
  <c r="G1617"/>
  <c r="D1617"/>
  <c r="C1617"/>
  <c r="AX1616"/>
  <c r="G1616"/>
  <c r="D1616"/>
  <c r="C1616"/>
  <c r="AX1615"/>
  <c r="G1615"/>
  <c r="D1615"/>
  <c r="C1615"/>
  <c r="AX1614"/>
  <c r="G1614"/>
  <c r="D1614"/>
  <c r="C1614"/>
  <c r="AX1613"/>
  <c r="G1613"/>
  <c r="D1613"/>
  <c r="C1613"/>
  <c r="AX1612"/>
  <c r="G1612"/>
  <c r="D1612"/>
  <c r="C1612"/>
  <c r="AX1611"/>
  <c r="G1611"/>
  <c r="D1611"/>
  <c r="C1611"/>
  <c r="AX1610"/>
  <c r="G1610"/>
  <c r="D1610"/>
  <c r="C1610"/>
  <c r="AX1609"/>
  <c r="G1609"/>
  <c r="D1609"/>
  <c r="C1609"/>
  <c r="AX1608"/>
  <c r="G1608"/>
  <c r="D1608"/>
  <c r="C1608"/>
  <c r="AX1607"/>
  <c r="G1607"/>
  <c r="D1607"/>
  <c r="C1607"/>
  <c r="AX1606"/>
  <c r="G1606"/>
  <c r="D1606"/>
  <c r="C1606"/>
  <c r="AX1605"/>
  <c r="G1605"/>
  <c r="D1605"/>
  <c r="C1605"/>
  <c r="AX1604"/>
  <c r="G1604"/>
  <c r="D1604"/>
  <c r="C1604"/>
  <c r="AX1603"/>
  <c r="G1603"/>
  <c r="D1603"/>
  <c r="C1603"/>
  <c r="AX1602"/>
  <c r="G1602"/>
  <c r="D1602"/>
  <c r="C1602"/>
  <c r="AX1601"/>
  <c r="G1601"/>
  <c r="D1601"/>
  <c r="C1601"/>
  <c r="AX1600"/>
  <c r="G1600"/>
  <c r="D1600"/>
  <c r="C1600"/>
  <c r="AX1599"/>
  <c r="G1599"/>
  <c r="D1599"/>
  <c r="C1599"/>
  <c r="AX1598"/>
  <c r="G1598"/>
  <c r="D1598"/>
  <c r="C1598"/>
  <c r="AX1597"/>
  <c r="G1597"/>
  <c r="D1597"/>
  <c r="C1597"/>
  <c r="AX1596"/>
  <c r="G1596"/>
  <c r="D1596"/>
  <c r="C1596"/>
  <c r="AX1595"/>
  <c r="G1595"/>
  <c r="D1595"/>
  <c r="C1595"/>
  <c r="AX1594"/>
  <c r="G1594"/>
  <c r="D1594"/>
  <c r="C1594"/>
  <c r="AX1593"/>
  <c r="G1593"/>
  <c r="D1593"/>
  <c r="C1593"/>
  <c r="AX1592"/>
  <c r="G1592"/>
  <c r="D1592"/>
  <c r="C1592"/>
  <c r="AX1591"/>
  <c r="G1591"/>
  <c r="D1591"/>
  <c r="C1591"/>
  <c r="AX1590"/>
  <c r="G1590"/>
  <c r="D1590"/>
  <c r="C1590"/>
  <c r="AX1589"/>
  <c r="G1589"/>
  <c r="D1589"/>
  <c r="C1589"/>
  <c r="AX1588"/>
  <c r="G1588"/>
  <c r="D1588"/>
  <c r="C1588"/>
  <c r="AX1587"/>
  <c r="G1587"/>
  <c r="D1587"/>
  <c r="C1587"/>
  <c r="AX1586"/>
  <c r="G1586"/>
  <c r="D1586"/>
  <c r="C1586"/>
  <c r="AX1585"/>
  <c r="G1585"/>
  <c r="D1585"/>
  <c r="C1585"/>
  <c r="AX1584"/>
  <c r="G1584"/>
  <c r="D1584"/>
  <c r="C1584"/>
  <c r="AX1583"/>
  <c r="G1583"/>
  <c r="D1583"/>
  <c r="C1583"/>
  <c r="AX1582"/>
  <c r="G1582"/>
  <c r="D1582"/>
  <c r="C1582"/>
  <c r="AX1581"/>
  <c r="G1581"/>
  <c r="D1581"/>
  <c r="C1581"/>
  <c r="AX1580"/>
  <c r="G1580"/>
  <c r="D1580"/>
  <c r="C1580"/>
  <c r="AX1579"/>
  <c r="G1579"/>
  <c r="D1579"/>
  <c r="C1579"/>
  <c r="AX1578"/>
  <c r="G1578"/>
  <c r="D1578"/>
  <c r="C1578"/>
  <c r="AX1577"/>
  <c r="G1577"/>
  <c r="D1577"/>
  <c r="C1577"/>
  <c r="AX1576"/>
  <c r="G1576"/>
  <c r="D1576"/>
  <c r="C1576"/>
  <c r="AX1575"/>
  <c r="G1575"/>
  <c r="D1575"/>
  <c r="C1575"/>
  <c r="AX1574"/>
  <c r="G1574"/>
  <c r="D1574"/>
  <c r="C1574"/>
  <c r="AX1573"/>
  <c r="G1573"/>
  <c r="D1573"/>
  <c r="C1573"/>
  <c r="AX1572"/>
  <c r="G1572"/>
  <c r="D1572"/>
  <c r="C1572"/>
  <c r="AX1571"/>
  <c r="G1571"/>
  <c r="D1571"/>
  <c r="C1571"/>
  <c r="AX1570"/>
  <c r="G1570"/>
  <c r="D1570"/>
  <c r="C1570"/>
  <c r="AX1569"/>
  <c r="G1569"/>
  <c r="D1569"/>
  <c r="C1569"/>
  <c r="AX1568"/>
  <c r="G1568"/>
  <c r="D1568"/>
  <c r="C1568"/>
  <c r="AX1567"/>
  <c r="G1567"/>
  <c r="D1567"/>
  <c r="C1567"/>
  <c r="AX1566"/>
  <c r="G1566"/>
  <c r="D1566"/>
  <c r="C1566"/>
  <c r="AX1565"/>
  <c r="G1565"/>
  <c r="D1565"/>
  <c r="C1565"/>
  <c r="AX1564"/>
  <c r="G1564"/>
  <c r="D1564"/>
  <c r="C1564"/>
  <c r="AX1563"/>
  <c r="G1563"/>
  <c r="D1563"/>
  <c r="C1563"/>
  <c r="AX1562"/>
  <c r="G1562"/>
  <c r="D1562"/>
  <c r="C1562"/>
  <c r="AX1561"/>
  <c r="G1561"/>
  <c r="D1561"/>
  <c r="C1561"/>
  <c r="AX1560"/>
  <c r="G1560"/>
  <c r="D1560"/>
  <c r="C1560"/>
  <c r="AX1559"/>
  <c r="G1559"/>
  <c r="D1559"/>
  <c r="C1559"/>
  <c r="AX1558"/>
  <c r="G1558"/>
  <c r="D1558"/>
  <c r="C1558"/>
  <c r="AX1557"/>
  <c r="G1557"/>
  <c r="D1557"/>
  <c r="C1557"/>
  <c r="AX1556"/>
  <c r="G1556"/>
  <c r="D1556"/>
  <c r="C1556"/>
  <c r="AX1555"/>
  <c r="G1555"/>
  <c r="D1555"/>
  <c r="C1555"/>
  <c r="AX1554"/>
  <c r="G1554"/>
  <c r="D1554"/>
  <c r="C1554"/>
  <c r="AX1553"/>
  <c r="G1553"/>
  <c r="D1553"/>
  <c r="C1553"/>
  <c r="AX1552"/>
  <c r="G1552"/>
  <c r="D1552"/>
  <c r="C1552"/>
  <c r="AX1551"/>
  <c r="G1551"/>
  <c r="D1551"/>
  <c r="C1551"/>
  <c r="AX1550"/>
  <c r="G1550"/>
  <c r="D1550"/>
  <c r="C1550"/>
  <c r="AX1549"/>
  <c r="G1549"/>
  <c r="D1549"/>
  <c r="C1549"/>
  <c r="AX1548"/>
  <c r="G1548"/>
  <c r="D1548"/>
  <c r="C1548"/>
  <c r="AX1547"/>
  <c r="G1547"/>
  <c r="D1547"/>
  <c r="C1547"/>
  <c r="AX1546"/>
  <c r="G1546"/>
  <c r="D1546"/>
  <c r="C1546"/>
  <c r="AX1545"/>
  <c r="G1545"/>
  <c r="D1545"/>
  <c r="C1545"/>
  <c r="AX1544"/>
  <c r="G1544"/>
  <c r="D1544"/>
  <c r="C1544"/>
  <c r="AX1543"/>
  <c r="G1543"/>
  <c r="D1543"/>
  <c r="C1543"/>
  <c r="AX1542"/>
  <c r="G1542"/>
  <c r="D1542"/>
  <c r="C1542"/>
  <c r="AX1541"/>
  <c r="G1541"/>
  <c r="D1541"/>
  <c r="C1541"/>
  <c r="AX1540"/>
  <c r="G1540"/>
  <c r="D1540"/>
  <c r="C1540"/>
  <c r="AX1539"/>
  <c r="G1539"/>
  <c r="D1539"/>
  <c r="C1539"/>
  <c r="AX1538"/>
  <c r="G1538"/>
  <c r="D1538"/>
  <c r="C1538"/>
  <c r="AX1537"/>
  <c r="G1537"/>
  <c r="D1537"/>
  <c r="C1537"/>
  <c r="AX1536"/>
  <c r="G1536"/>
  <c r="D1536"/>
  <c r="C1536"/>
  <c r="AX1535"/>
  <c r="G1535"/>
  <c r="D1535"/>
  <c r="C1535"/>
  <c r="AX1534"/>
  <c r="G1534"/>
  <c r="D1534"/>
  <c r="C1534"/>
  <c r="AX1533"/>
  <c r="G1533"/>
  <c r="D1533"/>
  <c r="C1533"/>
  <c r="AX1532"/>
  <c r="G1532"/>
  <c r="D1532"/>
  <c r="C1532"/>
  <c r="AX1531"/>
  <c r="G1531"/>
  <c r="D1531"/>
  <c r="C1531"/>
  <c r="AX1530"/>
  <c r="G1530"/>
  <c r="D1530"/>
  <c r="C1530"/>
  <c r="AX1529"/>
  <c r="G1529"/>
  <c r="D1529"/>
  <c r="C1529"/>
  <c r="AX1528"/>
  <c r="G1528"/>
  <c r="D1528"/>
  <c r="C1528"/>
  <c r="AX1527"/>
  <c r="G1527"/>
  <c r="D1527"/>
  <c r="C1527"/>
  <c r="AX1526"/>
  <c r="G1526"/>
  <c r="D1526"/>
  <c r="C1526"/>
  <c r="AX1525"/>
  <c r="G1525"/>
  <c r="D1525"/>
  <c r="C1525"/>
  <c r="AX1524"/>
  <c r="G1524"/>
  <c r="D1524"/>
  <c r="C1524"/>
  <c r="AX1523"/>
  <c r="G1523"/>
  <c r="D1523"/>
  <c r="C1523"/>
  <c r="AX1522"/>
  <c r="G1522"/>
  <c r="D1522"/>
  <c r="C1522"/>
  <c r="AX1521"/>
  <c r="G1521"/>
  <c r="D1521"/>
  <c r="C1521"/>
  <c r="AX1520"/>
  <c r="G1520"/>
  <c r="D1520"/>
  <c r="C1520"/>
  <c r="AX1519"/>
  <c r="G1519"/>
  <c r="D1519"/>
  <c r="C1519"/>
  <c r="AX1518"/>
  <c r="G1518"/>
  <c r="D1518"/>
  <c r="C1518"/>
  <c r="AX1517"/>
  <c r="G1517"/>
  <c r="D1517"/>
  <c r="C1517"/>
  <c r="AX1516"/>
  <c r="G1516"/>
  <c r="D1516"/>
  <c r="C1516"/>
  <c r="AX1515"/>
  <c r="G1515"/>
  <c r="D1515"/>
  <c r="C1515"/>
  <c r="AX1514"/>
  <c r="G1514"/>
  <c r="D1514"/>
  <c r="C1514"/>
  <c r="AX1513"/>
  <c r="G1513"/>
  <c r="D1513"/>
  <c r="C1513"/>
  <c r="AX1512"/>
  <c r="G1512"/>
  <c r="D1512"/>
  <c r="C1512"/>
  <c r="AX1511"/>
  <c r="G1511"/>
  <c r="D1511"/>
  <c r="C1511"/>
  <c r="AX1510"/>
  <c r="G1510"/>
  <c r="D1510"/>
  <c r="C1510"/>
  <c r="AX1509"/>
  <c r="G1509"/>
  <c r="D1509"/>
  <c r="C1509"/>
  <c r="AX1508"/>
  <c r="G1508"/>
  <c r="D1508"/>
  <c r="C1508"/>
  <c r="AX1507"/>
  <c r="G1507"/>
  <c r="D1507"/>
  <c r="C1507"/>
  <c r="AX1506"/>
  <c r="G1506"/>
  <c r="D1506"/>
  <c r="C1506"/>
  <c r="AX1505"/>
  <c r="G1505"/>
  <c r="D1505"/>
  <c r="C1505"/>
  <c r="AX1504"/>
  <c r="G1504"/>
  <c r="D1504"/>
  <c r="C1504"/>
  <c r="AX1503"/>
  <c r="G1503"/>
  <c r="D1503"/>
  <c r="C1503"/>
  <c r="AX1502"/>
  <c r="G1502"/>
  <c r="D1502"/>
  <c r="C1502"/>
  <c r="AX1501"/>
  <c r="G1501"/>
  <c r="D1501"/>
  <c r="C1501"/>
  <c r="AX1500"/>
  <c r="G1500"/>
  <c r="D1500"/>
  <c r="C1500"/>
  <c r="AX1499"/>
  <c r="G1499"/>
  <c r="D1499"/>
  <c r="C1499"/>
  <c r="AX1498"/>
  <c r="G1498"/>
  <c r="D1498"/>
  <c r="C1498"/>
  <c r="AX1497"/>
  <c r="G1497"/>
  <c r="D1497"/>
  <c r="C1497"/>
  <c r="AX1496"/>
  <c r="G1496"/>
  <c r="D1496"/>
  <c r="C1496"/>
  <c r="AX1495"/>
  <c r="G1495"/>
  <c r="D1495"/>
  <c r="C1495"/>
  <c r="AX1494"/>
  <c r="G1494"/>
  <c r="D1494"/>
  <c r="C1494"/>
  <c r="AX1493"/>
  <c r="G1493"/>
  <c r="D1493"/>
  <c r="C1493"/>
  <c r="AX1492"/>
  <c r="G1492"/>
  <c r="D1492"/>
  <c r="C1492"/>
  <c r="AX1491"/>
  <c r="G1491"/>
  <c r="D1491"/>
  <c r="C1491"/>
  <c r="AX1490"/>
  <c r="G1490"/>
  <c r="D1490"/>
  <c r="C1490"/>
  <c r="AX1489"/>
  <c r="G1489"/>
  <c r="D1489"/>
  <c r="C1489"/>
  <c r="AX1488"/>
  <c r="G1488"/>
  <c r="D1488"/>
  <c r="C1488"/>
  <c r="AX1487"/>
  <c r="G1487"/>
  <c r="D1487"/>
  <c r="C1487"/>
  <c r="AX1486"/>
  <c r="G1486"/>
  <c r="D1486"/>
  <c r="C1486"/>
  <c r="AX1485"/>
  <c r="G1485"/>
  <c r="D1485"/>
  <c r="C1485"/>
  <c r="AX1484"/>
  <c r="G1484"/>
  <c r="D1484"/>
  <c r="C1484"/>
  <c r="AX1483"/>
  <c r="G1483"/>
  <c r="D1483"/>
  <c r="C1483"/>
  <c r="AX1482"/>
  <c r="G1482"/>
  <c r="D1482"/>
  <c r="C1482"/>
  <c r="AX1481"/>
  <c r="G1481"/>
  <c r="D1481"/>
  <c r="C1481"/>
  <c r="AX1480"/>
  <c r="G1480"/>
  <c r="D1480"/>
  <c r="C1480"/>
  <c r="AX1479"/>
  <c r="G1479"/>
  <c r="D1479"/>
  <c r="C1479"/>
  <c r="AX1478"/>
  <c r="G1478"/>
  <c r="D1478"/>
  <c r="C1478"/>
  <c r="AX1477"/>
  <c r="G1477"/>
  <c r="D1477"/>
  <c r="C1477"/>
  <c r="AX1476"/>
  <c r="G1476"/>
  <c r="D1476"/>
  <c r="C1476"/>
  <c r="AX1475"/>
  <c r="G1475"/>
  <c r="D1475"/>
  <c r="C1475"/>
  <c r="AX1474"/>
  <c r="G1474"/>
  <c r="D1474"/>
  <c r="C1474"/>
  <c r="AX1473"/>
  <c r="G1473"/>
  <c r="D1473"/>
  <c r="C1473"/>
  <c r="AX1472"/>
  <c r="G1472"/>
  <c r="D1472"/>
  <c r="C1472"/>
  <c r="AX1471"/>
  <c r="G1471"/>
  <c r="D1471"/>
  <c r="C1471"/>
  <c r="AX1470"/>
  <c r="G1470"/>
  <c r="D1470"/>
  <c r="C1470"/>
  <c r="AX1469"/>
  <c r="G1469"/>
  <c r="D1469"/>
  <c r="C1469"/>
  <c r="AX1468"/>
  <c r="G1468"/>
  <c r="D1468"/>
  <c r="C1468"/>
  <c r="AX1467"/>
  <c r="G1467"/>
  <c r="D1467"/>
  <c r="C1467"/>
  <c r="AX1466"/>
  <c r="G1466"/>
  <c r="D1466"/>
  <c r="C1466"/>
  <c r="AX1465"/>
  <c r="G1465"/>
  <c r="D1465"/>
  <c r="C1465"/>
  <c r="AX1464"/>
  <c r="G1464"/>
  <c r="D1464"/>
  <c r="C1464"/>
  <c r="AX1463"/>
  <c r="G1463"/>
  <c r="D1463"/>
  <c r="C1463"/>
  <c r="AX1462"/>
  <c r="G1462"/>
  <c r="D1462"/>
  <c r="C1462"/>
  <c r="AX1461"/>
  <c r="G1461"/>
  <c r="D1461"/>
  <c r="C1461"/>
  <c r="AX1460"/>
  <c r="G1460"/>
  <c r="D1460"/>
  <c r="C1460"/>
  <c r="AX1459"/>
  <c r="G1459"/>
  <c r="D1459"/>
  <c r="C1459"/>
  <c r="AX1458"/>
  <c r="G1458"/>
  <c r="D1458"/>
  <c r="C1458"/>
  <c r="AX1457"/>
  <c r="G1457"/>
  <c r="D1457"/>
  <c r="C1457"/>
  <c r="AX1456"/>
  <c r="G1456"/>
  <c r="D1456"/>
  <c r="C1456"/>
  <c r="AX1455"/>
  <c r="G1455"/>
  <c r="D1455"/>
  <c r="C1455"/>
  <c r="AX1454"/>
  <c r="G1454"/>
  <c r="D1454"/>
  <c r="C1454"/>
  <c r="AX1453"/>
  <c r="G1453"/>
  <c r="D1453"/>
  <c r="C1453"/>
  <c r="AX1452"/>
  <c r="G1452"/>
  <c r="D1452"/>
  <c r="C1452"/>
  <c r="AX1451"/>
  <c r="G1451"/>
  <c r="D1451"/>
  <c r="C1451"/>
  <c r="AX1450"/>
  <c r="G1450"/>
  <c r="D1450"/>
  <c r="C1450"/>
  <c r="AX1449"/>
  <c r="G1449"/>
  <c r="D1449"/>
  <c r="C1449"/>
  <c r="AX1448"/>
  <c r="G1448"/>
  <c r="D1448"/>
  <c r="C1448"/>
  <c r="AX1447"/>
  <c r="G1447"/>
  <c r="D1447"/>
  <c r="C1447"/>
  <c r="AX1446"/>
  <c r="G1446"/>
  <c r="D1446"/>
  <c r="C1446"/>
  <c r="AX1445"/>
  <c r="G1445"/>
  <c r="D1445"/>
  <c r="C1445"/>
  <c r="AX1444"/>
  <c r="G1444"/>
  <c r="D1444"/>
  <c r="C1444"/>
  <c r="AX1443"/>
  <c r="G1443"/>
  <c r="D1443"/>
  <c r="C1443"/>
  <c r="AX1442"/>
  <c r="G1442"/>
  <c r="D1442"/>
  <c r="C1442"/>
  <c r="AX1441"/>
  <c r="G1441"/>
  <c r="D1441"/>
  <c r="C1441"/>
  <c r="AX1440"/>
  <c r="G1440"/>
  <c r="D1440"/>
  <c r="C1440"/>
  <c r="AX1439"/>
  <c r="G1439"/>
  <c r="D1439"/>
  <c r="C1439"/>
  <c r="AX1438"/>
  <c r="G1438"/>
  <c r="D1438"/>
  <c r="C1438"/>
  <c r="AX1437"/>
  <c r="G1437"/>
  <c r="D1437"/>
  <c r="C1437"/>
  <c r="AX1436"/>
  <c r="G1436"/>
  <c r="D1436"/>
  <c r="C1436"/>
  <c r="AX1435"/>
  <c r="G1435"/>
  <c r="D1435"/>
  <c r="C1435"/>
  <c r="AX1434"/>
  <c r="G1434"/>
  <c r="D1434"/>
  <c r="C1434"/>
  <c r="AX1433"/>
  <c r="G1433"/>
  <c r="D1433"/>
  <c r="C1433"/>
  <c r="AX1432"/>
  <c r="G1432"/>
  <c r="D1432"/>
  <c r="C1432"/>
  <c r="AX1431"/>
  <c r="G1431"/>
  <c r="D1431"/>
  <c r="C1431"/>
  <c r="AX1430"/>
  <c r="G1430"/>
  <c r="D1430"/>
  <c r="C1430"/>
  <c r="AX1429"/>
  <c r="G1429"/>
  <c r="D1429"/>
  <c r="C1429"/>
  <c r="AX1428"/>
  <c r="G1428"/>
  <c r="D1428"/>
  <c r="C1428"/>
  <c r="AX1427"/>
  <c r="G1427"/>
  <c r="D1427"/>
  <c r="C1427"/>
  <c r="AX1426"/>
  <c r="G1426"/>
  <c r="D1426"/>
  <c r="C1426"/>
  <c r="AX1425"/>
  <c r="G1425"/>
  <c r="D1425"/>
  <c r="C1425"/>
  <c r="AX1424"/>
  <c r="G1424"/>
  <c r="D1424"/>
  <c r="C1424"/>
  <c r="AX1423"/>
  <c r="G1423"/>
  <c r="D1423"/>
  <c r="C1423"/>
  <c r="AX1422"/>
  <c r="G1422"/>
  <c r="D1422"/>
  <c r="C1422"/>
  <c r="AX1421"/>
  <c r="G1421"/>
  <c r="D1421"/>
  <c r="C1421"/>
  <c r="AX1420"/>
  <c r="G1420"/>
  <c r="D1420"/>
  <c r="C1420"/>
  <c r="AX1419"/>
  <c r="G1419"/>
  <c r="D1419"/>
  <c r="C1419"/>
  <c r="AX1418"/>
  <c r="G1418"/>
  <c r="D1418"/>
  <c r="C1418"/>
  <c r="AX1417"/>
  <c r="G1417"/>
  <c r="D1417"/>
  <c r="C1417"/>
  <c r="AX1416"/>
  <c r="G1416"/>
  <c r="D1416"/>
  <c r="C1416"/>
  <c r="AX1415"/>
  <c r="G1415"/>
  <c r="D1415"/>
  <c r="C1415"/>
  <c r="AX1414"/>
  <c r="G1414"/>
  <c r="D1414"/>
  <c r="C1414"/>
  <c r="AX1413"/>
  <c r="G1413"/>
  <c r="D1413"/>
  <c r="C1413"/>
  <c r="AX1412"/>
  <c r="G1412"/>
  <c r="D1412"/>
  <c r="C1412"/>
  <c r="AX1411"/>
  <c r="G1411"/>
  <c r="D1411"/>
  <c r="C1411"/>
  <c r="AX1410"/>
  <c r="G1410"/>
  <c r="D1410"/>
  <c r="C1410"/>
  <c r="AX1409"/>
  <c r="G1409"/>
  <c r="D1409"/>
  <c r="C1409"/>
  <c r="AX1408"/>
  <c r="G1408"/>
  <c r="D1408"/>
  <c r="C1408"/>
  <c r="AX1407"/>
  <c r="G1407"/>
  <c r="D1407"/>
  <c r="C1407"/>
  <c r="AX1406"/>
  <c r="G1406"/>
  <c r="D1406"/>
  <c r="C1406"/>
  <c r="AX1405"/>
  <c r="G1405"/>
  <c r="D1405"/>
  <c r="C1405"/>
  <c r="AX1404"/>
  <c r="G1404"/>
  <c r="D1404"/>
  <c r="C1404"/>
  <c r="AX1403"/>
  <c r="G1403"/>
  <c r="D1403"/>
  <c r="C1403"/>
  <c r="AX1402"/>
  <c r="G1402"/>
  <c r="D1402"/>
  <c r="C1402"/>
  <c r="AX1401"/>
  <c r="G1401"/>
  <c r="D1401"/>
  <c r="C1401"/>
  <c r="AX1400"/>
  <c r="G1400"/>
  <c r="D1400"/>
  <c r="C1400"/>
  <c r="AX1399"/>
  <c r="G1399"/>
  <c r="D1399"/>
  <c r="C1399"/>
  <c r="AX1398"/>
  <c r="G1398"/>
  <c r="D1398"/>
  <c r="C1398"/>
  <c r="AX1397"/>
  <c r="G1397"/>
  <c r="D1397"/>
  <c r="C1397"/>
  <c r="AX1396"/>
  <c r="G1396"/>
  <c r="D1396"/>
  <c r="C1396"/>
  <c r="AX1395"/>
  <c r="G1395"/>
  <c r="D1395"/>
  <c r="C1395"/>
  <c r="AX1394"/>
  <c r="G1394"/>
  <c r="D1394"/>
  <c r="C1394"/>
  <c r="AX1393"/>
  <c r="G1393"/>
  <c r="D1393"/>
  <c r="C1393"/>
  <c r="AX1392"/>
  <c r="G1392"/>
  <c r="D1392"/>
  <c r="C1392"/>
  <c r="AX1391"/>
  <c r="G1391"/>
  <c r="D1391"/>
  <c r="C1391"/>
  <c r="AX1390"/>
  <c r="G1390"/>
  <c r="D1390"/>
  <c r="C1390"/>
  <c r="AX1389"/>
  <c r="G1389"/>
  <c r="D1389"/>
  <c r="C1389"/>
  <c r="AX1388"/>
  <c r="G1388"/>
  <c r="D1388"/>
  <c r="C1388"/>
  <c r="AX1387"/>
  <c r="G1387"/>
  <c r="D1387"/>
  <c r="C1387"/>
  <c r="AX1386"/>
  <c r="G1386"/>
  <c r="D1386"/>
  <c r="C1386"/>
  <c r="AX1385"/>
  <c r="G1385"/>
  <c r="D1385"/>
  <c r="C1385"/>
  <c r="AX1384"/>
  <c r="G1384"/>
  <c r="D1384"/>
  <c r="C1384"/>
  <c r="AX1383"/>
  <c r="G1383"/>
  <c r="D1383"/>
  <c r="C1383"/>
  <c r="AX1382"/>
  <c r="G1382"/>
  <c r="D1382"/>
  <c r="C1382"/>
  <c r="AX1381"/>
  <c r="G1381"/>
  <c r="D1381"/>
  <c r="C1381"/>
  <c r="AX1380"/>
  <c r="G1380"/>
  <c r="D1380"/>
  <c r="C1380"/>
  <c r="AX1379"/>
  <c r="G1379"/>
  <c r="D1379"/>
  <c r="C1379"/>
  <c r="AX1378"/>
  <c r="G1378"/>
  <c r="D1378"/>
  <c r="C1378"/>
  <c r="AX1377"/>
  <c r="G1377"/>
  <c r="D1377"/>
  <c r="C1377"/>
  <c r="AX1376"/>
  <c r="G1376"/>
  <c r="D1376"/>
  <c r="C1376"/>
  <c r="AX1375"/>
  <c r="G1375"/>
  <c r="D1375"/>
  <c r="C1375"/>
  <c r="AX1374"/>
  <c r="G1374"/>
  <c r="D1374"/>
  <c r="C1374"/>
  <c r="AX1373"/>
  <c r="G1373"/>
  <c r="D1373"/>
  <c r="C1373"/>
  <c r="AX1372"/>
  <c r="G1372"/>
  <c r="D1372"/>
  <c r="C1372"/>
  <c r="AX1371"/>
  <c r="G1371"/>
  <c r="D1371"/>
  <c r="C1371"/>
  <c r="AX1370"/>
  <c r="G1370"/>
  <c r="D1370"/>
  <c r="C1370"/>
  <c r="AX1369"/>
  <c r="G1369"/>
  <c r="D1369"/>
  <c r="C1369"/>
  <c r="AX1368"/>
  <c r="G1368"/>
  <c r="D1368"/>
  <c r="C1368"/>
  <c r="AX1367"/>
  <c r="G1367"/>
  <c r="D1367"/>
  <c r="C1367"/>
  <c r="AX1366"/>
  <c r="G1366"/>
  <c r="D1366"/>
  <c r="C1366"/>
  <c r="AX1365"/>
  <c r="G1365"/>
  <c r="D1365"/>
  <c r="C1365"/>
  <c r="AX1364"/>
  <c r="G1364"/>
  <c r="D1364"/>
  <c r="C1364"/>
  <c r="AX1363"/>
  <c r="G1363"/>
  <c r="D1363"/>
  <c r="C1363"/>
  <c r="AX1362"/>
  <c r="G1362"/>
  <c r="D1362"/>
  <c r="C1362"/>
  <c r="AX1361"/>
  <c r="G1361"/>
  <c r="D1361"/>
  <c r="C1361"/>
  <c r="AX1360"/>
  <c r="G1360"/>
  <c r="D1360"/>
  <c r="C1360"/>
  <c r="AX1359"/>
  <c r="G1359"/>
  <c r="D1359"/>
  <c r="C1359"/>
  <c r="AX1358"/>
  <c r="G1358"/>
  <c r="D1358"/>
  <c r="C1358"/>
  <c r="AX1357"/>
  <c r="G1357"/>
  <c r="D1357"/>
  <c r="C1357"/>
  <c r="AX1356"/>
  <c r="G1356"/>
  <c r="D1356"/>
  <c r="C1356"/>
  <c r="AX1355"/>
  <c r="G1355"/>
  <c r="D1355"/>
  <c r="C1355"/>
  <c r="AX1354"/>
  <c r="G1354"/>
  <c r="D1354"/>
  <c r="C1354"/>
  <c r="AX1353"/>
  <c r="G1353"/>
  <c r="D1353"/>
  <c r="C1353"/>
  <c r="AX1352"/>
  <c r="G1352"/>
  <c r="D1352"/>
  <c r="C1352"/>
  <c r="AX1351"/>
  <c r="G1351"/>
  <c r="D1351"/>
  <c r="C1351"/>
  <c r="AX1350"/>
  <c r="G1350"/>
  <c r="D1350"/>
  <c r="C1350"/>
  <c r="AX1349"/>
  <c r="G1349"/>
  <c r="D1349"/>
  <c r="C1349"/>
  <c r="AX1348"/>
  <c r="G1348"/>
  <c r="D1348"/>
  <c r="C1348"/>
  <c r="AX1347"/>
  <c r="G1347"/>
  <c r="D1347"/>
  <c r="C1347"/>
  <c r="AX1346"/>
  <c r="G1346"/>
  <c r="D1346"/>
  <c r="C1346"/>
  <c r="AX1345"/>
  <c r="G1345"/>
  <c r="D1345"/>
  <c r="C1345"/>
  <c r="AX1344"/>
  <c r="G1344"/>
  <c r="D1344"/>
  <c r="C1344"/>
  <c r="AX1343"/>
  <c r="G1343"/>
  <c r="D1343"/>
  <c r="C1343"/>
  <c r="AX1342"/>
  <c r="G1342"/>
  <c r="D1342"/>
  <c r="C1342"/>
  <c r="AX1341"/>
  <c r="G1341"/>
  <c r="D1341"/>
  <c r="C1341"/>
  <c r="AX1340"/>
  <c r="G1340"/>
  <c r="D1340"/>
  <c r="C1340"/>
  <c r="AX1339"/>
  <c r="G1339"/>
  <c r="D1339"/>
  <c r="C1339"/>
  <c r="AX1338"/>
  <c r="G1338"/>
  <c r="D1338"/>
  <c r="C1338"/>
  <c r="AX1337"/>
  <c r="G1337"/>
  <c r="D1337"/>
  <c r="C1337"/>
  <c r="AX1336"/>
  <c r="G1336"/>
  <c r="D1336"/>
  <c r="C1336"/>
  <c r="AX1335"/>
  <c r="G1335"/>
  <c r="D1335"/>
  <c r="C1335"/>
  <c r="AX1334"/>
  <c r="G1334"/>
  <c r="D1334"/>
  <c r="C1334"/>
  <c r="AX1333"/>
  <c r="G1333"/>
  <c r="D1333"/>
  <c r="C1333"/>
  <c r="AX1332"/>
  <c r="G1332"/>
  <c r="D1332"/>
  <c r="C1332"/>
  <c r="AX1331"/>
  <c r="G1331"/>
  <c r="D1331"/>
  <c r="C1331"/>
  <c r="AX1330"/>
  <c r="G1330"/>
  <c r="D1330"/>
  <c r="C1330"/>
  <c r="AX1329"/>
  <c r="G1329"/>
  <c r="D1329"/>
  <c r="C1329"/>
  <c r="AX1328"/>
  <c r="G1328"/>
  <c r="D1328"/>
  <c r="C1328"/>
  <c r="AX1327"/>
  <c r="G1327"/>
  <c r="D1327"/>
  <c r="C1327"/>
  <c r="AX1326"/>
  <c r="G1326"/>
  <c r="D1326"/>
  <c r="C1326"/>
  <c r="AX1325"/>
  <c r="G1325"/>
  <c r="D1325"/>
  <c r="C1325"/>
  <c r="AX1324"/>
  <c r="G1324"/>
  <c r="D1324"/>
  <c r="C1324"/>
  <c r="AX1323"/>
  <c r="G1323"/>
  <c r="D1323"/>
  <c r="C1323"/>
  <c r="AX1322"/>
  <c r="G1322"/>
  <c r="D1322"/>
  <c r="C1322"/>
  <c r="AX1321"/>
  <c r="G1321"/>
  <c r="D1321"/>
  <c r="C1321"/>
  <c r="AX1320"/>
  <c r="G1320"/>
  <c r="D1320"/>
  <c r="C1320"/>
  <c r="AX1319"/>
  <c r="G1319"/>
  <c r="D1319"/>
  <c r="C1319"/>
  <c r="AX1318"/>
  <c r="G1318"/>
  <c r="D1318"/>
  <c r="C1318"/>
  <c r="AX1317"/>
  <c r="G1317"/>
  <c r="D1317"/>
  <c r="C1317"/>
  <c r="AX1316"/>
  <c r="G1316"/>
  <c r="D1316"/>
  <c r="C1316"/>
  <c r="AX1315"/>
  <c r="G1315"/>
  <c r="D1315"/>
  <c r="C1315"/>
  <c r="AX1314"/>
  <c r="G1314"/>
  <c r="D1314"/>
  <c r="C1314"/>
  <c r="AX1313"/>
  <c r="G1313"/>
  <c r="D1313"/>
  <c r="C1313"/>
  <c r="AX1312"/>
  <c r="G1312"/>
  <c r="D1312"/>
  <c r="C1312"/>
  <c r="AX1311"/>
  <c r="G1311"/>
  <c r="D1311"/>
  <c r="C1311"/>
  <c r="AX1310"/>
  <c r="G1310"/>
  <c r="D1310"/>
  <c r="C1310"/>
  <c r="AX1309"/>
  <c r="G1309"/>
  <c r="D1309"/>
  <c r="C1309"/>
  <c r="AX1308"/>
  <c r="G1308"/>
  <c r="D1308"/>
  <c r="C1308"/>
  <c r="AX1307"/>
  <c r="G1307"/>
  <c r="D1307"/>
  <c r="C1307"/>
  <c r="AX1306"/>
  <c r="G1306"/>
  <c r="D1306"/>
  <c r="C1306"/>
  <c r="AX1305"/>
  <c r="G1305"/>
  <c r="D1305"/>
  <c r="C1305"/>
  <c r="AX1304"/>
  <c r="G1304"/>
  <c r="D1304"/>
  <c r="C1304"/>
  <c r="AX1303"/>
  <c r="G1303"/>
  <c r="D1303"/>
  <c r="C1303"/>
  <c r="AX1302"/>
  <c r="G1302"/>
  <c r="D1302"/>
  <c r="C1302"/>
  <c r="AX1301"/>
  <c r="G1301"/>
  <c r="D1301"/>
  <c r="C1301"/>
  <c r="AX1300"/>
  <c r="G1300"/>
  <c r="D1300"/>
  <c r="C1300"/>
  <c r="AX1299"/>
  <c r="G1299"/>
  <c r="D1299"/>
  <c r="C1299"/>
  <c r="AX1298"/>
  <c r="G1298"/>
  <c r="D1298"/>
  <c r="C1298"/>
  <c r="AX1297"/>
  <c r="G1297"/>
  <c r="D1297"/>
  <c r="C1297"/>
  <c r="AX1296"/>
  <c r="G1296"/>
  <c r="D1296"/>
  <c r="C1296"/>
  <c r="AX1295"/>
  <c r="G1295"/>
  <c r="D1295"/>
  <c r="C1295"/>
  <c r="AX1294"/>
  <c r="G1294"/>
  <c r="D1294"/>
  <c r="C1294"/>
  <c r="AX1293"/>
  <c r="G1293"/>
  <c r="D1293"/>
  <c r="C1293"/>
  <c r="AX1292"/>
  <c r="G1292"/>
  <c r="D1292"/>
  <c r="C1292"/>
  <c r="AX1291"/>
  <c r="G1291"/>
  <c r="D1291"/>
  <c r="C1291"/>
  <c r="AX1290"/>
  <c r="G1290"/>
  <c r="D1290"/>
  <c r="C1290"/>
  <c r="AX1289"/>
  <c r="G1289"/>
  <c r="D1289"/>
  <c r="C1289"/>
  <c r="AX1288"/>
  <c r="G1288"/>
  <c r="D1288"/>
  <c r="C1288"/>
  <c r="AX1287"/>
  <c r="G1287"/>
  <c r="D1287"/>
  <c r="C1287"/>
  <c r="AX1286"/>
  <c r="G1286"/>
  <c r="D1286"/>
  <c r="C1286"/>
  <c r="AX1285"/>
  <c r="G1285"/>
  <c r="D1285"/>
  <c r="C1285"/>
  <c r="AX1284"/>
  <c r="G1284"/>
  <c r="D1284"/>
  <c r="C1284"/>
  <c r="AX1283"/>
  <c r="G1283"/>
  <c r="D1283"/>
  <c r="C1283"/>
  <c r="AX1282"/>
  <c r="G1282"/>
  <c r="D1282"/>
  <c r="C1282"/>
  <c r="AX1281"/>
  <c r="G1281"/>
  <c r="D1281"/>
  <c r="C1281"/>
  <c r="AX1280"/>
  <c r="G1280"/>
  <c r="D1280"/>
  <c r="C1280"/>
  <c r="AX1279"/>
  <c r="G1279"/>
  <c r="D1279"/>
  <c r="C1279"/>
  <c r="AX1278"/>
  <c r="G1278"/>
  <c r="D1278"/>
  <c r="C1278"/>
  <c r="AX1277"/>
  <c r="G1277"/>
  <c r="D1277"/>
  <c r="C1277"/>
  <c r="AX1276"/>
  <c r="G1276"/>
  <c r="D1276"/>
  <c r="C1276"/>
  <c r="AX1275"/>
  <c r="G1275"/>
  <c r="D1275"/>
  <c r="C1275"/>
  <c r="AX1274"/>
  <c r="G1274"/>
  <c r="D1274"/>
  <c r="C1274"/>
  <c r="AX1273"/>
  <c r="G1273"/>
  <c r="D1273"/>
  <c r="C1273"/>
  <c r="AX1272"/>
  <c r="G1272"/>
  <c r="D1272"/>
  <c r="C1272"/>
  <c r="AX1271"/>
  <c r="G1271"/>
  <c r="D1271"/>
  <c r="C1271"/>
  <c r="AX1270"/>
  <c r="G1270"/>
  <c r="D1270"/>
  <c r="C1270"/>
  <c r="AX1269"/>
  <c r="G1269"/>
  <c r="D1269"/>
  <c r="C1269"/>
  <c r="AX1268"/>
  <c r="G1268"/>
  <c r="D1268"/>
  <c r="C1268"/>
  <c r="AX1267"/>
  <c r="G1267"/>
  <c r="D1267"/>
  <c r="C1267"/>
  <c r="AX1266"/>
  <c r="G1266"/>
  <c r="D1266"/>
  <c r="C1266"/>
  <c r="AX1265"/>
  <c r="G1265"/>
  <c r="D1265"/>
  <c r="C1265"/>
  <c r="AX1264"/>
  <c r="G1264"/>
  <c r="D1264"/>
  <c r="C1264"/>
  <c r="AX1263"/>
  <c r="G1263"/>
  <c r="D1263"/>
  <c r="C1263"/>
  <c r="AX1262"/>
  <c r="G1262"/>
  <c r="D1262"/>
  <c r="C1262"/>
  <c r="AX1261"/>
  <c r="G1261"/>
  <c r="D1261"/>
  <c r="C1261"/>
  <c r="AX1260"/>
  <c r="G1260"/>
  <c r="D1260"/>
  <c r="C1260"/>
  <c r="AX1259"/>
  <c r="G1259"/>
  <c r="D1259"/>
  <c r="C1259"/>
  <c r="AX1258"/>
  <c r="G1258"/>
  <c r="D1258"/>
  <c r="C1258"/>
  <c r="AX1257"/>
  <c r="G1257"/>
  <c r="D1257"/>
  <c r="C1257"/>
  <c r="AX1256"/>
  <c r="G1256"/>
  <c r="D1256"/>
  <c r="C1256"/>
  <c r="AX1255"/>
  <c r="G1255"/>
  <c r="D1255"/>
  <c r="C1255"/>
  <c r="AX1254"/>
  <c r="G1254"/>
  <c r="D1254"/>
  <c r="C1254"/>
  <c r="AX1253"/>
  <c r="G1253"/>
  <c r="D1253"/>
  <c r="C1253"/>
  <c r="AX1252"/>
  <c r="G1252"/>
  <c r="D1252"/>
  <c r="C1252"/>
  <c r="AX1251"/>
  <c r="G1251"/>
  <c r="D1251"/>
  <c r="C1251"/>
  <c r="AX1250"/>
  <c r="G1250"/>
  <c r="D1250"/>
  <c r="C1250"/>
  <c r="AX1249"/>
  <c r="G1249"/>
  <c r="D1249"/>
  <c r="C1249"/>
  <c r="AX1248"/>
  <c r="G1248"/>
  <c r="D1248"/>
  <c r="C1248"/>
  <c r="AX1247"/>
  <c r="G1247"/>
  <c r="D1247"/>
  <c r="C1247"/>
  <c r="AX1246"/>
  <c r="G1246"/>
  <c r="D1246"/>
  <c r="C1246"/>
  <c r="AX1245"/>
  <c r="G1245"/>
  <c r="D1245"/>
  <c r="C1245"/>
  <c r="AX1244"/>
  <c r="G1244"/>
  <c r="D1244"/>
  <c r="C1244"/>
  <c r="AX1243"/>
  <c r="G1243"/>
  <c r="D1243"/>
  <c r="C1243"/>
  <c r="AX1242"/>
  <c r="G1242"/>
  <c r="D1242"/>
  <c r="C1242"/>
  <c r="AX1241"/>
  <c r="G1241"/>
  <c r="D1241"/>
  <c r="C1241"/>
  <c r="AX1240"/>
  <c r="G1240"/>
  <c r="D1240"/>
  <c r="C1240"/>
  <c r="AX1239"/>
  <c r="G1239"/>
  <c r="D1239"/>
  <c r="C1239"/>
  <c r="AX1238"/>
  <c r="G1238"/>
  <c r="D1238"/>
  <c r="C1238"/>
  <c r="AX1237"/>
  <c r="G1237"/>
  <c r="D1237"/>
  <c r="C1237"/>
  <c r="AX1236"/>
  <c r="G1236"/>
  <c r="D1236"/>
  <c r="C1236"/>
  <c r="AX1235"/>
  <c r="G1235"/>
  <c r="D1235"/>
  <c r="C1235"/>
  <c r="AX1234"/>
  <c r="G1234"/>
  <c r="D1234"/>
  <c r="C1234"/>
  <c r="AX1233"/>
  <c r="G1233"/>
  <c r="D1233"/>
  <c r="C1233"/>
  <c r="AX1232"/>
  <c r="G1232"/>
  <c r="D1232"/>
  <c r="C1232"/>
  <c r="AX1231"/>
  <c r="G1231"/>
  <c r="D1231"/>
  <c r="C1231"/>
  <c r="AX1230"/>
  <c r="G1230"/>
  <c r="D1230"/>
  <c r="C1230"/>
  <c r="AX1229"/>
  <c r="G1229"/>
  <c r="D1229"/>
  <c r="C1229"/>
  <c r="AX1228"/>
  <c r="G1228"/>
  <c r="D1228"/>
  <c r="C1228"/>
  <c r="AX1227"/>
  <c r="G1227"/>
  <c r="D1227"/>
  <c r="C1227"/>
  <c r="AX1226"/>
  <c r="G1226"/>
  <c r="D1226"/>
  <c r="C1226"/>
  <c r="AX1225"/>
  <c r="G1225"/>
  <c r="D1225"/>
  <c r="C1225"/>
  <c r="AX1224"/>
  <c r="G1224"/>
  <c r="D1224"/>
  <c r="C1224"/>
  <c r="AX1223"/>
  <c r="G1223"/>
  <c r="D1223"/>
  <c r="C1223"/>
  <c r="AX1222"/>
  <c r="G1222"/>
  <c r="D1222"/>
  <c r="C1222"/>
  <c r="AX1221"/>
  <c r="G1221"/>
  <c r="D1221"/>
  <c r="C1221"/>
  <c r="AX1220"/>
  <c r="G1220"/>
  <c r="D1220"/>
  <c r="C1220"/>
  <c r="AX1219"/>
  <c r="G1219"/>
  <c r="D1219"/>
  <c r="C1219"/>
  <c r="AX1218"/>
  <c r="G1218"/>
  <c r="D1218"/>
  <c r="C1218"/>
  <c r="AX1217"/>
  <c r="G1217"/>
  <c r="D1217"/>
  <c r="C1217"/>
  <c r="AX1216"/>
  <c r="G1216"/>
  <c r="D1216"/>
  <c r="C1216"/>
  <c r="AX1215"/>
  <c r="G1215"/>
  <c r="D1215"/>
  <c r="C1215"/>
  <c r="AX1214"/>
  <c r="G1214"/>
  <c r="D1214"/>
  <c r="C1214"/>
  <c r="AX1213"/>
  <c r="G1213"/>
  <c r="D1213"/>
  <c r="C1213"/>
  <c r="AX1212"/>
  <c r="G1212"/>
  <c r="D1212"/>
  <c r="C1212"/>
  <c r="AX1211"/>
  <c r="G1211"/>
  <c r="D1211"/>
  <c r="C1211"/>
  <c r="AX1210"/>
  <c r="G1210"/>
  <c r="D1210"/>
  <c r="C1210"/>
  <c r="AX1209"/>
  <c r="G1209"/>
  <c r="D1209"/>
  <c r="C1209"/>
  <c r="AX1208"/>
  <c r="G1208"/>
  <c r="D1208"/>
  <c r="C1208"/>
  <c r="AX1207"/>
  <c r="G1207"/>
  <c r="D1207"/>
  <c r="C1207"/>
  <c r="AX1206"/>
  <c r="G1206"/>
  <c r="D1206"/>
  <c r="C1206"/>
  <c r="AX1205"/>
  <c r="G1205"/>
  <c r="D1205"/>
  <c r="C1205"/>
  <c r="AX1204"/>
  <c r="G1204"/>
  <c r="D1204"/>
  <c r="C1204"/>
  <c r="AX1203"/>
  <c r="G1203"/>
  <c r="D1203"/>
  <c r="C1203"/>
  <c r="AX1202"/>
  <c r="G1202"/>
  <c r="D1202"/>
  <c r="C1202"/>
  <c r="AX1201"/>
  <c r="G1201"/>
  <c r="D1201"/>
  <c r="C1201"/>
  <c r="AX1200"/>
  <c r="G1200"/>
  <c r="D1200"/>
  <c r="C1200"/>
  <c r="AX1199"/>
  <c r="G1199"/>
  <c r="D1199"/>
  <c r="C1199"/>
  <c r="AX1198"/>
  <c r="G1198"/>
  <c r="D1198"/>
  <c r="C1198"/>
  <c r="AX1197"/>
  <c r="G1197"/>
  <c r="D1197"/>
  <c r="C1197"/>
  <c r="AX1196"/>
  <c r="G1196"/>
  <c r="D1196"/>
  <c r="C1196"/>
  <c r="AX1195"/>
  <c r="G1195"/>
  <c r="D1195"/>
  <c r="C1195"/>
  <c r="AX1194"/>
  <c r="G1194"/>
  <c r="D1194"/>
  <c r="C1194"/>
  <c r="AX1193"/>
  <c r="G1193"/>
  <c r="D1193"/>
  <c r="C1193"/>
  <c r="AX1192"/>
  <c r="G1192"/>
  <c r="D1192"/>
  <c r="C1192"/>
  <c r="AX1191"/>
  <c r="G1191"/>
  <c r="D1191"/>
  <c r="C1191"/>
  <c r="AX1190"/>
  <c r="G1190"/>
  <c r="D1190"/>
  <c r="C1190"/>
  <c r="AX1189"/>
  <c r="G1189"/>
  <c r="D1189"/>
  <c r="C1189"/>
  <c r="AX1188"/>
  <c r="G1188"/>
  <c r="D1188"/>
  <c r="C1188"/>
  <c r="AX1187"/>
  <c r="G1187"/>
  <c r="D1187"/>
  <c r="C1187"/>
  <c r="AX1186"/>
  <c r="G1186"/>
  <c r="D1186"/>
  <c r="C1186"/>
  <c r="AX1185"/>
  <c r="G1185"/>
  <c r="D1185"/>
  <c r="C1185"/>
  <c r="AX1184"/>
  <c r="G1184"/>
  <c r="D1184"/>
  <c r="C1184"/>
  <c r="AX1183"/>
  <c r="G1183"/>
  <c r="D1183"/>
  <c r="C1183"/>
  <c r="AX1182"/>
  <c r="G1182"/>
  <c r="D1182"/>
  <c r="C1182"/>
  <c r="AX1181"/>
  <c r="G1181"/>
  <c r="D1181"/>
  <c r="C1181"/>
  <c r="AX1180"/>
  <c r="G1180"/>
  <c r="D1180"/>
  <c r="C1180"/>
  <c r="AX1179"/>
  <c r="G1179"/>
  <c r="D1179"/>
  <c r="C1179"/>
  <c r="AX1178"/>
  <c r="G1178"/>
  <c r="D1178"/>
  <c r="C1178"/>
  <c r="AX1177"/>
  <c r="G1177"/>
  <c r="D1177"/>
  <c r="C1177"/>
  <c r="AX1176"/>
  <c r="G1176"/>
  <c r="D1176"/>
  <c r="C1176"/>
  <c r="AX1175"/>
  <c r="G1175"/>
  <c r="D1175"/>
  <c r="C1175"/>
  <c r="AX1174"/>
  <c r="G1174"/>
  <c r="D1174"/>
  <c r="C1174"/>
  <c r="AX1173"/>
  <c r="G1173"/>
  <c r="D1173"/>
  <c r="C1173"/>
  <c r="AX1172"/>
  <c r="G1172"/>
  <c r="D1172"/>
  <c r="C1172"/>
  <c r="AX1171"/>
  <c r="G1171"/>
  <c r="D1171"/>
  <c r="C1171"/>
  <c r="AX1170"/>
  <c r="G1170"/>
  <c r="D1170"/>
  <c r="C1170"/>
  <c r="AX1169"/>
  <c r="G1169"/>
  <c r="D1169"/>
  <c r="C1169"/>
  <c r="AX1168"/>
  <c r="G1168"/>
  <c r="D1168"/>
  <c r="C1168"/>
  <c r="AX1167"/>
  <c r="G1167"/>
  <c r="D1167"/>
  <c r="C1167"/>
  <c r="AX1166"/>
  <c r="G1166"/>
  <c r="D1166"/>
  <c r="C1166"/>
  <c r="AX1165"/>
  <c r="G1165"/>
  <c r="D1165"/>
  <c r="C1165"/>
  <c r="AX1164"/>
  <c r="G1164"/>
  <c r="D1164"/>
  <c r="C1164"/>
  <c r="AX1163"/>
  <c r="G1163"/>
  <c r="D1163"/>
  <c r="C1163"/>
  <c r="AX1162"/>
  <c r="G1162"/>
  <c r="D1162"/>
  <c r="C1162"/>
  <c r="AX1161"/>
  <c r="G1161"/>
  <c r="D1161"/>
  <c r="C1161"/>
  <c r="AX1160"/>
  <c r="G1160"/>
  <c r="D1160"/>
  <c r="C1160"/>
  <c r="AX1159"/>
  <c r="G1159"/>
  <c r="D1159"/>
  <c r="C1159"/>
  <c r="AX1158"/>
  <c r="G1158"/>
  <c r="D1158"/>
  <c r="C1158"/>
  <c r="AX1157"/>
  <c r="G1157"/>
  <c r="D1157"/>
  <c r="C1157"/>
  <c r="AX1156"/>
  <c r="G1156"/>
  <c r="D1156"/>
  <c r="C1156"/>
  <c r="AX1155"/>
  <c r="G1155"/>
  <c r="D1155"/>
  <c r="C1155"/>
  <c r="AX1154"/>
  <c r="G1154"/>
  <c r="D1154"/>
  <c r="C1154"/>
  <c r="AX1153"/>
  <c r="G1153"/>
  <c r="D1153"/>
  <c r="C1153"/>
  <c r="AX1152"/>
  <c r="G1152"/>
  <c r="D1152"/>
  <c r="C1152"/>
  <c r="AX1151"/>
  <c r="G1151"/>
  <c r="D1151"/>
  <c r="C1151"/>
  <c r="AX1150"/>
  <c r="G1150"/>
  <c r="D1150"/>
  <c r="C1150"/>
  <c r="AX1149"/>
  <c r="G1149"/>
  <c r="D1149"/>
  <c r="C1149"/>
  <c r="AX1148"/>
  <c r="G1148"/>
  <c r="D1148"/>
  <c r="C1148"/>
  <c r="AX1147"/>
  <c r="G1147"/>
  <c r="D1147"/>
  <c r="C1147"/>
  <c r="AX1146"/>
  <c r="G1146"/>
  <c r="D1146"/>
  <c r="C1146"/>
  <c r="AX1145"/>
  <c r="G1145"/>
  <c r="D1145"/>
  <c r="C1145"/>
  <c r="AX1144"/>
  <c r="G1144"/>
  <c r="D1144"/>
  <c r="C1144"/>
  <c r="AX1143"/>
  <c r="G1143"/>
  <c r="D1143"/>
  <c r="C1143"/>
  <c r="AX1142"/>
  <c r="G1142"/>
  <c r="D1142"/>
  <c r="C1142"/>
  <c r="AX1141"/>
  <c r="G1141"/>
  <c r="D1141"/>
  <c r="C1141"/>
  <c r="AX1140"/>
  <c r="G1140"/>
  <c r="D1140"/>
  <c r="C1140"/>
  <c r="AX1139"/>
  <c r="G1139"/>
  <c r="D1139"/>
  <c r="C1139"/>
  <c r="AX1138"/>
  <c r="G1138"/>
  <c r="D1138"/>
  <c r="C1138"/>
  <c r="AX1137"/>
  <c r="G1137"/>
  <c r="D1137"/>
  <c r="C1137"/>
  <c r="AX1136"/>
  <c r="G1136"/>
  <c r="D1136"/>
  <c r="C1136"/>
  <c r="AX1135"/>
  <c r="G1135"/>
  <c r="D1135"/>
  <c r="C1135"/>
  <c r="AX1134"/>
  <c r="G1134"/>
  <c r="D1134"/>
  <c r="C1134"/>
  <c r="AX1133"/>
  <c r="G1133"/>
  <c r="D1133"/>
  <c r="C1133"/>
  <c r="AX1132"/>
  <c r="G1132"/>
  <c r="D1132"/>
  <c r="C1132"/>
  <c r="AX1131"/>
  <c r="G1131"/>
  <c r="D1131"/>
  <c r="C1131"/>
  <c r="AX1130"/>
  <c r="G1130"/>
  <c r="D1130"/>
  <c r="C1130"/>
  <c r="AX1129"/>
  <c r="G1129"/>
  <c r="D1129"/>
  <c r="C1129"/>
  <c r="AX1128"/>
  <c r="G1128"/>
  <c r="D1128"/>
  <c r="C1128"/>
  <c r="AX1127"/>
  <c r="G1127"/>
  <c r="D1127"/>
  <c r="C1127"/>
  <c r="AX1126"/>
  <c r="G1126"/>
  <c r="D1126"/>
  <c r="C1126"/>
  <c r="AX1125"/>
  <c r="G1125"/>
  <c r="D1125"/>
  <c r="C1125"/>
  <c r="AX1124"/>
  <c r="G1124"/>
  <c r="D1124"/>
  <c r="C1124"/>
  <c r="AX1123"/>
  <c r="G1123"/>
  <c r="D1123"/>
  <c r="C1123"/>
  <c r="AX1122"/>
  <c r="G1122"/>
  <c r="D1122"/>
  <c r="C1122"/>
  <c r="AX1121"/>
  <c r="G1121"/>
  <c r="D1121"/>
  <c r="C1121"/>
  <c r="AX1120"/>
  <c r="G1120"/>
  <c r="D1120"/>
  <c r="C1120"/>
  <c r="AX1119"/>
  <c r="G1119"/>
  <c r="D1119"/>
  <c r="C1119"/>
  <c r="AX1118"/>
  <c r="G1118"/>
  <c r="D1118"/>
  <c r="C1118"/>
  <c r="AX1117"/>
  <c r="G1117"/>
  <c r="D1117"/>
  <c r="C1117"/>
  <c r="AX1116"/>
  <c r="G1116"/>
  <c r="D1116"/>
  <c r="C1116"/>
  <c r="AX1115"/>
  <c r="G1115"/>
  <c r="D1115"/>
  <c r="C1115"/>
  <c r="AX1114"/>
  <c r="G1114"/>
  <c r="D1114"/>
  <c r="C1114"/>
  <c r="AX1113"/>
  <c r="G1113"/>
  <c r="D1113"/>
  <c r="C1113"/>
  <c r="AX1112"/>
  <c r="G1112"/>
  <c r="D1112"/>
  <c r="C1112"/>
  <c r="AX1111"/>
  <c r="G1111"/>
  <c r="D1111"/>
  <c r="C1111"/>
  <c r="AX1110"/>
  <c r="G1110"/>
  <c r="D1110"/>
  <c r="C1110"/>
  <c r="AX1109"/>
  <c r="G1109"/>
  <c r="D1109"/>
  <c r="C1109"/>
  <c r="AX1108"/>
  <c r="G1108"/>
  <c r="D1108"/>
  <c r="C1108"/>
  <c r="AX1107"/>
  <c r="G1107"/>
  <c r="D1107"/>
  <c r="C1107"/>
  <c r="AX1106"/>
  <c r="G1106"/>
  <c r="D1106"/>
  <c r="C1106"/>
  <c r="AX1105"/>
  <c r="G1105"/>
  <c r="D1105"/>
  <c r="C1105"/>
  <c r="AX1104"/>
  <c r="G1104"/>
  <c r="D1104"/>
  <c r="C1104"/>
  <c r="AX1103"/>
  <c r="G1103"/>
  <c r="D1103"/>
  <c r="C1103"/>
  <c r="AX1102"/>
  <c r="G1102"/>
  <c r="D1102"/>
  <c r="C1102"/>
  <c r="AX1101"/>
  <c r="G1101"/>
  <c r="D1101"/>
  <c r="C1101"/>
  <c r="AX1100"/>
  <c r="G1100"/>
  <c r="D1100"/>
  <c r="C1100"/>
  <c r="AX1099"/>
  <c r="G1099"/>
  <c r="D1099"/>
  <c r="C1099"/>
  <c r="AX1098"/>
  <c r="G1098"/>
  <c r="D1098"/>
  <c r="C1098"/>
  <c r="AX1097"/>
  <c r="G1097"/>
  <c r="D1097"/>
  <c r="C1097"/>
  <c r="AX1096"/>
  <c r="G1096"/>
  <c r="D1096"/>
  <c r="C1096"/>
  <c r="AX1095"/>
  <c r="G1095"/>
  <c r="D1095"/>
  <c r="C1095"/>
  <c r="AX1094"/>
  <c r="G1094"/>
  <c r="D1094"/>
  <c r="C1094"/>
  <c r="AX1093"/>
  <c r="G1093"/>
  <c r="D1093"/>
  <c r="C1093"/>
  <c r="AX1092"/>
  <c r="G1092"/>
  <c r="D1092"/>
  <c r="C1092"/>
  <c r="AX1091"/>
  <c r="G1091"/>
  <c r="D1091"/>
  <c r="C1091"/>
  <c r="AX1090"/>
  <c r="G1090"/>
  <c r="D1090"/>
  <c r="C1090"/>
  <c r="AX1089"/>
  <c r="G1089"/>
  <c r="D1089"/>
  <c r="C1089"/>
  <c r="AX1088"/>
  <c r="G1088"/>
  <c r="D1088"/>
  <c r="C1088"/>
  <c r="AX1087"/>
  <c r="G1087"/>
  <c r="D1087"/>
  <c r="C1087"/>
  <c r="AX1086"/>
  <c r="G1086"/>
  <c r="D1086"/>
  <c r="C1086"/>
  <c r="AX1085"/>
  <c r="G1085"/>
  <c r="D1085"/>
  <c r="C1085"/>
  <c r="AX1084"/>
  <c r="G1084"/>
  <c r="D1084"/>
  <c r="C1084"/>
  <c r="AX1083"/>
  <c r="G1083"/>
  <c r="D1083"/>
  <c r="C1083"/>
  <c r="AX1082"/>
  <c r="G1082"/>
  <c r="D1082"/>
  <c r="C1082"/>
  <c r="AX1081"/>
  <c r="G1081"/>
  <c r="D1081"/>
  <c r="C1081"/>
  <c r="AX1080"/>
  <c r="G1080"/>
  <c r="D1080"/>
  <c r="C1080"/>
  <c r="AX1079"/>
  <c r="G1079"/>
  <c r="D1079"/>
  <c r="C1079"/>
  <c r="AX1078"/>
  <c r="G1078"/>
  <c r="D1078"/>
  <c r="C1078"/>
  <c r="AX1077"/>
  <c r="G1077"/>
  <c r="D1077"/>
  <c r="C1077"/>
  <c r="AX1076"/>
  <c r="G1076"/>
  <c r="D1076"/>
  <c r="C1076"/>
  <c r="AX1075"/>
  <c r="G1075"/>
  <c r="D1075"/>
  <c r="C1075"/>
  <c r="AX1074"/>
  <c r="G1074"/>
  <c r="D1074"/>
  <c r="C1074"/>
  <c r="AX1073"/>
  <c r="G1073"/>
  <c r="D1073"/>
  <c r="C1073"/>
  <c r="AX1072"/>
  <c r="G1072"/>
  <c r="D1072"/>
  <c r="C1072"/>
  <c r="AX1071"/>
  <c r="G1071"/>
  <c r="D1071"/>
  <c r="C1071"/>
  <c r="AX1070"/>
  <c r="G1070"/>
  <c r="D1070"/>
  <c r="C1070"/>
  <c r="AX1069"/>
  <c r="G1069"/>
  <c r="D1069"/>
  <c r="C1069"/>
  <c r="AX1068"/>
  <c r="G1068"/>
  <c r="D1068"/>
  <c r="C1068"/>
  <c r="AX1067"/>
  <c r="G1067"/>
  <c r="D1067"/>
  <c r="C1067"/>
  <c r="AX1066"/>
  <c r="G1066"/>
  <c r="D1066"/>
  <c r="C1066"/>
  <c r="AX1065"/>
  <c r="G1065"/>
  <c r="D1065"/>
  <c r="C1065"/>
  <c r="AX1064"/>
  <c r="G1064"/>
  <c r="D1064"/>
  <c r="C1064"/>
  <c r="AX1063"/>
  <c r="G1063"/>
  <c r="D1063"/>
  <c r="C1063"/>
  <c r="AX1062"/>
  <c r="G1062"/>
  <c r="D1062"/>
  <c r="C1062"/>
  <c r="AX1061"/>
  <c r="G1061"/>
  <c r="D1061"/>
  <c r="C1061"/>
  <c r="AX1060"/>
  <c r="G1060"/>
  <c r="D1060"/>
  <c r="C1060"/>
  <c r="AX1059"/>
  <c r="G1059"/>
  <c r="D1059"/>
  <c r="C1059"/>
  <c r="AX1058"/>
  <c r="G1058"/>
  <c r="D1058"/>
  <c r="C1058"/>
  <c r="AX1057"/>
  <c r="G1057"/>
  <c r="D1057"/>
  <c r="C1057"/>
  <c r="AX1056"/>
  <c r="G1056"/>
  <c r="D1056"/>
  <c r="C1056"/>
  <c r="AX1055"/>
  <c r="G1055"/>
  <c r="D1055"/>
  <c r="C1055"/>
  <c r="AX1054"/>
  <c r="G1054"/>
  <c r="D1054"/>
  <c r="C1054"/>
  <c r="AX1053"/>
  <c r="G1053"/>
  <c r="D1053"/>
  <c r="C1053"/>
  <c r="AX1052"/>
  <c r="G1052"/>
  <c r="D1052"/>
  <c r="C1052"/>
  <c r="AX1051"/>
  <c r="G1051"/>
  <c r="D1051"/>
  <c r="C1051"/>
  <c r="AX1050"/>
  <c r="G1050"/>
  <c r="D1050"/>
  <c r="C1050"/>
  <c r="AX1049"/>
  <c r="G1049"/>
  <c r="D1049"/>
  <c r="C1049"/>
  <c r="AX1048"/>
  <c r="G1048"/>
  <c r="D1048"/>
  <c r="C1048"/>
  <c r="AX1047"/>
  <c r="G1047"/>
  <c r="D1047"/>
  <c r="C1047"/>
  <c r="AX1046"/>
  <c r="G1046"/>
  <c r="D1046"/>
  <c r="C1046"/>
  <c r="AX1045"/>
  <c r="G1045"/>
  <c r="D1045"/>
  <c r="C1045"/>
  <c r="AX1044"/>
  <c r="G1044"/>
  <c r="D1044"/>
  <c r="C1044"/>
  <c r="AX1043"/>
  <c r="G1043"/>
  <c r="D1043"/>
  <c r="C1043"/>
  <c r="AX1042"/>
  <c r="G1042"/>
  <c r="D1042"/>
  <c r="C1042"/>
  <c r="AX1041"/>
  <c r="G1041"/>
  <c r="D1041"/>
  <c r="C1041"/>
  <c r="AX1040"/>
  <c r="G1040"/>
  <c r="D1040"/>
  <c r="C1040"/>
  <c r="AX1039"/>
  <c r="G1039"/>
  <c r="D1039"/>
  <c r="C1039"/>
  <c r="AX1038"/>
  <c r="G1038"/>
  <c r="D1038"/>
  <c r="C1038"/>
  <c r="AX1037"/>
  <c r="G1037"/>
  <c r="D1037"/>
  <c r="C1037"/>
  <c r="AX1036"/>
  <c r="G1036"/>
  <c r="D1036"/>
  <c r="C1036"/>
  <c r="AX1035"/>
  <c r="G1035"/>
  <c r="D1035"/>
  <c r="C1035"/>
  <c r="AX1034"/>
  <c r="G1034"/>
  <c r="D1034"/>
  <c r="C1034"/>
  <c r="AX1033"/>
  <c r="G1033"/>
  <c r="D1033"/>
  <c r="C1033"/>
  <c r="AX1032"/>
  <c r="G1032"/>
  <c r="D1032"/>
  <c r="C1032"/>
  <c r="AX1031"/>
  <c r="G1031"/>
  <c r="D1031"/>
  <c r="C1031"/>
  <c r="AX1030"/>
  <c r="G1030"/>
  <c r="D1030"/>
  <c r="C1030"/>
  <c r="AX1029"/>
  <c r="G1029"/>
  <c r="D1029"/>
  <c r="C1029"/>
  <c r="AX1028"/>
  <c r="G1028"/>
  <c r="D1028"/>
  <c r="C1028"/>
  <c r="AX1027"/>
  <c r="G1027"/>
  <c r="D1027"/>
  <c r="C1027"/>
  <c r="AX1026"/>
  <c r="G1026"/>
  <c r="D1026"/>
  <c r="C1026"/>
  <c r="AX1025"/>
  <c r="G1025"/>
  <c r="D1025"/>
  <c r="C1025"/>
  <c r="AX1024"/>
  <c r="G1024"/>
  <c r="D1024"/>
  <c r="C1024"/>
  <c r="AX1023"/>
  <c r="G1023"/>
  <c r="D1023"/>
  <c r="C1023"/>
  <c r="AX1022"/>
  <c r="G1022"/>
  <c r="D1022"/>
  <c r="C1022"/>
  <c r="AX1021"/>
  <c r="G1021"/>
  <c r="D1021"/>
  <c r="C1021"/>
  <c r="AX1020"/>
  <c r="G1020"/>
  <c r="D1020"/>
  <c r="C1020"/>
  <c r="AX1019"/>
  <c r="G1019"/>
  <c r="D1019"/>
  <c r="C1019"/>
  <c r="AX1018"/>
  <c r="G1018"/>
  <c r="D1018"/>
  <c r="C1018"/>
  <c r="AX1017"/>
  <c r="G1017"/>
  <c r="D1017"/>
  <c r="C1017"/>
  <c r="AX1016"/>
  <c r="G1016"/>
  <c r="D1016"/>
  <c r="C1016"/>
  <c r="AX1015"/>
  <c r="G1015"/>
  <c r="D1015"/>
  <c r="C1015"/>
  <c r="AX1014"/>
  <c r="G1014"/>
  <c r="D1014"/>
  <c r="C1014"/>
  <c r="AX1013"/>
  <c r="G1013"/>
  <c r="D1013"/>
  <c r="C1013"/>
  <c r="AX1012"/>
  <c r="G1012"/>
  <c r="D1012"/>
  <c r="C1012"/>
  <c r="AX1011"/>
  <c r="G1011"/>
  <c r="D1011"/>
  <c r="C1011"/>
  <c r="AX1010"/>
  <c r="G1010"/>
  <c r="D1010"/>
  <c r="C1010"/>
  <c r="AX1009"/>
  <c r="G1009"/>
  <c r="D1009"/>
  <c r="C1009"/>
  <c r="AX1008"/>
  <c r="G1008"/>
  <c r="D1008"/>
  <c r="C1008"/>
  <c r="AX1007"/>
  <c r="G1007"/>
  <c r="D1007"/>
  <c r="C1007"/>
  <c r="AX1006"/>
  <c r="G1006"/>
  <c r="D1006"/>
  <c r="C1006"/>
  <c r="AX1005"/>
  <c r="G1005"/>
  <c r="D1005"/>
  <c r="C1005"/>
  <c r="AX1004"/>
  <c r="G1004"/>
  <c r="D1004"/>
  <c r="C1004"/>
  <c r="AX1003"/>
  <c r="G1003"/>
  <c r="D1003"/>
  <c r="C1003"/>
  <c r="AX1002"/>
  <c r="G1002"/>
  <c r="D1002"/>
  <c r="C1002"/>
  <c r="AX1001"/>
  <c r="G1001"/>
  <c r="D1001"/>
  <c r="C1001"/>
  <c r="AX1000"/>
  <c r="G1000"/>
  <c r="D1000"/>
  <c r="C1000"/>
  <c r="AX999"/>
  <c r="G999"/>
  <c r="D999"/>
  <c r="C999"/>
  <c r="AX998"/>
  <c r="G998"/>
  <c r="D998"/>
  <c r="C998"/>
  <c r="AX997"/>
  <c r="G997"/>
  <c r="D997"/>
  <c r="C997"/>
  <c r="AX996"/>
  <c r="G996"/>
  <c r="D996"/>
  <c r="C996"/>
  <c r="AX995"/>
  <c r="G995"/>
  <c r="D995"/>
  <c r="C995"/>
  <c r="AX994"/>
  <c r="G994"/>
  <c r="D994"/>
  <c r="C994"/>
  <c r="AX993"/>
  <c r="G993"/>
  <c r="D993"/>
  <c r="C993"/>
  <c r="AX992"/>
  <c r="G992"/>
  <c r="D992"/>
  <c r="C992"/>
  <c r="AX991"/>
  <c r="G991"/>
  <c r="D991"/>
  <c r="C991"/>
  <c r="AX990"/>
  <c r="G990"/>
  <c r="D990"/>
  <c r="C990"/>
  <c r="AX989"/>
  <c r="G989"/>
  <c r="D989"/>
  <c r="C989"/>
  <c r="AX988"/>
  <c r="G988"/>
  <c r="D988"/>
  <c r="C988"/>
  <c r="AX987"/>
  <c r="G987"/>
  <c r="D987"/>
  <c r="C987"/>
  <c r="AX986"/>
  <c r="G986"/>
  <c r="D986"/>
  <c r="C986"/>
  <c r="AX985"/>
  <c r="G985"/>
  <c r="D985"/>
  <c r="C985"/>
  <c r="AX984"/>
  <c r="G984"/>
  <c r="D984"/>
  <c r="C984"/>
  <c r="AX983"/>
  <c r="G983"/>
  <c r="D983"/>
  <c r="C983"/>
  <c r="AX982"/>
  <c r="G982"/>
  <c r="D982"/>
  <c r="C982"/>
  <c r="AX981"/>
  <c r="G981"/>
  <c r="D981"/>
  <c r="C981"/>
  <c r="AX980"/>
  <c r="G980"/>
  <c r="D980"/>
  <c r="C980"/>
  <c r="AX979"/>
  <c r="G979"/>
  <c r="D979"/>
  <c r="C979"/>
  <c r="AX978"/>
  <c r="G978"/>
  <c r="D978"/>
  <c r="C978"/>
  <c r="AX977"/>
  <c r="G977"/>
  <c r="D977"/>
  <c r="C977"/>
  <c r="AX976"/>
  <c r="G976"/>
  <c r="D976"/>
  <c r="C976"/>
  <c r="AX975"/>
  <c r="G975"/>
  <c r="D975"/>
  <c r="C975"/>
  <c r="AX974"/>
  <c r="G974"/>
  <c r="D974"/>
  <c r="C974"/>
  <c r="AX973"/>
  <c r="G973"/>
  <c r="D973"/>
  <c r="C973"/>
  <c r="AX972"/>
  <c r="G972"/>
  <c r="D972"/>
  <c r="C972"/>
  <c r="AX971"/>
  <c r="G971"/>
  <c r="D971"/>
  <c r="C971"/>
  <c r="AX970"/>
  <c r="G970"/>
  <c r="D970"/>
  <c r="C970"/>
  <c r="AX969"/>
  <c r="G969"/>
  <c r="D969"/>
  <c r="C969"/>
  <c r="AX968"/>
  <c r="G968"/>
  <c r="D968"/>
  <c r="C968"/>
  <c r="AX967"/>
  <c r="G967"/>
  <c r="D967"/>
  <c r="C967"/>
  <c r="AX966"/>
  <c r="G966"/>
  <c r="D966"/>
  <c r="C966"/>
  <c r="AX965"/>
  <c r="G965"/>
  <c r="D965"/>
  <c r="C965"/>
  <c r="AX964"/>
  <c r="G964"/>
  <c r="D964"/>
  <c r="C964"/>
  <c r="AX963"/>
  <c r="G963"/>
  <c r="D963"/>
  <c r="C963"/>
  <c r="AX962"/>
  <c r="G962"/>
  <c r="D962"/>
  <c r="C962"/>
  <c r="AX961"/>
  <c r="G961"/>
  <c r="D961"/>
  <c r="C961"/>
  <c r="AX960"/>
  <c r="G960"/>
  <c r="D960"/>
  <c r="C960"/>
  <c r="AX959"/>
  <c r="G959"/>
  <c r="D959"/>
  <c r="C959"/>
  <c r="AX958"/>
  <c r="G958"/>
  <c r="D958"/>
  <c r="C958"/>
  <c r="AX957"/>
  <c r="G957"/>
  <c r="D957"/>
  <c r="C957"/>
  <c r="AX956"/>
  <c r="G956"/>
  <c r="D956"/>
  <c r="C956"/>
  <c r="AX955"/>
  <c r="G955"/>
  <c r="D955"/>
  <c r="C955"/>
  <c r="AX954"/>
  <c r="G954"/>
  <c r="D954"/>
  <c r="C954"/>
  <c r="AX953"/>
  <c r="G953"/>
  <c r="D953"/>
  <c r="C953"/>
  <c r="AX952"/>
  <c r="G952"/>
  <c r="D952"/>
  <c r="C952"/>
  <c r="AX951"/>
  <c r="G951"/>
  <c r="D951"/>
  <c r="C951"/>
  <c r="AX950"/>
  <c r="G950"/>
  <c r="D950"/>
  <c r="C950"/>
  <c r="AX949"/>
  <c r="G949"/>
  <c r="D949"/>
  <c r="C949"/>
  <c r="AX948"/>
  <c r="G948"/>
  <c r="D948"/>
  <c r="C948"/>
  <c r="AX947"/>
  <c r="G947"/>
  <c r="D947"/>
  <c r="C947"/>
  <c r="AX946"/>
  <c r="G946"/>
  <c r="D946"/>
  <c r="C946"/>
  <c r="AX945"/>
  <c r="G945"/>
  <c r="D945"/>
  <c r="C945"/>
  <c r="AX944"/>
  <c r="G944"/>
  <c r="D944"/>
  <c r="C944"/>
  <c r="AX943"/>
  <c r="G943"/>
  <c r="D943"/>
  <c r="C943"/>
  <c r="AX942"/>
  <c r="G942"/>
  <c r="D942"/>
  <c r="C942"/>
  <c r="AX941"/>
  <c r="G941"/>
  <c r="D941"/>
  <c r="C941"/>
  <c r="AX940"/>
  <c r="G940"/>
  <c r="D940"/>
  <c r="C940"/>
  <c r="AX939"/>
  <c r="G939"/>
  <c r="D939"/>
  <c r="C939"/>
  <c r="AX938"/>
  <c r="G938"/>
  <c r="D938"/>
  <c r="C938"/>
  <c r="AX937"/>
  <c r="G937"/>
  <c r="D937"/>
  <c r="C937"/>
  <c r="AX936"/>
  <c r="G936"/>
  <c r="D936"/>
  <c r="C936"/>
  <c r="AX935"/>
  <c r="G935"/>
  <c r="D935"/>
  <c r="C935"/>
  <c r="AX934"/>
  <c r="G934"/>
  <c r="D934"/>
  <c r="C934"/>
  <c r="AX933"/>
  <c r="G933"/>
  <c r="D933"/>
  <c r="C933"/>
  <c r="AX932"/>
  <c r="G932"/>
  <c r="D932"/>
  <c r="C932"/>
  <c r="AX931"/>
  <c r="G931"/>
  <c r="D931"/>
  <c r="C931"/>
  <c r="AX930"/>
  <c r="G930"/>
  <c r="D930"/>
  <c r="C930"/>
  <c r="AX929"/>
  <c r="G929"/>
  <c r="D929"/>
  <c r="C929"/>
  <c r="AX928"/>
  <c r="G928"/>
  <c r="D928"/>
  <c r="C928"/>
  <c r="AX927"/>
  <c r="G927"/>
  <c r="D927"/>
  <c r="C927"/>
  <c r="AX926"/>
  <c r="G926"/>
  <c r="D926"/>
  <c r="C926"/>
  <c r="AX925"/>
  <c r="G925"/>
  <c r="D925"/>
  <c r="C925"/>
  <c r="AX924"/>
  <c r="G924"/>
  <c r="D924"/>
  <c r="C924"/>
  <c r="AX923"/>
  <c r="G923"/>
  <c r="D923"/>
  <c r="C923"/>
  <c r="AX922"/>
  <c r="G922"/>
  <c r="D922"/>
  <c r="C922"/>
  <c r="AX921"/>
  <c r="G921"/>
  <c r="D921"/>
  <c r="C921"/>
  <c r="AX920"/>
  <c r="G920"/>
  <c r="D920"/>
  <c r="C920"/>
  <c r="AX919"/>
  <c r="G919"/>
  <c r="D919"/>
  <c r="C919"/>
  <c r="AX918"/>
  <c r="G918"/>
  <c r="D918"/>
  <c r="C918"/>
  <c r="AX917"/>
  <c r="G917"/>
  <c r="D917"/>
  <c r="C917"/>
  <c r="AX916"/>
  <c r="G916"/>
  <c r="D916"/>
  <c r="C916"/>
  <c r="AX915"/>
  <c r="G915"/>
  <c r="D915"/>
  <c r="C915"/>
  <c r="AX914"/>
  <c r="G914"/>
  <c r="D914"/>
  <c r="C914"/>
  <c r="AX913"/>
  <c r="G913"/>
  <c r="D913"/>
  <c r="C913"/>
  <c r="AX912"/>
  <c r="G912"/>
  <c r="D912"/>
  <c r="C912"/>
  <c r="AX911"/>
  <c r="G911"/>
  <c r="D911"/>
  <c r="C911"/>
  <c r="AX910"/>
  <c r="G910"/>
  <c r="D910"/>
  <c r="C910"/>
  <c r="AX909"/>
  <c r="G909"/>
  <c r="D909"/>
  <c r="C909"/>
  <c r="AX908"/>
  <c r="G908"/>
  <c r="D908"/>
  <c r="C908"/>
  <c r="AX907"/>
  <c r="G907"/>
  <c r="D907"/>
  <c r="C907"/>
  <c r="AX906"/>
  <c r="G906"/>
  <c r="D906"/>
  <c r="C906"/>
  <c r="AX905"/>
  <c r="G905"/>
  <c r="D905"/>
  <c r="C905"/>
  <c r="AX904"/>
  <c r="G904"/>
  <c r="D904"/>
  <c r="C904"/>
  <c r="AX903"/>
  <c r="G903"/>
  <c r="D903"/>
  <c r="C903"/>
  <c r="AX902"/>
  <c r="G902"/>
  <c r="D902"/>
  <c r="C902"/>
  <c r="AX901"/>
  <c r="G901"/>
  <c r="D901"/>
  <c r="C901"/>
  <c r="AX900"/>
  <c r="G900"/>
  <c r="D900"/>
  <c r="C900"/>
  <c r="AX899"/>
  <c r="G899"/>
  <c r="D899"/>
  <c r="C899"/>
  <c r="AX898"/>
  <c r="G898"/>
  <c r="D898"/>
  <c r="C898"/>
  <c r="AX897"/>
  <c r="G897"/>
  <c r="D897"/>
  <c r="C897"/>
  <c r="AX896"/>
  <c r="G896"/>
  <c r="D896"/>
  <c r="C896"/>
  <c r="AX895"/>
  <c r="G895"/>
  <c r="D895"/>
  <c r="C895"/>
  <c r="AX894"/>
  <c r="G894"/>
  <c r="D894"/>
  <c r="C894"/>
  <c r="AX893"/>
  <c r="G893"/>
  <c r="D893"/>
  <c r="C893"/>
  <c r="AX892"/>
  <c r="G892"/>
  <c r="D892"/>
  <c r="C892"/>
  <c r="AX891"/>
  <c r="G891"/>
  <c r="D891"/>
  <c r="C891"/>
  <c r="AX890"/>
  <c r="G890"/>
  <c r="D890"/>
  <c r="C890"/>
  <c r="AX889"/>
  <c r="G889"/>
  <c r="D889"/>
  <c r="C889"/>
  <c r="AX888"/>
  <c r="G888"/>
  <c r="D888"/>
  <c r="C888"/>
  <c r="AX887"/>
  <c r="G887"/>
  <c r="D887"/>
  <c r="C887"/>
  <c r="AX886"/>
  <c r="G886"/>
  <c r="D886"/>
  <c r="C886"/>
  <c r="AX885"/>
  <c r="G885"/>
  <c r="D885"/>
  <c r="C885"/>
  <c r="AX884"/>
  <c r="G884"/>
  <c r="D884"/>
  <c r="C884"/>
  <c r="AX883"/>
  <c r="G883"/>
  <c r="D883"/>
  <c r="C883"/>
  <c r="AX882"/>
  <c r="G882"/>
  <c r="D882"/>
  <c r="C882"/>
  <c r="AX881"/>
  <c r="G881"/>
  <c r="D881"/>
  <c r="C881"/>
  <c r="AX880"/>
  <c r="G880"/>
  <c r="D880"/>
  <c r="C880"/>
  <c r="AX879"/>
  <c r="G879"/>
  <c r="D879"/>
  <c r="C879"/>
  <c r="AX878"/>
  <c r="G878"/>
  <c r="D878"/>
  <c r="C878"/>
  <c r="AX877"/>
  <c r="G877"/>
  <c r="D877"/>
  <c r="C877"/>
  <c r="AX876"/>
  <c r="G876"/>
  <c r="D876"/>
  <c r="C876"/>
  <c r="AX875"/>
  <c r="G875"/>
  <c r="D875"/>
  <c r="C875"/>
  <c r="AX874"/>
  <c r="G874"/>
  <c r="D874"/>
  <c r="C874"/>
  <c r="AX873"/>
  <c r="G873"/>
  <c r="D873"/>
  <c r="C873"/>
  <c r="AX872"/>
  <c r="G872"/>
  <c r="D872"/>
  <c r="C872"/>
  <c r="AX871"/>
  <c r="G871"/>
  <c r="D871"/>
  <c r="C871"/>
  <c r="AX870"/>
  <c r="G870"/>
  <c r="D870"/>
  <c r="C870"/>
  <c r="AX869"/>
  <c r="G869"/>
  <c r="D869"/>
  <c r="C869"/>
  <c r="AX868"/>
  <c r="G868"/>
  <c r="D868"/>
  <c r="C868"/>
  <c r="AX867"/>
  <c r="G867"/>
  <c r="D867"/>
  <c r="C867"/>
  <c r="AX866"/>
  <c r="G866"/>
  <c r="D866"/>
  <c r="C866"/>
  <c r="AX865"/>
  <c r="G865"/>
  <c r="D865"/>
  <c r="C865"/>
  <c r="AX864"/>
  <c r="G864"/>
  <c r="D864"/>
  <c r="C864"/>
  <c r="AX863"/>
  <c r="G863"/>
  <c r="D863"/>
  <c r="C863"/>
  <c r="AX862"/>
  <c r="G862"/>
  <c r="D862"/>
  <c r="C862"/>
  <c r="AX861"/>
  <c r="G861"/>
  <c r="D861"/>
  <c r="C861"/>
  <c r="AX860"/>
  <c r="G860"/>
  <c r="D860"/>
  <c r="C860"/>
  <c r="AX859"/>
  <c r="G859"/>
  <c r="D859"/>
  <c r="C859"/>
  <c r="AX858"/>
  <c r="G858"/>
  <c r="D858"/>
  <c r="C858"/>
  <c r="AX857"/>
  <c r="G857"/>
  <c r="D857"/>
  <c r="C857"/>
  <c r="AX856"/>
  <c r="G856"/>
  <c r="D856"/>
  <c r="C856"/>
  <c r="AX855"/>
  <c r="G855"/>
  <c r="D855"/>
  <c r="C855"/>
  <c r="AX854"/>
  <c r="G854"/>
  <c r="D854"/>
  <c r="C854"/>
  <c r="AX853"/>
  <c r="G853"/>
  <c r="D853"/>
  <c r="C853"/>
  <c r="AX852"/>
  <c r="G852"/>
  <c r="D852"/>
  <c r="C852"/>
  <c r="AX851"/>
  <c r="G851"/>
  <c r="D851"/>
  <c r="C851"/>
  <c r="AX850"/>
  <c r="G850"/>
  <c r="D850"/>
  <c r="C850"/>
  <c r="AX849"/>
  <c r="G849"/>
  <c r="D849"/>
  <c r="C849"/>
  <c r="AX848"/>
  <c r="G848"/>
  <c r="D848"/>
  <c r="C848"/>
  <c r="AX847"/>
  <c r="G847"/>
  <c r="D847"/>
  <c r="C847"/>
  <c r="AX846"/>
  <c r="G846"/>
  <c r="D846"/>
  <c r="C846"/>
  <c r="AX845"/>
  <c r="G845"/>
  <c r="D845"/>
  <c r="C845"/>
  <c r="AX844"/>
  <c r="G844"/>
  <c r="D844"/>
  <c r="C844"/>
  <c r="AX843"/>
  <c r="G843"/>
  <c r="D843"/>
  <c r="C843"/>
  <c r="AX842"/>
  <c r="G842"/>
  <c r="D842"/>
  <c r="C842"/>
  <c r="AX841"/>
  <c r="G841"/>
  <c r="D841"/>
  <c r="C841"/>
  <c r="AX840"/>
  <c r="G840"/>
  <c r="D840"/>
  <c r="C840"/>
  <c r="AX839"/>
  <c r="G839"/>
  <c r="D839"/>
  <c r="C839"/>
  <c r="AX838"/>
  <c r="G838"/>
  <c r="D838"/>
  <c r="C838"/>
  <c r="AX837"/>
  <c r="G837"/>
  <c r="D837"/>
  <c r="C837"/>
  <c r="AX836"/>
  <c r="G836"/>
  <c r="D836"/>
  <c r="C836"/>
  <c r="AX835"/>
  <c r="G835"/>
  <c r="D835"/>
  <c r="C835"/>
  <c r="AX834"/>
  <c r="G834"/>
  <c r="D834"/>
  <c r="C834"/>
  <c r="AX833"/>
  <c r="G833"/>
  <c r="D833"/>
  <c r="C833"/>
  <c r="AX832"/>
  <c r="G832"/>
  <c r="D832"/>
  <c r="C832"/>
  <c r="AX831"/>
  <c r="G831"/>
  <c r="D831"/>
  <c r="C831"/>
  <c r="AX830"/>
  <c r="G830"/>
  <c r="D830"/>
  <c r="C830"/>
  <c r="AX829"/>
  <c r="G829"/>
  <c r="D829"/>
  <c r="C829"/>
  <c r="AX828"/>
  <c r="G828"/>
  <c r="D828"/>
  <c r="C828"/>
  <c r="AX827"/>
  <c r="G827"/>
  <c r="D827"/>
  <c r="C827"/>
  <c r="AX826"/>
  <c r="G826"/>
  <c r="D826"/>
  <c r="C826"/>
  <c r="AX825"/>
  <c r="G825"/>
  <c r="D825"/>
  <c r="C825"/>
  <c r="AX824"/>
  <c r="G824"/>
  <c r="D824"/>
  <c r="C824"/>
  <c r="AX823"/>
  <c r="G823"/>
  <c r="D823"/>
  <c r="C823"/>
  <c r="AX822"/>
  <c r="G822"/>
  <c r="D822"/>
  <c r="C822"/>
  <c r="AX821"/>
  <c r="G821"/>
  <c r="D821"/>
  <c r="C821"/>
  <c r="AX820"/>
  <c r="G820"/>
  <c r="D820"/>
  <c r="C820"/>
  <c r="AX819"/>
  <c r="G819"/>
  <c r="D819"/>
  <c r="C819"/>
  <c r="AX818"/>
  <c r="G818"/>
  <c r="D818"/>
  <c r="C818"/>
  <c r="AX817"/>
  <c r="G817"/>
  <c r="D817"/>
  <c r="C817"/>
  <c r="AX816"/>
  <c r="G816"/>
  <c r="D816"/>
  <c r="C816"/>
  <c r="AX815"/>
  <c r="G815"/>
  <c r="D815"/>
  <c r="C815"/>
  <c r="AX814"/>
  <c r="G814"/>
  <c r="D814"/>
  <c r="C814"/>
  <c r="AX813"/>
  <c r="G813"/>
  <c r="D813"/>
  <c r="C813"/>
  <c r="AX812"/>
  <c r="G812"/>
  <c r="D812"/>
  <c r="C812"/>
  <c r="AX811"/>
  <c r="G811"/>
  <c r="D811"/>
  <c r="C811"/>
  <c r="AX810"/>
  <c r="G810"/>
  <c r="D810"/>
  <c r="C810"/>
  <c r="AX809"/>
  <c r="G809"/>
  <c r="D809"/>
  <c r="C809"/>
  <c r="AX808"/>
  <c r="G808"/>
  <c r="D808"/>
  <c r="C808"/>
  <c r="AX807"/>
  <c r="G807"/>
  <c r="D807"/>
  <c r="C807"/>
  <c r="AX806"/>
  <c r="G806"/>
  <c r="D806"/>
  <c r="C806"/>
  <c r="AX805"/>
  <c r="G805"/>
  <c r="D805"/>
  <c r="C805"/>
  <c r="AX804"/>
  <c r="G804"/>
  <c r="D804"/>
  <c r="C804"/>
  <c r="AX803"/>
  <c r="G803"/>
  <c r="D803"/>
  <c r="C803"/>
  <c r="AX802"/>
  <c r="G802"/>
  <c r="D802"/>
  <c r="C802"/>
  <c r="AX801"/>
  <c r="G801"/>
  <c r="D801"/>
  <c r="C801"/>
  <c r="AX800"/>
  <c r="G800"/>
  <c r="D800"/>
  <c r="C800"/>
  <c r="AX799"/>
  <c r="G799"/>
  <c r="D799"/>
  <c r="C799"/>
  <c r="AX798"/>
  <c r="G798"/>
  <c r="D798"/>
  <c r="C798"/>
  <c r="AX797"/>
  <c r="G797"/>
  <c r="D797"/>
  <c r="C797"/>
  <c r="AX796"/>
  <c r="G796"/>
  <c r="D796"/>
  <c r="C796"/>
  <c r="AX795"/>
  <c r="G795"/>
  <c r="D795"/>
  <c r="C795"/>
  <c r="AX794"/>
  <c r="G794"/>
  <c r="D794"/>
  <c r="C794"/>
  <c r="AX793"/>
  <c r="G793"/>
  <c r="D793"/>
  <c r="C793"/>
  <c r="AX792"/>
  <c r="G792"/>
  <c r="D792"/>
  <c r="C792"/>
  <c r="AX791"/>
  <c r="G791"/>
  <c r="D791"/>
  <c r="C791"/>
  <c r="AX790"/>
  <c r="G790"/>
  <c r="D790"/>
  <c r="C790"/>
  <c r="AX789"/>
  <c r="G789"/>
  <c r="D789"/>
  <c r="C789"/>
  <c r="AX788"/>
  <c r="G788"/>
  <c r="D788"/>
  <c r="C788"/>
  <c r="AX787"/>
  <c r="G787"/>
  <c r="D787"/>
  <c r="C787"/>
  <c r="AX786"/>
  <c r="G786"/>
  <c r="D786"/>
  <c r="C786"/>
  <c r="AX785"/>
  <c r="G785"/>
  <c r="D785"/>
  <c r="C785"/>
  <c r="AX784"/>
  <c r="G784"/>
  <c r="D784"/>
  <c r="C784"/>
  <c r="AX783"/>
  <c r="G783"/>
  <c r="D783"/>
  <c r="C783"/>
  <c r="AX782"/>
  <c r="G782"/>
  <c r="D782"/>
  <c r="C782"/>
  <c r="AX781"/>
  <c r="G781"/>
  <c r="D781"/>
  <c r="C781"/>
  <c r="AX780"/>
  <c r="G780"/>
  <c r="D780"/>
  <c r="C780"/>
  <c r="AX779"/>
  <c r="G779"/>
  <c r="D779"/>
  <c r="C779"/>
  <c r="AX778"/>
  <c r="G778"/>
  <c r="D778"/>
  <c r="C778"/>
  <c r="AX777"/>
  <c r="G777"/>
  <c r="D777"/>
  <c r="C777"/>
  <c r="AX776"/>
  <c r="G776"/>
  <c r="D776"/>
  <c r="C776"/>
  <c r="AX775"/>
  <c r="G775"/>
  <c r="D775"/>
  <c r="C775"/>
  <c r="AX774"/>
  <c r="G774"/>
  <c r="D774"/>
  <c r="C774"/>
  <c r="AX773"/>
  <c r="G773"/>
  <c r="D773"/>
  <c r="C773"/>
  <c r="AX772"/>
  <c r="G772"/>
  <c r="D772"/>
  <c r="C772"/>
  <c r="AX771"/>
  <c r="G771"/>
  <c r="D771"/>
  <c r="C771"/>
  <c r="AX770"/>
  <c r="G770"/>
  <c r="D770"/>
  <c r="C770"/>
  <c r="AX769"/>
  <c r="G769"/>
  <c r="D769"/>
  <c r="C769"/>
  <c r="AX768"/>
  <c r="G768"/>
  <c r="D768"/>
  <c r="C768"/>
  <c r="AX767"/>
  <c r="G767"/>
  <c r="D767"/>
  <c r="C767"/>
  <c r="AX766"/>
  <c r="G766"/>
  <c r="D766"/>
  <c r="C766"/>
  <c r="AX765"/>
  <c r="G765"/>
  <c r="D765"/>
  <c r="C765"/>
  <c r="AX764"/>
  <c r="G764"/>
  <c r="D764"/>
  <c r="C764"/>
  <c r="AX763"/>
  <c r="G763"/>
  <c r="D763"/>
  <c r="C763"/>
  <c r="AX762"/>
  <c r="G762"/>
  <c r="D762"/>
  <c r="C762"/>
  <c r="AX761"/>
  <c r="G761"/>
  <c r="D761"/>
  <c r="C761"/>
  <c r="AX760"/>
  <c r="G760"/>
  <c r="D760"/>
  <c r="C760"/>
  <c r="AX759"/>
  <c r="G759"/>
  <c r="D759"/>
  <c r="C759"/>
  <c r="AX758"/>
  <c r="G758"/>
  <c r="D758"/>
  <c r="C758"/>
  <c r="AX757"/>
  <c r="G757"/>
  <c r="D757"/>
  <c r="C757"/>
  <c r="AX756"/>
  <c r="G756"/>
  <c r="D756"/>
  <c r="C756"/>
  <c r="AX755"/>
  <c r="G755"/>
  <c r="D755"/>
  <c r="C755"/>
  <c r="AX754"/>
  <c r="G754"/>
  <c r="D754"/>
  <c r="C754"/>
  <c r="AX753"/>
  <c r="G753"/>
  <c r="D753"/>
  <c r="C753"/>
  <c r="AX752"/>
  <c r="G752"/>
  <c r="D752"/>
  <c r="C752"/>
  <c r="AX751"/>
  <c r="G751"/>
  <c r="D751"/>
  <c r="C751"/>
  <c r="AX750"/>
  <c r="G750"/>
  <c r="D750"/>
  <c r="C750"/>
  <c r="AX749"/>
  <c r="G749"/>
  <c r="D749"/>
  <c r="C749"/>
  <c r="AX748"/>
  <c r="G748"/>
  <c r="D748"/>
  <c r="C748"/>
  <c r="AX747"/>
  <c r="G747"/>
  <c r="D747"/>
  <c r="C747"/>
  <c r="AX746"/>
  <c r="G746"/>
  <c r="D746"/>
  <c r="C746"/>
  <c r="AX745"/>
  <c r="G745"/>
  <c r="D745"/>
  <c r="C745"/>
  <c r="AX744"/>
  <c r="G744"/>
  <c r="D744"/>
  <c r="C744"/>
  <c r="AX743"/>
  <c r="G743"/>
  <c r="D743"/>
  <c r="C743"/>
  <c r="AX742"/>
  <c r="G742"/>
  <c r="D742"/>
  <c r="C742"/>
  <c r="AX741"/>
  <c r="G741"/>
  <c r="D741"/>
  <c r="C741"/>
  <c r="AX740"/>
  <c r="G740"/>
  <c r="D740"/>
  <c r="C740"/>
  <c r="AX739"/>
  <c r="G739"/>
  <c r="D739"/>
  <c r="C739"/>
  <c r="AX738"/>
  <c r="G738"/>
  <c r="D738"/>
  <c r="C738"/>
  <c r="AX737"/>
  <c r="G737"/>
  <c r="D737"/>
  <c r="C737"/>
  <c r="AX736"/>
  <c r="G736"/>
  <c r="D736"/>
  <c r="C736"/>
  <c r="AX735"/>
  <c r="G735"/>
  <c r="D735"/>
  <c r="C735"/>
  <c r="AX734"/>
  <c r="G734"/>
  <c r="D734"/>
  <c r="C734"/>
  <c r="AX733"/>
  <c r="G733"/>
  <c r="D733"/>
  <c r="C733"/>
  <c r="AX732"/>
  <c r="G732"/>
  <c r="D732"/>
  <c r="C732"/>
  <c r="AX731"/>
  <c r="G731"/>
  <c r="D731"/>
  <c r="C731"/>
  <c r="AX730"/>
  <c r="G730"/>
  <c r="D730"/>
  <c r="C730"/>
  <c r="AX729"/>
  <c r="G729"/>
  <c r="D729"/>
  <c r="C729"/>
  <c r="AX728"/>
  <c r="G728"/>
  <c r="D728"/>
  <c r="C728"/>
  <c r="AX727"/>
  <c r="G727"/>
  <c r="D727"/>
  <c r="C727"/>
  <c r="AX726"/>
  <c r="G726"/>
  <c r="D726"/>
  <c r="C726"/>
  <c r="AX725"/>
  <c r="G725"/>
  <c r="D725"/>
  <c r="C725"/>
  <c r="AX724"/>
  <c r="G724"/>
  <c r="D724"/>
  <c r="C724"/>
  <c r="AX723"/>
  <c r="G723"/>
  <c r="D723"/>
  <c r="C723"/>
  <c r="AX722"/>
  <c r="G722"/>
  <c r="D722"/>
  <c r="C722"/>
  <c r="AX721"/>
  <c r="G721"/>
  <c r="D721"/>
  <c r="C721"/>
  <c r="AX720"/>
  <c r="G720"/>
  <c r="D720"/>
  <c r="C720"/>
  <c r="AX719"/>
  <c r="G719"/>
  <c r="D719"/>
  <c r="C719"/>
  <c r="AX718"/>
  <c r="G718"/>
  <c r="D718"/>
  <c r="C718"/>
  <c r="AX717"/>
  <c r="G717"/>
  <c r="D717"/>
  <c r="C717"/>
  <c r="AX716"/>
  <c r="G716"/>
  <c r="D716"/>
  <c r="C716"/>
  <c r="AX715"/>
  <c r="G715"/>
  <c r="D715"/>
  <c r="C715"/>
  <c r="AX714"/>
  <c r="G714"/>
  <c r="D714"/>
  <c r="C714"/>
  <c r="AX713"/>
  <c r="G713"/>
  <c r="D713"/>
  <c r="C713"/>
  <c r="AX712"/>
  <c r="G712"/>
  <c r="D712"/>
  <c r="C712"/>
  <c r="AX711"/>
  <c r="G711"/>
  <c r="D711"/>
  <c r="C711"/>
  <c r="AX710"/>
  <c r="G710"/>
  <c r="D710"/>
  <c r="C710"/>
  <c r="AX709"/>
  <c r="G709"/>
  <c r="D709"/>
  <c r="C709"/>
  <c r="AX708"/>
  <c r="G708"/>
  <c r="D708"/>
  <c r="C708"/>
  <c r="AX707"/>
  <c r="G707"/>
  <c r="D707"/>
  <c r="C707"/>
  <c r="AX706"/>
  <c r="G706"/>
  <c r="D706"/>
  <c r="C706"/>
  <c r="AX705"/>
  <c r="G705"/>
  <c r="D705"/>
  <c r="C705"/>
  <c r="AX704"/>
  <c r="G704"/>
  <c r="D704"/>
  <c r="C704"/>
  <c r="AX703"/>
  <c r="G703"/>
  <c r="D703"/>
  <c r="C703"/>
  <c r="AX702"/>
  <c r="G702"/>
  <c r="D702"/>
  <c r="C702"/>
  <c r="AX701"/>
  <c r="G701"/>
  <c r="D701"/>
  <c r="C701"/>
  <c r="AX700"/>
  <c r="G700"/>
  <c r="D700"/>
  <c r="C700"/>
  <c r="AX699"/>
  <c r="G699"/>
  <c r="D699"/>
  <c r="C699"/>
  <c r="AX698"/>
  <c r="G698"/>
  <c r="D698"/>
  <c r="C698"/>
  <c r="AX697"/>
  <c r="G697"/>
  <c r="D697"/>
  <c r="C697"/>
  <c r="AX696"/>
  <c r="G696"/>
  <c r="D696"/>
  <c r="C696"/>
  <c r="AX695"/>
  <c r="G695"/>
  <c r="D695"/>
  <c r="C695"/>
  <c r="AX694"/>
  <c r="G694"/>
  <c r="D694"/>
  <c r="C694"/>
  <c r="AX693"/>
  <c r="G693"/>
  <c r="D693"/>
  <c r="C693"/>
  <c r="AX692"/>
  <c r="G692"/>
  <c r="D692"/>
  <c r="C692"/>
  <c r="AX691"/>
  <c r="G691"/>
  <c r="D691"/>
  <c r="C691"/>
  <c r="AX690"/>
  <c r="G690"/>
  <c r="D690"/>
  <c r="C690"/>
  <c r="AX689"/>
  <c r="G689"/>
  <c r="D689"/>
  <c r="C689"/>
  <c r="AX688"/>
  <c r="G688"/>
  <c r="D688"/>
  <c r="C688"/>
  <c r="AX687"/>
  <c r="G687"/>
  <c r="D687"/>
  <c r="C687"/>
  <c r="AX686"/>
  <c r="G686"/>
  <c r="D686"/>
  <c r="C686"/>
  <c r="AX685"/>
  <c r="G685"/>
  <c r="D685"/>
  <c r="C685"/>
  <c r="AX684"/>
  <c r="G684"/>
  <c r="D684"/>
  <c r="C684"/>
  <c r="AX683"/>
  <c r="G683"/>
  <c r="D683"/>
  <c r="C683"/>
  <c r="AX682"/>
  <c r="G682"/>
  <c r="D682"/>
  <c r="C682"/>
  <c r="AX681"/>
  <c r="G681"/>
  <c r="D681"/>
  <c r="C681"/>
  <c r="AX680"/>
  <c r="G680"/>
  <c r="D680"/>
  <c r="C680"/>
  <c r="AX679"/>
  <c r="G679"/>
  <c r="D679"/>
  <c r="C679"/>
  <c r="AX678"/>
  <c r="G678"/>
  <c r="D678"/>
  <c r="C678"/>
  <c r="AX677"/>
  <c r="G677"/>
  <c r="D677"/>
  <c r="C677"/>
  <c r="AX676"/>
  <c r="G676"/>
  <c r="D676"/>
  <c r="C676"/>
  <c r="AX675"/>
  <c r="G675"/>
  <c r="D675"/>
  <c r="C675"/>
  <c r="AX674"/>
  <c r="G674"/>
  <c r="D674"/>
  <c r="C674"/>
  <c r="AX673"/>
  <c r="G673"/>
  <c r="D673"/>
  <c r="C673"/>
  <c r="AX672"/>
  <c r="G672"/>
  <c r="D672"/>
  <c r="C672"/>
  <c r="AX671"/>
  <c r="G671"/>
  <c r="D671"/>
  <c r="C671"/>
  <c r="AX670"/>
  <c r="G670"/>
  <c r="D670"/>
  <c r="C670"/>
  <c r="AX669"/>
  <c r="G669"/>
  <c r="D669"/>
  <c r="C669"/>
  <c r="AX668"/>
  <c r="G668"/>
  <c r="D668"/>
  <c r="C668"/>
  <c r="AX667"/>
  <c r="G667"/>
  <c r="D667"/>
  <c r="C667"/>
  <c r="AX666"/>
  <c r="G666"/>
  <c r="D666"/>
  <c r="C666"/>
  <c r="AX665"/>
  <c r="G665"/>
  <c r="D665"/>
  <c r="C665"/>
  <c r="AX664"/>
  <c r="G664"/>
  <c r="D664"/>
  <c r="C664"/>
  <c r="AX663"/>
  <c r="G663"/>
  <c r="D663"/>
  <c r="C663"/>
  <c r="AX662"/>
  <c r="G662"/>
  <c r="D662"/>
  <c r="C662"/>
  <c r="AX661"/>
  <c r="G661"/>
  <c r="D661"/>
  <c r="C661"/>
  <c r="AX660"/>
  <c r="G660"/>
  <c r="D660"/>
  <c r="C660"/>
  <c r="AX659"/>
  <c r="G659"/>
  <c r="D659"/>
  <c r="C659"/>
  <c r="AX658"/>
  <c r="G658"/>
  <c r="D658"/>
  <c r="C658"/>
  <c r="AX657"/>
  <c r="G657"/>
  <c r="D657"/>
  <c r="C657"/>
  <c r="AX656"/>
  <c r="G656"/>
  <c r="D656"/>
  <c r="C656"/>
  <c r="AX655"/>
  <c r="G655"/>
  <c r="D655"/>
  <c r="C655"/>
  <c r="AX654"/>
  <c r="G654"/>
  <c r="D654"/>
  <c r="C654"/>
  <c r="AX653"/>
  <c r="G653"/>
  <c r="D653"/>
  <c r="C653"/>
  <c r="AX652"/>
  <c r="G652"/>
  <c r="D652"/>
  <c r="C652"/>
  <c r="AX651"/>
  <c r="G651"/>
  <c r="D651"/>
  <c r="C651"/>
  <c r="AX650"/>
  <c r="G650"/>
  <c r="D650"/>
  <c r="C650"/>
  <c r="AX649"/>
  <c r="G649"/>
  <c r="D649"/>
  <c r="C649"/>
  <c r="AX648"/>
  <c r="G648"/>
  <c r="D648"/>
  <c r="C648"/>
  <c r="AX647"/>
  <c r="G647"/>
  <c r="D647"/>
  <c r="C647"/>
  <c r="AX646"/>
  <c r="G646"/>
  <c r="D646"/>
  <c r="C646"/>
  <c r="AX645"/>
  <c r="G645"/>
  <c r="D645"/>
  <c r="C645"/>
  <c r="AX644"/>
  <c r="G644"/>
  <c r="D644"/>
  <c r="C644"/>
  <c r="AX643"/>
  <c r="G643"/>
  <c r="D643"/>
  <c r="C643"/>
  <c r="AX642"/>
  <c r="G642"/>
  <c r="D642"/>
  <c r="C642"/>
  <c r="AX641"/>
  <c r="G641"/>
  <c r="D641"/>
  <c r="C641"/>
  <c r="AX640"/>
  <c r="G640"/>
  <c r="D640"/>
  <c r="C640"/>
  <c r="AX639"/>
  <c r="G639"/>
  <c r="D639"/>
  <c r="C639"/>
  <c r="AX638"/>
  <c r="G638"/>
  <c r="D638"/>
  <c r="C638"/>
  <c r="AX637"/>
  <c r="G637"/>
  <c r="D637"/>
  <c r="C637"/>
  <c r="AX636"/>
  <c r="G636"/>
  <c r="D636"/>
  <c r="C636"/>
  <c r="AX635"/>
  <c r="G635"/>
  <c r="D635"/>
  <c r="C635"/>
  <c r="AX634"/>
  <c r="G634"/>
  <c r="D634"/>
  <c r="C634"/>
  <c r="AX633"/>
  <c r="G633"/>
  <c r="D633"/>
  <c r="C633"/>
  <c r="AX632"/>
  <c r="G632"/>
  <c r="D632"/>
  <c r="C632"/>
  <c r="AX631"/>
  <c r="G631"/>
  <c r="D631"/>
  <c r="C631"/>
  <c r="AX630"/>
  <c r="G630"/>
  <c r="D630"/>
  <c r="C630"/>
  <c r="AX629"/>
  <c r="G629"/>
  <c r="D629"/>
  <c r="C629"/>
  <c r="AX628"/>
  <c r="G628"/>
  <c r="D628"/>
  <c r="C628"/>
  <c r="AX627"/>
  <c r="G627"/>
  <c r="D627"/>
  <c r="C627"/>
  <c r="AX626"/>
  <c r="G626"/>
  <c r="D626"/>
  <c r="C626"/>
  <c r="AX625"/>
  <c r="G625"/>
  <c r="D625"/>
  <c r="C625"/>
  <c r="AX624"/>
  <c r="G624"/>
  <c r="D624"/>
  <c r="C624"/>
  <c r="AX623"/>
  <c r="G623"/>
  <c r="D623"/>
  <c r="C623"/>
  <c r="AX622"/>
  <c r="G622"/>
  <c r="D622"/>
  <c r="C622"/>
  <c r="AX621"/>
  <c r="G621"/>
  <c r="D621"/>
  <c r="C621"/>
  <c r="AX620"/>
  <c r="G620"/>
  <c r="D620"/>
  <c r="C620"/>
  <c r="AX619"/>
  <c r="G619"/>
  <c r="D619"/>
  <c r="C619"/>
  <c r="AX618"/>
  <c r="G618"/>
  <c r="D618"/>
  <c r="C618"/>
  <c r="AX617"/>
  <c r="G617"/>
  <c r="D617"/>
  <c r="C617"/>
  <c r="AX616"/>
  <c r="G616"/>
  <c r="D616"/>
  <c r="C616"/>
  <c r="AX615"/>
  <c r="G615"/>
  <c r="D615"/>
  <c r="C615"/>
  <c r="AX614"/>
  <c r="G614"/>
  <c r="D614"/>
  <c r="C614"/>
  <c r="AX613"/>
  <c r="G613"/>
  <c r="D613"/>
  <c r="C613"/>
  <c r="AX612"/>
  <c r="G612"/>
  <c r="D612"/>
  <c r="C612"/>
  <c r="AX611"/>
  <c r="G611"/>
  <c r="D611"/>
  <c r="C611"/>
  <c r="AX610"/>
  <c r="G610"/>
  <c r="D610"/>
  <c r="C610"/>
  <c r="AX609"/>
  <c r="G609"/>
  <c r="D609"/>
  <c r="C609"/>
  <c r="AX608"/>
  <c r="G608"/>
  <c r="D608"/>
  <c r="C608"/>
  <c r="AX607"/>
  <c r="G607"/>
  <c r="D607"/>
  <c r="C607"/>
  <c r="AX606"/>
  <c r="G606"/>
  <c r="D606"/>
  <c r="C606"/>
  <c r="AX605"/>
  <c r="G605"/>
  <c r="D605"/>
  <c r="C605"/>
  <c r="AX604"/>
  <c r="G604"/>
  <c r="D604"/>
  <c r="C604"/>
  <c r="AX603"/>
  <c r="G603"/>
  <c r="D603"/>
  <c r="C603"/>
  <c r="AX602"/>
  <c r="G602"/>
  <c r="D602"/>
  <c r="C602"/>
  <c r="AX601"/>
  <c r="G601"/>
  <c r="D601"/>
  <c r="C601"/>
  <c r="AX600"/>
  <c r="G600"/>
  <c r="D600"/>
  <c r="C600"/>
  <c r="AX599"/>
  <c r="G599"/>
  <c r="D599"/>
  <c r="C599"/>
  <c r="AX598"/>
  <c r="G598"/>
  <c r="D598"/>
  <c r="C598"/>
  <c r="AX597"/>
  <c r="G597"/>
  <c r="D597"/>
  <c r="C597"/>
  <c r="AX596"/>
  <c r="G596"/>
  <c r="D596"/>
  <c r="C596"/>
  <c r="AX595"/>
  <c r="G595"/>
  <c r="D595"/>
  <c r="C595"/>
  <c r="AX594"/>
  <c r="G594"/>
  <c r="D594"/>
  <c r="C594"/>
  <c r="AX593"/>
  <c r="G593"/>
  <c r="D593"/>
  <c r="C593"/>
  <c r="AX592"/>
  <c r="G592"/>
  <c r="D592"/>
  <c r="C592"/>
  <c r="AX591"/>
  <c r="G591"/>
  <c r="D591"/>
  <c r="C591"/>
  <c r="AX590"/>
  <c r="G590"/>
  <c r="D590"/>
  <c r="C590"/>
  <c r="AX589"/>
  <c r="G589"/>
  <c r="D589"/>
  <c r="C589"/>
  <c r="AX588"/>
  <c r="G588"/>
  <c r="D588"/>
  <c r="C588"/>
  <c r="AX587"/>
  <c r="G587"/>
  <c r="D587"/>
  <c r="C587"/>
  <c r="AX586"/>
  <c r="G586"/>
  <c r="D586"/>
  <c r="C586"/>
  <c r="AX585"/>
  <c r="G585"/>
  <c r="D585"/>
  <c r="C585"/>
  <c r="AX584"/>
  <c r="G584"/>
  <c r="D584"/>
  <c r="C584"/>
  <c r="AX583"/>
  <c r="G583"/>
  <c r="D583"/>
  <c r="C583"/>
  <c r="AX582"/>
  <c r="G582"/>
  <c r="D582"/>
  <c r="C582"/>
  <c r="AX581"/>
  <c r="G581"/>
  <c r="D581"/>
  <c r="C581"/>
  <c r="AX580"/>
  <c r="G580"/>
  <c r="D580"/>
  <c r="C580"/>
  <c r="AX579"/>
  <c r="G579"/>
  <c r="D579"/>
  <c r="C579"/>
  <c r="AX578"/>
  <c r="G578"/>
  <c r="D578"/>
  <c r="C578"/>
  <c r="AX577"/>
  <c r="G577"/>
  <c r="D577"/>
  <c r="C577"/>
  <c r="AX576"/>
  <c r="G576"/>
  <c r="D576"/>
  <c r="C576"/>
  <c r="AX575"/>
  <c r="G575"/>
  <c r="D575"/>
  <c r="C575"/>
  <c r="AX574"/>
  <c r="G574"/>
  <c r="D574"/>
  <c r="C574"/>
  <c r="AX573"/>
  <c r="G573"/>
  <c r="D573"/>
  <c r="C573"/>
  <c r="AX572"/>
  <c r="G572"/>
  <c r="D572"/>
  <c r="C572"/>
  <c r="AX571"/>
  <c r="G571"/>
  <c r="D571"/>
  <c r="C571"/>
  <c r="AX570"/>
  <c r="G570"/>
  <c r="D570"/>
  <c r="C570"/>
  <c r="AX569"/>
  <c r="G569"/>
  <c r="D569"/>
  <c r="C569"/>
  <c r="AX568"/>
  <c r="G568"/>
  <c r="D568"/>
  <c r="C568"/>
  <c r="AX567"/>
  <c r="G567"/>
  <c r="D567"/>
  <c r="C567"/>
  <c r="AX566"/>
  <c r="G566"/>
  <c r="D566"/>
  <c r="C566"/>
  <c r="AX565"/>
  <c r="G565"/>
  <c r="D565"/>
  <c r="C565"/>
  <c r="AX564"/>
  <c r="G564"/>
  <c r="D564"/>
  <c r="C564"/>
  <c r="AX563"/>
  <c r="G563"/>
  <c r="D563"/>
  <c r="C563"/>
  <c r="AX562"/>
  <c r="G562"/>
  <c r="D562"/>
  <c r="C562"/>
  <c r="AX561"/>
  <c r="G561"/>
  <c r="D561"/>
  <c r="C561"/>
  <c r="AX560"/>
  <c r="G560"/>
  <c r="D560"/>
  <c r="C560"/>
  <c r="AX559"/>
  <c r="G559"/>
  <c r="D559"/>
  <c r="C559"/>
  <c r="AX558"/>
  <c r="G558"/>
  <c r="D558"/>
  <c r="C558"/>
  <c r="AX557"/>
  <c r="G557"/>
  <c r="D557"/>
  <c r="C557"/>
  <c r="AX556"/>
  <c r="G556"/>
  <c r="D556"/>
  <c r="C556"/>
  <c r="AX555"/>
  <c r="G555"/>
  <c r="D555"/>
  <c r="C555"/>
  <c r="AX554"/>
  <c r="G554"/>
  <c r="D554"/>
  <c r="C554"/>
  <c r="AX553"/>
  <c r="G553"/>
  <c r="D553"/>
  <c r="C553"/>
  <c r="AX552"/>
  <c r="G552"/>
  <c r="D552"/>
  <c r="C552"/>
  <c r="AX551"/>
  <c r="G551"/>
  <c r="D551"/>
  <c r="C551"/>
  <c r="AX550"/>
  <c r="G550"/>
  <c r="D550"/>
  <c r="C550"/>
  <c r="AX549"/>
  <c r="G549"/>
  <c r="D549"/>
  <c r="C549"/>
  <c r="AX548"/>
  <c r="G548"/>
  <c r="D548"/>
  <c r="C548"/>
  <c r="AX547"/>
  <c r="G547"/>
  <c r="D547"/>
  <c r="C547"/>
  <c r="AX546"/>
  <c r="G546"/>
  <c r="D546"/>
  <c r="C546"/>
  <c r="AX545"/>
  <c r="G545"/>
  <c r="D545"/>
  <c r="C545"/>
  <c r="AX544"/>
  <c r="G544"/>
  <c r="D544"/>
  <c r="C544"/>
  <c r="AX543"/>
  <c r="G543"/>
  <c r="D543"/>
  <c r="C543"/>
  <c r="AX542"/>
  <c r="G542"/>
  <c r="D542"/>
  <c r="C542"/>
  <c r="AX541"/>
  <c r="G541"/>
  <c r="D541"/>
  <c r="C541"/>
  <c r="AX540"/>
  <c r="G540"/>
  <c r="D540"/>
  <c r="C540"/>
  <c r="AX539"/>
  <c r="G539"/>
  <c r="D539"/>
  <c r="C539"/>
  <c r="AX538"/>
  <c r="G538"/>
  <c r="D538"/>
  <c r="C538"/>
  <c r="AX537"/>
  <c r="G537"/>
  <c r="D537"/>
  <c r="C537"/>
  <c r="AX536"/>
  <c r="G536"/>
  <c r="D536"/>
  <c r="C536"/>
  <c r="AX535"/>
  <c r="G535"/>
  <c r="D535"/>
  <c r="C535"/>
  <c r="AX534"/>
  <c r="G534"/>
  <c r="D534"/>
  <c r="C534"/>
  <c r="AX533"/>
  <c r="G533"/>
  <c r="D533"/>
  <c r="C533"/>
  <c r="AX532"/>
  <c r="G532"/>
  <c r="D532"/>
  <c r="C532"/>
  <c r="AX531"/>
  <c r="G531"/>
  <c r="D531"/>
  <c r="C531"/>
  <c r="AX530"/>
  <c r="G530"/>
  <c r="D530"/>
  <c r="C530"/>
  <c r="AX529"/>
  <c r="G529"/>
  <c r="D529"/>
  <c r="C529"/>
  <c r="AX528"/>
  <c r="G528"/>
  <c r="D528"/>
  <c r="C528"/>
  <c r="AX527"/>
  <c r="G527"/>
  <c r="D527"/>
  <c r="C527"/>
  <c r="AX526"/>
  <c r="G526"/>
  <c r="D526"/>
  <c r="C526"/>
  <c r="AX525"/>
  <c r="G525"/>
  <c r="D525"/>
  <c r="C525"/>
  <c r="AX524"/>
  <c r="G524"/>
  <c r="D524"/>
  <c r="C524"/>
  <c r="AX523"/>
  <c r="G523"/>
  <c r="D523"/>
  <c r="C523"/>
  <c r="AX522"/>
  <c r="G522"/>
  <c r="D522"/>
  <c r="C522"/>
  <c r="AX521"/>
  <c r="G521"/>
  <c r="D521"/>
  <c r="C521"/>
  <c r="AX520"/>
  <c r="G520"/>
  <c r="D520"/>
  <c r="C520"/>
  <c r="AX519"/>
  <c r="G519"/>
  <c r="D519"/>
  <c r="C519"/>
  <c r="AX518"/>
  <c r="G518"/>
  <c r="D518"/>
  <c r="C518"/>
  <c r="AX517"/>
  <c r="G517"/>
  <c r="D517"/>
  <c r="C517"/>
  <c r="AX516"/>
  <c r="G516"/>
  <c r="D516"/>
  <c r="C516"/>
  <c r="AX515"/>
  <c r="G515"/>
  <c r="D515"/>
  <c r="C515"/>
  <c r="AX514"/>
  <c r="G514"/>
  <c r="D514"/>
  <c r="C514"/>
  <c r="AX513"/>
  <c r="G513"/>
  <c r="D513"/>
  <c r="C513"/>
  <c r="AX512"/>
  <c r="G512"/>
  <c r="D512"/>
  <c r="C512"/>
  <c r="AX511"/>
  <c r="G511"/>
  <c r="D511"/>
  <c r="C511"/>
  <c r="AX510"/>
  <c r="G510"/>
  <c r="D510"/>
  <c r="C510"/>
  <c r="AX509"/>
  <c r="G509"/>
  <c r="D509"/>
  <c r="C509"/>
  <c r="AX508"/>
  <c r="G508"/>
  <c r="D508"/>
  <c r="C508"/>
  <c r="AX507"/>
  <c r="G507"/>
  <c r="D507"/>
  <c r="C507"/>
  <c r="AX506"/>
  <c r="G506"/>
  <c r="D506"/>
  <c r="C506"/>
  <c r="AX505"/>
  <c r="G505"/>
  <c r="D505"/>
  <c r="C505"/>
  <c r="AX504"/>
  <c r="G504"/>
  <c r="D504"/>
  <c r="C504"/>
  <c r="AX503"/>
  <c r="G503"/>
  <c r="D503"/>
  <c r="C503"/>
  <c r="AX502"/>
  <c r="G502"/>
  <c r="D502"/>
  <c r="C502"/>
  <c r="AX501"/>
  <c r="G501"/>
  <c r="D501"/>
  <c r="C501"/>
  <c r="AX500"/>
  <c r="G500"/>
  <c r="D500"/>
  <c r="C500"/>
  <c r="AX499"/>
  <c r="G499"/>
  <c r="D499"/>
  <c r="C499"/>
  <c r="AX498"/>
  <c r="G498"/>
  <c r="D498"/>
  <c r="C498"/>
  <c r="AX497"/>
  <c r="G497"/>
  <c r="D497"/>
  <c r="C497"/>
  <c r="AX496"/>
  <c r="G496"/>
  <c r="D496"/>
  <c r="C496"/>
  <c r="AX495"/>
  <c r="G495"/>
  <c r="D495"/>
  <c r="C495"/>
  <c r="AX494"/>
  <c r="G494"/>
  <c r="D494"/>
  <c r="C494"/>
  <c r="AX493"/>
  <c r="G493"/>
  <c r="D493"/>
  <c r="C493"/>
  <c r="AX492"/>
  <c r="G492"/>
  <c r="D492"/>
  <c r="C492"/>
  <c r="AX491"/>
  <c r="G491"/>
  <c r="D491"/>
  <c r="C491"/>
  <c r="AX490"/>
  <c r="G490"/>
  <c r="D490"/>
  <c r="C490"/>
  <c r="AX489"/>
  <c r="G489"/>
  <c r="D489"/>
  <c r="C489"/>
  <c r="AX488"/>
  <c r="G488"/>
  <c r="D488"/>
  <c r="C488"/>
  <c r="AX487"/>
  <c r="G487"/>
  <c r="D487"/>
  <c r="C487"/>
  <c r="AX486"/>
  <c r="G486"/>
  <c r="D486"/>
  <c r="C486"/>
  <c r="AX485"/>
  <c r="G485"/>
  <c r="D485"/>
  <c r="C485"/>
  <c r="AX484"/>
  <c r="G484"/>
  <c r="D484"/>
  <c r="C484"/>
  <c r="AX483"/>
  <c r="G483"/>
  <c r="D483"/>
  <c r="C483"/>
  <c r="AX482"/>
  <c r="G482"/>
  <c r="D482"/>
  <c r="C482"/>
  <c r="AX481"/>
  <c r="G481"/>
  <c r="D481"/>
  <c r="C481"/>
  <c r="AX480"/>
  <c r="G480"/>
  <c r="D480"/>
  <c r="C480"/>
  <c r="AX479"/>
  <c r="G479"/>
  <c r="D479"/>
  <c r="C479"/>
  <c r="AX478"/>
  <c r="G478"/>
  <c r="D478"/>
  <c r="C478"/>
  <c r="AX477"/>
  <c r="G477"/>
  <c r="D477"/>
  <c r="C477"/>
  <c r="AX476"/>
  <c r="G476"/>
  <c r="D476"/>
  <c r="C476"/>
  <c r="AX475"/>
  <c r="G475"/>
  <c r="D475"/>
  <c r="C475"/>
  <c r="AX474"/>
  <c r="G474"/>
  <c r="D474"/>
  <c r="C474"/>
  <c r="AX473"/>
  <c r="G473"/>
  <c r="D473"/>
  <c r="C473"/>
  <c r="AX472"/>
  <c r="G472"/>
  <c r="D472"/>
  <c r="C472"/>
  <c r="AX471"/>
  <c r="G471"/>
  <c r="D471"/>
  <c r="C471"/>
  <c r="AX470"/>
  <c r="G470"/>
  <c r="D470"/>
  <c r="C470"/>
  <c r="AX469"/>
  <c r="G469"/>
  <c r="D469"/>
  <c r="C469"/>
  <c r="AX468"/>
  <c r="G468"/>
  <c r="D468"/>
  <c r="C468"/>
  <c r="AX467"/>
  <c r="G467"/>
  <c r="D467"/>
  <c r="C467"/>
  <c r="AX466"/>
  <c r="G466"/>
  <c r="D466"/>
  <c r="C466"/>
  <c r="AX465"/>
  <c r="G465"/>
  <c r="D465"/>
  <c r="C465"/>
  <c r="AX464"/>
  <c r="G464"/>
  <c r="D464"/>
  <c r="C464"/>
  <c r="AX463"/>
  <c r="G463"/>
  <c r="D463"/>
  <c r="C463"/>
  <c r="AX462"/>
  <c r="G462"/>
  <c r="D462"/>
  <c r="C462"/>
  <c r="AX461"/>
  <c r="G461"/>
  <c r="D461"/>
  <c r="C461"/>
  <c r="AX460"/>
  <c r="G460"/>
  <c r="D460"/>
  <c r="C460"/>
  <c r="AX459"/>
  <c r="G459"/>
  <c r="D459"/>
  <c r="C459"/>
  <c r="AX458"/>
  <c r="G458"/>
  <c r="D458"/>
  <c r="C458"/>
  <c r="AX457"/>
  <c r="G457"/>
  <c r="D457"/>
  <c r="C457"/>
  <c r="AX456"/>
  <c r="G456"/>
  <c r="D456"/>
  <c r="C456"/>
  <c r="AX455"/>
  <c r="G455"/>
  <c r="D455"/>
  <c r="C455"/>
  <c r="AX454"/>
  <c r="G454"/>
  <c r="D454"/>
  <c r="C454"/>
  <c r="AX453"/>
  <c r="G453"/>
  <c r="D453"/>
  <c r="C453"/>
  <c r="AX452"/>
  <c r="G452"/>
  <c r="D452"/>
  <c r="C452"/>
  <c r="AX451"/>
  <c r="G451"/>
  <c r="D451"/>
  <c r="C451"/>
  <c r="AX450"/>
  <c r="G450"/>
  <c r="D450"/>
  <c r="C450"/>
  <c r="AX449"/>
  <c r="G449"/>
  <c r="D449"/>
  <c r="C449"/>
  <c r="AX448"/>
  <c r="G448"/>
  <c r="D448"/>
  <c r="C448"/>
  <c r="AX447"/>
  <c r="G447"/>
  <c r="D447"/>
  <c r="C447"/>
  <c r="AX446"/>
  <c r="G446"/>
  <c r="D446"/>
  <c r="C446"/>
  <c r="AX445"/>
  <c r="G445"/>
  <c r="D445"/>
  <c r="C445"/>
  <c r="AX444"/>
  <c r="G444"/>
  <c r="D444"/>
  <c r="C444"/>
  <c r="AX443"/>
  <c r="G443"/>
  <c r="D443"/>
  <c r="C443"/>
  <c r="AX442"/>
  <c r="G442"/>
  <c r="D442"/>
  <c r="C442"/>
  <c r="AX441"/>
  <c r="G441"/>
  <c r="D441"/>
  <c r="C441"/>
  <c r="AX440"/>
  <c r="G440"/>
  <c r="D440"/>
  <c r="C440"/>
  <c r="AX439"/>
  <c r="G439"/>
  <c r="D439"/>
  <c r="C439"/>
  <c r="AX438"/>
  <c r="G438"/>
  <c r="D438"/>
  <c r="C438"/>
  <c r="AX437"/>
  <c r="G437"/>
  <c r="D437"/>
  <c r="C437"/>
  <c r="AX436"/>
  <c r="G436"/>
  <c r="D436"/>
  <c r="C436"/>
  <c r="AX435"/>
  <c r="G435"/>
  <c r="D435"/>
  <c r="C435"/>
  <c r="AX434"/>
  <c r="G434"/>
  <c r="D434"/>
  <c r="C434"/>
  <c r="AX433"/>
  <c r="G433"/>
  <c r="D433"/>
  <c r="C433"/>
  <c r="AX432"/>
  <c r="G432"/>
  <c r="D432"/>
  <c r="C432"/>
  <c r="AX431"/>
  <c r="G431"/>
  <c r="D431"/>
  <c r="C431"/>
  <c r="AX430"/>
  <c r="G430"/>
  <c r="D430"/>
  <c r="C430"/>
  <c r="AX429"/>
  <c r="G429"/>
  <c r="D429"/>
  <c r="C429"/>
  <c r="AX428"/>
  <c r="G428"/>
  <c r="D428"/>
  <c r="C428"/>
  <c r="AX427"/>
  <c r="G427"/>
  <c r="D427"/>
  <c r="C427"/>
  <c r="AX426"/>
  <c r="G426"/>
  <c r="D426"/>
  <c r="C426"/>
  <c r="AX425"/>
  <c r="G425"/>
  <c r="D425"/>
  <c r="C425"/>
  <c r="AX424"/>
  <c r="G424"/>
  <c r="D424"/>
  <c r="C424"/>
  <c r="AX423"/>
  <c r="G423"/>
  <c r="D423"/>
  <c r="C423"/>
  <c r="AX422"/>
  <c r="G422"/>
  <c r="D422"/>
  <c r="C422"/>
  <c r="AX421"/>
  <c r="G421"/>
  <c r="D421"/>
  <c r="C421"/>
  <c r="AX420"/>
  <c r="G420"/>
  <c r="D420"/>
  <c r="C420"/>
  <c r="AX419"/>
  <c r="G419"/>
  <c r="D419"/>
  <c r="C419"/>
  <c r="AX418"/>
  <c r="G418"/>
  <c r="D418"/>
  <c r="C418"/>
  <c r="AX417"/>
  <c r="G417"/>
  <c r="D417"/>
  <c r="C417"/>
  <c r="AX416"/>
  <c r="G416"/>
  <c r="D416"/>
  <c r="C416"/>
  <c r="AX415"/>
  <c r="G415"/>
  <c r="D415"/>
  <c r="C415"/>
  <c r="AX414"/>
  <c r="G414"/>
  <c r="D414"/>
  <c r="C414"/>
  <c r="AX413"/>
  <c r="G413"/>
  <c r="D413"/>
  <c r="C413"/>
  <c r="AX412"/>
  <c r="G412"/>
  <c r="D412"/>
  <c r="C412"/>
  <c r="AX411"/>
  <c r="G411"/>
  <c r="D411"/>
  <c r="C411"/>
  <c r="AX410"/>
  <c r="G410"/>
  <c r="D410"/>
  <c r="C410"/>
  <c r="AX409"/>
  <c r="G409"/>
  <c r="D409"/>
  <c r="C409"/>
  <c r="AX408"/>
  <c r="G408"/>
  <c r="D408"/>
  <c r="C408"/>
  <c r="AX407"/>
  <c r="G407"/>
  <c r="D407"/>
  <c r="C407"/>
  <c r="AX406"/>
  <c r="G406"/>
  <c r="D406"/>
  <c r="C406"/>
  <c r="AX405"/>
  <c r="G405"/>
  <c r="D405"/>
  <c r="C405"/>
  <c r="AX404"/>
  <c r="G404"/>
  <c r="D404"/>
  <c r="C404"/>
  <c r="AX403"/>
  <c r="G403"/>
  <c r="D403"/>
  <c r="C403"/>
  <c r="AX402"/>
  <c r="G402"/>
  <c r="D402"/>
  <c r="C402"/>
  <c r="AX401"/>
  <c r="G401"/>
  <c r="D401"/>
  <c r="C401"/>
  <c r="AX400"/>
  <c r="G400"/>
  <c r="D400"/>
  <c r="C400"/>
  <c r="AX399"/>
  <c r="G399"/>
  <c r="D399"/>
  <c r="C399"/>
  <c r="AX398"/>
  <c r="G398"/>
  <c r="D398"/>
  <c r="C398"/>
  <c r="AX397"/>
  <c r="G397"/>
  <c r="D397"/>
  <c r="C397"/>
  <c r="AX396"/>
  <c r="G396"/>
  <c r="D396"/>
  <c r="C396"/>
  <c r="AX395"/>
  <c r="G395"/>
  <c r="D395"/>
  <c r="C395"/>
  <c r="AX394"/>
  <c r="G394"/>
  <c r="D394"/>
  <c r="C394"/>
  <c r="AX393"/>
  <c r="G393"/>
  <c r="D393"/>
  <c r="C393"/>
  <c r="AX392"/>
  <c r="G392"/>
  <c r="D392"/>
  <c r="C392"/>
  <c r="AX391"/>
  <c r="G391"/>
  <c r="D391"/>
  <c r="C391"/>
  <c r="AX390"/>
  <c r="G390"/>
  <c r="D390"/>
  <c r="C390"/>
  <c r="AX389"/>
  <c r="G389"/>
  <c r="D389"/>
  <c r="C389"/>
  <c r="AX388"/>
  <c r="G388"/>
  <c r="D388"/>
  <c r="C388"/>
  <c r="AX387"/>
  <c r="G387"/>
  <c r="D387"/>
  <c r="C387"/>
  <c r="AX386"/>
  <c r="G386"/>
  <c r="D386"/>
  <c r="C386"/>
  <c r="AX385"/>
  <c r="G385"/>
  <c r="D385"/>
  <c r="C385"/>
  <c r="AX384"/>
  <c r="G384"/>
  <c r="D384"/>
  <c r="C384"/>
  <c r="AX383"/>
  <c r="G383"/>
  <c r="D383"/>
  <c r="C383"/>
  <c r="AX382"/>
  <c r="G382"/>
  <c r="D382"/>
  <c r="C382"/>
  <c r="AX381"/>
  <c r="G381"/>
  <c r="D381"/>
  <c r="C381"/>
  <c r="AX380"/>
  <c r="G380"/>
  <c r="D380"/>
  <c r="C380"/>
  <c r="AX379"/>
  <c r="G379"/>
  <c r="D379"/>
  <c r="C379"/>
  <c r="AX378"/>
  <c r="G378"/>
  <c r="D378"/>
  <c r="C378"/>
  <c r="AX377"/>
  <c r="G377"/>
  <c r="D377"/>
  <c r="C377"/>
  <c r="AX376"/>
  <c r="G376"/>
  <c r="D376"/>
  <c r="C376"/>
  <c r="AX375"/>
  <c r="G375"/>
  <c r="D375"/>
  <c r="C375"/>
  <c r="AX374"/>
  <c r="G374"/>
  <c r="D374"/>
  <c r="C374"/>
  <c r="AX373"/>
  <c r="G373"/>
  <c r="D373"/>
  <c r="C373"/>
  <c r="AX372"/>
  <c r="G372"/>
  <c r="D372"/>
  <c r="C372"/>
  <c r="AX371"/>
  <c r="G371"/>
  <c r="D371"/>
  <c r="C371"/>
  <c r="AX370"/>
  <c r="G370"/>
  <c r="D370"/>
  <c r="C370"/>
  <c r="AX369"/>
  <c r="G369"/>
  <c r="D369"/>
  <c r="C369"/>
  <c r="AX368"/>
  <c r="G368"/>
  <c r="D368"/>
  <c r="C368"/>
  <c r="AX367"/>
  <c r="G367"/>
  <c r="D367"/>
  <c r="C367"/>
  <c r="AX366"/>
  <c r="G366"/>
  <c r="D366"/>
  <c r="C366"/>
  <c r="AX365"/>
  <c r="G365"/>
  <c r="D365"/>
  <c r="C365"/>
  <c r="AX364"/>
  <c r="G364"/>
  <c r="D364"/>
  <c r="C364"/>
  <c r="AX363"/>
  <c r="G363"/>
  <c r="D363"/>
  <c r="C363"/>
  <c r="AX362"/>
  <c r="G362"/>
  <c r="D362"/>
  <c r="C362"/>
  <c r="AX361"/>
  <c r="G361"/>
  <c r="D361"/>
  <c r="C361"/>
  <c r="AX360"/>
  <c r="G360"/>
  <c r="D360"/>
  <c r="C360"/>
  <c r="AX359"/>
  <c r="G359"/>
  <c r="D359"/>
  <c r="C359"/>
  <c r="AX358"/>
  <c r="G358"/>
  <c r="D358"/>
  <c r="C358"/>
  <c r="AX357"/>
  <c r="G357"/>
  <c r="D357"/>
  <c r="C357"/>
  <c r="AX356"/>
  <c r="G356"/>
  <c r="D356"/>
  <c r="C356"/>
  <c r="AX355"/>
  <c r="G355"/>
  <c r="D355"/>
  <c r="C355"/>
  <c r="AX354"/>
  <c r="G354"/>
  <c r="D354"/>
  <c r="C354"/>
  <c r="AX353"/>
  <c r="G353"/>
  <c r="D353"/>
  <c r="C353"/>
  <c r="AX352"/>
  <c r="G352"/>
  <c r="D352"/>
  <c r="C352"/>
  <c r="AX351"/>
  <c r="G351"/>
  <c r="D351"/>
  <c r="C351"/>
  <c r="AX350"/>
  <c r="G350"/>
  <c r="D350"/>
  <c r="C350"/>
  <c r="AX349"/>
  <c r="G349"/>
  <c r="D349"/>
  <c r="C349"/>
  <c r="AX348"/>
  <c r="G348"/>
  <c r="D348"/>
  <c r="C348"/>
  <c r="AX347"/>
  <c r="G347"/>
  <c r="D347"/>
  <c r="C347"/>
  <c r="AX346"/>
  <c r="G346"/>
  <c r="D346"/>
  <c r="C346"/>
  <c r="AX345"/>
  <c r="G345"/>
  <c r="D345"/>
  <c r="C345"/>
  <c r="AX344"/>
  <c r="G344"/>
  <c r="D344"/>
  <c r="C344"/>
  <c r="AX343"/>
  <c r="G343"/>
  <c r="D343"/>
  <c r="C343"/>
  <c r="AX342"/>
  <c r="G342"/>
  <c r="D342"/>
  <c r="C342"/>
  <c r="AX341"/>
  <c r="G341"/>
  <c r="D341"/>
  <c r="C341"/>
  <c r="AX340"/>
  <c r="G340"/>
  <c r="D340"/>
  <c r="C340"/>
  <c r="AX339"/>
  <c r="G339"/>
  <c r="D339"/>
  <c r="C339"/>
  <c r="AX338"/>
  <c r="G338"/>
  <c r="D338"/>
  <c r="C338"/>
  <c r="AX337"/>
  <c r="G337"/>
  <c r="D337"/>
  <c r="C337"/>
  <c r="AX336"/>
  <c r="G336"/>
  <c r="D336"/>
  <c r="C336"/>
  <c r="AX335"/>
  <c r="G335"/>
  <c r="D335"/>
  <c r="C335"/>
  <c r="AX334"/>
  <c r="G334"/>
  <c r="D334"/>
  <c r="C334"/>
  <c r="AX333"/>
  <c r="G333"/>
  <c r="D333"/>
  <c r="C333"/>
  <c r="AX332"/>
  <c r="G332"/>
  <c r="D332"/>
  <c r="C332"/>
  <c r="AX331"/>
  <c r="G331"/>
  <c r="D331"/>
  <c r="C331"/>
  <c r="AX330"/>
  <c r="G330"/>
  <c r="D330"/>
  <c r="C330"/>
  <c r="AX329"/>
  <c r="G329"/>
  <c r="D329"/>
  <c r="C329"/>
  <c r="AX328"/>
  <c r="G328"/>
  <c r="D328"/>
  <c r="C328"/>
  <c r="AX327"/>
  <c r="G327"/>
  <c r="D327"/>
  <c r="C327"/>
  <c r="AX326"/>
  <c r="G326"/>
  <c r="D326"/>
  <c r="C326"/>
  <c r="AX325"/>
  <c r="G325"/>
  <c r="D325"/>
  <c r="C325"/>
  <c r="AX324"/>
  <c r="G324"/>
  <c r="D324"/>
  <c r="C324"/>
  <c r="AX323"/>
  <c r="G323"/>
  <c r="D323"/>
  <c r="C323"/>
  <c r="AX322"/>
  <c r="G322"/>
  <c r="D322"/>
  <c r="C322"/>
  <c r="AX321"/>
  <c r="G321"/>
  <c r="D321"/>
  <c r="C321"/>
  <c r="AX320"/>
  <c r="G320"/>
  <c r="D320"/>
  <c r="C320"/>
  <c r="AX319"/>
  <c r="G319"/>
  <c r="D319"/>
  <c r="C319"/>
  <c r="AX318"/>
  <c r="G318"/>
  <c r="D318"/>
  <c r="C318"/>
  <c r="AX317"/>
  <c r="G317"/>
  <c r="D317"/>
  <c r="C317"/>
  <c r="AX316"/>
  <c r="G316"/>
  <c r="D316"/>
  <c r="C316"/>
  <c r="AX315"/>
  <c r="G315"/>
  <c r="D315"/>
  <c r="C315"/>
  <c r="AX314"/>
  <c r="G314"/>
  <c r="D314"/>
  <c r="C314"/>
  <c r="AX313"/>
  <c r="G313"/>
  <c r="D313"/>
  <c r="C313"/>
  <c r="AX312"/>
  <c r="G312"/>
  <c r="D312"/>
  <c r="C312"/>
  <c r="AX311"/>
  <c r="G311"/>
  <c r="D311"/>
  <c r="C311"/>
  <c r="AX310"/>
  <c r="G310"/>
  <c r="D310"/>
  <c r="C310"/>
  <c r="AX309"/>
  <c r="G309"/>
  <c r="D309"/>
  <c r="C309"/>
  <c r="AX308"/>
  <c r="G308"/>
  <c r="D308"/>
  <c r="C308"/>
  <c r="AX307"/>
  <c r="G307"/>
  <c r="D307"/>
  <c r="C307"/>
  <c r="AX306"/>
  <c r="G306"/>
  <c r="D306"/>
  <c r="C306"/>
  <c r="AX305"/>
  <c r="G305"/>
  <c r="D305"/>
  <c r="C305"/>
  <c r="AX304"/>
  <c r="G304"/>
  <c r="D304"/>
  <c r="C304"/>
  <c r="AX303"/>
  <c r="G303"/>
  <c r="D303"/>
  <c r="C303"/>
  <c r="AX302"/>
  <c r="G302"/>
  <c r="D302"/>
  <c r="C302"/>
  <c r="AX301"/>
  <c r="G301"/>
  <c r="D301"/>
  <c r="C301"/>
  <c r="AX300"/>
  <c r="G300"/>
  <c r="D300"/>
  <c r="C300"/>
  <c r="AX299"/>
  <c r="G299"/>
  <c r="D299"/>
  <c r="C299"/>
  <c r="AX298"/>
  <c r="G298"/>
  <c r="D298"/>
  <c r="C298"/>
  <c r="AX297"/>
  <c r="G297"/>
  <c r="D297"/>
  <c r="C297"/>
  <c r="AX296"/>
  <c r="G296"/>
  <c r="D296"/>
  <c r="C296"/>
  <c r="AX295"/>
  <c r="G295"/>
  <c r="D295"/>
  <c r="C295"/>
  <c r="AX294"/>
  <c r="G294"/>
  <c r="D294"/>
  <c r="C294"/>
  <c r="AX293"/>
  <c r="G293"/>
  <c r="D293"/>
  <c r="C293"/>
  <c r="AX292"/>
  <c r="G292"/>
  <c r="D292"/>
  <c r="C292"/>
  <c r="AX291"/>
  <c r="G291"/>
  <c r="D291"/>
  <c r="C291"/>
  <c r="AX290"/>
  <c r="G290"/>
  <c r="D290"/>
  <c r="C290"/>
  <c r="AX289"/>
  <c r="G289"/>
  <c r="D289"/>
  <c r="C289"/>
  <c r="AX288"/>
  <c r="G288"/>
  <c r="D288"/>
  <c r="C288"/>
  <c r="AX287"/>
  <c r="G287"/>
  <c r="D287"/>
  <c r="C287"/>
  <c r="AX286"/>
  <c r="G286"/>
  <c r="D286"/>
  <c r="C286"/>
  <c r="AX285"/>
  <c r="G285"/>
  <c r="D285"/>
  <c r="C285"/>
  <c r="AX284"/>
  <c r="G284"/>
  <c r="D284"/>
  <c r="C284"/>
  <c r="AX283"/>
  <c r="G283"/>
  <c r="D283"/>
  <c r="C283"/>
  <c r="AX282"/>
  <c r="G282"/>
  <c r="D282"/>
  <c r="C282"/>
  <c r="AX281"/>
  <c r="G281"/>
  <c r="D281"/>
  <c r="C281"/>
  <c r="AX280"/>
  <c r="G280"/>
  <c r="D280"/>
  <c r="C280"/>
  <c r="AX279"/>
  <c r="G279"/>
  <c r="D279"/>
  <c r="C279"/>
  <c r="AX278"/>
  <c r="G278"/>
  <c r="D278"/>
  <c r="C278"/>
  <c r="AX277"/>
  <c r="G277"/>
  <c r="D277"/>
  <c r="C277"/>
  <c r="AX276"/>
  <c r="G276"/>
  <c r="D276"/>
  <c r="C276"/>
  <c r="AX275"/>
  <c r="G275"/>
  <c r="D275"/>
  <c r="C275"/>
  <c r="AX274"/>
  <c r="G274"/>
  <c r="D274"/>
  <c r="C274"/>
  <c r="AX273"/>
  <c r="G273"/>
  <c r="D273"/>
  <c r="C273"/>
  <c r="AX272"/>
  <c r="G272"/>
  <c r="D272"/>
  <c r="C272"/>
  <c r="AX271"/>
  <c r="G271"/>
  <c r="D271"/>
  <c r="C271"/>
  <c r="AX270"/>
  <c r="G270"/>
  <c r="D270"/>
  <c r="C270"/>
  <c r="AX269"/>
  <c r="G269"/>
  <c r="D269"/>
  <c r="C269"/>
  <c r="AX268"/>
  <c r="G268"/>
  <c r="D268"/>
  <c r="C268"/>
  <c r="AX267"/>
  <c r="G267"/>
  <c r="D267"/>
  <c r="C267"/>
  <c r="AX266"/>
  <c r="G266"/>
  <c r="D266"/>
  <c r="C266"/>
  <c r="AX265"/>
  <c r="G265"/>
  <c r="D265"/>
  <c r="C265"/>
  <c r="AX264"/>
  <c r="G264"/>
  <c r="D264"/>
  <c r="C264"/>
  <c r="AX263"/>
  <c r="G263"/>
  <c r="D263"/>
  <c r="C263"/>
  <c r="AX262"/>
  <c r="G262"/>
  <c r="D262"/>
  <c r="C262"/>
  <c r="AX261"/>
  <c r="G261"/>
  <c r="D261"/>
  <c r="C261"/>
  <c r="AX260"/>
  <c r="G260"/>
  <c r="D260"/>
  <c r="C260"/>
  <c r="AX259"/>
  <c r="G259"/>
  <c r="D259"/>
  <c r="C259"/>
  <c r="AX258"/>
  <c r="G258"/>
  <c r="D258"/>
  <c r="C258"/>
  <c r="AX257"/>
  <c r="G257"/>
  <c r="D257"/>
  <c r="C257"/>
  <c r="AX256"/>
  <c r="G256"/>
  <c r="D256"/>
  <c r="C256"/>
  <c r="AX255"/>
  <c r="G255"/>
  <c r="D255"/>
  <c r="C255"/>
  <c r="AX254"/>
  <c r="G254"/>
  <c r="D254"/>
  <c r="C254"/>
  <c r="AX253"/>
  <c r="G253"/>
  <c r="D253"/>
  <c r="C253"/>
  <c r="AX252"/>
  <c r="G252"/>
  <c r="D252"/>
  <c r="C252"/>
  <c r="AX251"/>
  <c r="G251"/>
  <c r="D251"/>
  <c r="C251"/>
  <c r="AX250"/>
  <c r="G250"/>
  <c r="D250"/>
  <c r="C250"/>
  <c r="AX249"/>
  <c r="G249"/>
  <c r="D249"/>
  <c r="C249"/>
  <c r="AX248"/>
  <c r="G248"/>
  <c r="D248"/>
  <c r="C248"/>
  <c r="AX247"/>
  <c r="G247"/>
  <c r="D247"/>
  <c r="C247"/>
  <c r="AX246"/>
  <c r="G246"/>
  <c r="D246"/>
  <c r="C246"/>
  <c r="AX245"/>
  <c r="G245"/>
  <c r="D245"/>
  <c r="C245"/>
  <c r="AX244"/>
  <c r="G244"/>
  <c r="D244"/>
  <c r="C244"/>
  <c r="AX243"/>
  <c r="G243"/>
  <c r="D243"/>
  <c r="C243"/>
  <c r="AX242"/>
  <c r="G242"/>
  <c r="D242"/>
  <c r="C242"/>
  <c r="AX241"/>
  <c r="G241"/>
  <c r="D241"/>
  <c r="C241"/>
  <c r="AX240"/>
  <c r="G240"/>
  <c r="D240"/>
  <c r="C240"/>
  <c r="AX239"/>
  <c r="G239"/>
  <c r="D239"/>
  <c r="C239"/>
  <c r="AX238"/>
  <c r="G238"/>
  <c r="D238"/>
  <c r="C238"/>
  <c r="AX237"/>
  <c r="G237"/>
  <c r="D237"/>
  <c r="C237"/>
  <c r="AX236"/>
  <c r="G236"/>
  <c r="D236"/>
  <c r="C236"/>
  <c r="AX235"/>
  <c r="G235"/>
  <c r="D235"/>
  <c r="C235"/>
  <c r="AX234"/>
  <c r="G234"/>
  <c r="D234"/>
  <c r="C234"/>
  <c r="AX233"/>
  <c r="G233"/>
  <c r="D233"/>
  <c r="C233"/>
  <c r="AX232"/>
  <c r="G232"/>
  <c r="D232"/>
  <c r="C232"/>
  <c r="AX231"/>
  <c r="G231"/>
  <c r="D231"/>
  <c r="C231"/>
  <c r="AX230"/>
  <c r="G230"/>
  <c r="D230"/>
  <c r="C230"/>
  <c r="AX229"/>
  <c r="G229"/>
  <c r="D229"/>
  <c r="C229"/>
  <c r="AX228"/>
  <c r="G228"/>
  <c r="D228"/>
  <c r="C228"/>
  <c r="AX227"/>
  <c r="G227"/>
  <c r="D227"/>
  <c r="C227"/>
  <c r="AX226"/>
  <c r="G226"/>
  <c r="D226"/>
  <c r="C226"/>
  <c r="AX225"/>
  <c r="G225"/>
  <c r="D225"/>
  <c r="C225"/>
  <c r="AX224"/>
  <c r="G224"/>
  <c r="D224"/>
  <c r="C224"/>
  <c r="AX223"/>
  <c r="G223"/>
  <c r="D223"/>
  <c r="C223"/>
  <c r="AX222"/>
  <c r="G222"/>
  <c r="D222"/>
  <c r="C222"/>
  <c r="AX221"/>
  <c r="G221"/>
  <c r="D221"/>
  <c r="C221"/>
  <c r="AX220"/>
  <c r="G220"/>
  <c r="D220"/>
  <c r="C220"/>
  <c r="AX219"/>
  <c r="G219"/>
  <c r="D219"/>
  <c r="C219"/>
  <c r="AX218"/>
  <c r="G218"/>
  <c r="D218"/>
  <c r="C218"/>
  <c r="AX217"/>
  <c r="G217"/>
  <c r="D217"/>
  <c r="C217"/>
  <c r="AX216"/>
  <c r="G216"/>
  <c r="D216"/>
  <c r="C216"/>
  <c r="AX215"/>
  <c r="G215"/>
  <c r="D215"/>
  <c r="C215"/>
  <c r="AX214"/>
  <c r="G214"/>
  <c r="D214"/>
  <c r="C214"/>
  <c r="AX213"/>
  <c r="G213"/>
  <c r="D213"/>
  <c r="C213"/>
  <c r="AX212"/>
  <c r="G212"/>
  <c r="D212"/>
  <c r="C212"/>
  <c r="AX211"/>
  <c r="G211"/>
  <c r="D211"/>
  <c r="C211"/>
  <c r="AX210"/>
  <c r="G210"/>
  <c r="D210"/>
  <c r="C210"/>
  <c r="AX209"/>
  <c r="G209"/>
  <c r="D209"/>
  <c r="C209"/>
  <c r="AX208"/>
  <c r="G208"/>
  <c r="D208"/>
  <c r="C208"/>
  <c r="AX207"/>
  <c r="G207"/>
  <c r="D207"/>
  <c r="C207"/>
  <c r="AX206"/>
  <c r="G206"/>
  <c r="D206"/>
  <c r="C206"/>
  <c r="AX205"/>
  <c r="G205"/>
  <c r="D205"/>
  <c r="C205"/>
  <c r="AX204"/>
  <c r="G204"/>
  <c r="D204"/>
  <c r="C204"/>
  <c r="AX203"/>
  <c r="G203"/>
  <c r="D203"/>
  <c r="C203"/>
  <c r="AX202"/>
  <c r="G202"/>
  <c r="D202"/>
  <c r="C202"/>
  <c r="AX201"/>
  <c r="G201"/>
  <c r="D201"/>
  <c r="C201"/>
  <c r="AX200"/>
  <c r="G200"/>
  <c r="D200"/>
  <c r="C200"/>
  <c r="AX199"/>
  <c r="G199"/>
  <c r="D199"/>
  <c r="C199"/>
  <c r="AX198"/>
  <c r="G198"/>
  <c r="D198"/>
  <c r="C198"/>
  <c r="AX197"/>
  <c r="G197"/>
  <c r="D197"/>
  <c r="C197"/>
  <c r="AX196"/>
  <c r="G196"/>
  <c r="D196"/>
  <c r="C196"/>
  <c r="AX195"/>
  <c r="G195"/>
  <c r="D195"/>
  <c r="C195"/>
  <c r="AX194"/>
  <c r="G194"/>
  <c r="D194"/>
  <c r="C194"/>
  <c r="AX193"/>
  <c r="G193"/>
  <c r="D193"/>
  <c r="C193"/>
  <c r="AX192"/>
  <c r="G192"/>
  <c r="D192"/>
  <c r="C192"/>
  <c r="AX191"/>
  <c r="G191"/>
  <c r="D191"/>
  <c r="C191"/>
  <c r="AX190"/>
  <c r="G190"/>
  <c r="D190"/>
  <c r="C190"/>
  <c r="AX189"/>
  <c r="G189"/>
  <c r="D189"/>
  <c r="C189"/>
  <c r="AX188"/>
  <c r="G188"/>
  <c r="D188"/>
  <c r="C188"/>
  <c r="AX187"/>
  <c r="G187"/>
  <c r="D187"/>
  <c r="C187"/>
  <c r="AX186"/>
  <c r="G186"/>
  <c r="D186"/>
  <c r="C186"/>
  <c r="AX185"/>
  <c r="G185"/>
  <c r="D185"/>
  <c r="C185"/>
  <c r="AX184"/>
  <c r="G184"/>
  <c r="D184"/>
  <c r="C184"/>
  <c r="AX183"/>
  <c r="G183"/>
  <c r="D183"/>
  <c r="C183"/>
  <c r="AX182"/>
  <c r="G182"/>
  <c r="D182"/>
  <c r="C182"/>
  <c r="AX181"/>
  <c r="G181"/>
  <c r="D181"/>
  <c r="C181"/>
  <c r="AX180"/>
  <c r="G180"/>
  <c r="D180"/>
  <c r="C180"/>
  <c r="AX179"/>
  <c r="G179"/>
  <c r="D179"/>
  <c r="C179"/>
  <c r="AX178"/>
  <c r="G178"/>
  <c r="D178"/>
  <c r="C178"/>
  <c r="AX177"/>
  <c r="G177"/>
  <c r="D177"/>
  <c r="C177"/>
  <c r="AX176"/>
  <c r="G176"/>
  <c r="D176"/>
  <c r="C176"/>
  <c r="AX175"/>
  <c r="G175"/>
  <c r="D175"/>
  <c r="C175"/>
  <c r="AX174"/>
  <c r="G174"/>
  <c r="D174"/>
  <c r="C174"/>
  <c r="AX173"/>
  <c r="G173"/>
  <c r="D173"/>
  <c r="C173"/>
  <c r="AX172"/>
  <c r="G172"/>
  <c r="D172"/>
  <c r="C172"/>
  <c r="AX171"/>
  <c r="G171"/>
  <c r="D171"/>
  <c r="C171"/>
  <c r="AX170"/>
  <c r="G170"/>
  <c r="D170"/>
  <c r="C170"/>
  <c r="AX169"/>
  <c r="G169"/>
  <c r="D169"/>
  <c r="C169"/>
  <c r="AX168"/>
  <c r="G168"/>
  <c r="D168"/>
  <c r="C168"/>
  <c r="AX167"/>
  <c r="G167"/>
  <c r="D167"/>
  <c r="C167"/>
  <c r="AX166"/>
  <c r="G166"/>
  <c r="D166"/>
  <c r="C166"/>
  <c r="AX165"/>
  <c r="G165"/>
  <c r="D165"/>
  <c r="C165"/>
  <c r="AX164"/>
  <c r="G164"/>
  <c r="D164"/>
  <c r="C164"/>
  <c r="AX163"/>
  <c r="G163"/>
  <c r="D163"/>
  <c r="C163"/>
  <c r="AX162"/>
  <c r="G162"/>
  <c r="D162"/>
  <c r="C162"/>
  <c r="AX161"/>
  <c r="G161"/>
  <c r="D161"/>
  <c r="C161"/>
  <c r="AX160"/>
  <c r="G160"/>
  <c r="D160"/>
  <c r="C160"/>
  <c r="AX159"/>
  <c r="G159"/>
  <c r="D159"/>
  <c r="C159"/>
  <c r="AX158"/>
  <c r="G158"/>
  <c r="D158"/>
  <c r="C158"/>
  <c r="AX157"/>
  <c r="G157"/>
  <c r="D157"/>
  <c r="C157"/>
  <c r="AX156"/>
  <c r="G156"/>
  <c r="D156"/>
  <c r="C156"/>
  <c r="AX155"/>
  <c r="G155"/>
  <c r="D155"/>
  <c r="C155"/>
  <c r="AX154"/>
  <c r="G154"/>
  <c r="D154"/>
  <c r="C154"/>
  <c r="AX153"/>
  <c r="G153"/>
  <c r="D153"/>
  <c r="C153"/>
  <c r="AX152"/>
  <c r="G152"/>
  <c r="D152"/>
  <c r="C152"/>
  <c r="AX151"/>
  <c r="G151"/>
  <c r="D151"/>
  <c r="C151"/>
  <c r="AX150"/>
  <c r="G150"/>
  <c r="D150"/>
  <c r="C150"/>
  <c r="AX149"/>
  <c r="G149"/>
  <c r="D149"/>
  <c r="C149"/>
  <c r="AX148"/>
  <c r="G148"/>
  <c r="D148"/>
  <c r="C148"/>
  <c r="AX147"/>
  <c r="G147"/>
  <c r="D147"/>
  <c r="C147"/>
  <c r="AX146"/>
  <c r="G146"/>
  <c r="D146"/>
  <c r="C146"/>
  <c r="AX145"/>
  <c r="G145"/>
  <c r="D145"/>
  <c r="C145"/>
  <c r="AX144"/>
  <c r="G144"/>
  <c r="D144"/>
  <c r="C144"/>
  <c r="AX143"/>
  <c r="G143"/>
  <c r="D143"/>
  <c r="C143"/>
  <c r="AX142"/>
  <c r="G142"/>
  <c r="D142"/>
  <c r="C142"/>
  <c r="AX141"/>
  <c r="G141"/>
  <c r="D141"/>
  <c r="C141"/>
  <c r="AX140"/>
  <c r="G140"/>
  <c r="D140"/>
  <c r="C140"/>
  <c r="AX139"/>
  <c r="G139"/>
  <c r="D139"/>
  <c r="C139"/>
  <c r="AX138"/>
  <c r="G138"/>
  <c r="D138"/>
  <c r="C138"/>
  <c r="AX137"/>
  <c r="G137"/>
  <c r="D137"/>
  <c r="C137"/>
  <c r="AX136"/>
  <c r="G136"/>
  <c r="D136"/>
  <c r="C136"/>
  <c r="AX135"/>
  <c r="G135"/>
  <c r="D135"/>
  <c r="C135"/>
  <c r="AX134"/>
  <c r="G134"/>
  <c r="D134"/>
  <c r="C134"/>
  <c r="AX133"/>
  <c r="G133"/>
  <c r="D133"/>
  <c r="C133"/>
  <c r="AX132"/>
  <c r="G132"/>
  <c r="D132"/>
  <c r="C132"/>
  <c r="AX131"/>
  <c r="G131"/>
  <c r="D131"/>
  <c r="C131"/>
  <c r="AX130"/>
  <c r="G130"/>
  <c r="D130"/>
  <c r="C130"/>
  <c r="AX129"/>
  <c r="G129"/>
  <c r="D129"/>
  <c r="C129"/>
  <c r="AX128"/>
  <c r="G128"/>
  <c r="D128"/>
  <c r="C128"/>
  <c r="AX127"/>
  <c r="G127"/>
  <c r="D127"/>
  <c r="C127"/>
  <c r="AX126"/>
  <c r="G126"/>
  <c r="D126"/>
  <c r="C126"/>
  <c r="AX125"/>
  <c r="G125"/>
  <c r="D125"/>
  <c r="C125"/>
  <c r="AX124"/>
  <c r="G124"/>
  <c r="D124"/>
  <c r="C124"/>
  <c r="AX123"/>
  <c r="G123"/>
  <c r="D123"/>
  <c r="C123"/>
  <c r="AX122"/>
  <c r="G122"/>
  <c r="D122"/>
  <c r="C122"/>
  <c r="AX121"/>
  <c r="G121"/>
  <c r="D121"/>
  <c r="C121"/>
  <c r="AX120"/>
  <c r="G120"/>
  <c r="D120"/>
  <c r="C120"/>
  <c r="AX119"/>
  <c r="G119"/>
  <c r="D119"/>
  <c r="C119"/>
  <c r="AX118"/>
  <c r="G118"/>
  <c r="D118"/>
  <c r="C118"/>
  <c r="AX117"/>
  <c r="G117"/>
  <c r="D117"/>
  <c r="C117"/>
  <c r="AX116"/>
  <c r="G116"/>
  <c r="D116"/>
  <c r="C116"/>
  <c r="AX115"/>
  <c r="G115"/>
  <c r="D115"/>
  <c r="C115"/>
  <c r="AX114"/>
  <c r="G114"/>
  <c r="D114"/>
  <c r="C114"/>
  <c r="AX113"/>
  <c r="G113"/>
  <c r="D113"/>
  <c r="C113"/>
  <c r="AX112"/>
  <c r="G112"/>
  <c r="D112"/>
  <c r="C112"/>
  <c r="AX111"/>
  <c r="G111"/>
  <c r="D111"/>
  <c r="C111"/>
  <c r="AX110"/>
  <c r="G110"/>
  <c r="D110"/>
  <c r="C110"/>
  <c r="AX109"/>
  <c r="G109"/>
  <c r="D109"/>
  <c r="C109"/>
  <c r="AX108"/>
  <c r="G108"/>
  <c r="D108"/>
  <c r="C108"/>
  <c r="AX107"/>
  <c r="G107"/>
  <c r="D107"/>
  <c r="C107"/>
  <c r="AX106"/>
  <c r="G106"/>
  <c r="D106"/>
  <c r="C106"/>
  <c r="AX105"/>
  <c r="G105"/>
  <c r="D105"/>
  <c r="C105"/>
  <c r="AX104"/>
  <c r="G104"/>
  <c r="D104"/>
  <c r="C104"/>
  <c r="AX103"/>
  <c r="G103"/>
  <c r="D103"/>
  <c r="C103"/>
  <c r="AX102"/>
  <c r="G102"/>
  <c r="D102"/>
  <c r="C102"/>
  <c r="AX101"/>
  <c r="G101"/>
  <c r="D101"/>
  <c r="C101"/>
  <c r="AX100"/>
  <c r="G100"/>
  <c r="D100"/>
  <c r="C100"/>
  <c r="AX99"/>
  <c r="G99"/>
  <c r="D99"/>
  <c r="C99"/>
  <c r="AX98"/>
  <c r="G98"/>
  <c r="D98"/>
  <c r="C98"/>
  <c r="AX97"/>
  <c r="G97"/>
  <c r="D97"/>
  <c r="C97"/>
  <c r="AX96"/>
  <c r="G96"/>
  <c r="D96"/>
  <c r="C96"/>
  <c r="AX95"/>
  <c r="G95"/>
  <c r="D95"/>
  <c r="C95"/>
  <c r="AX94"/>
  <c r="G94"/>
  <c r="D94"/>
  <c r="C94"/>
  <c r="AX93"/>
  <c r="G93"/>
  <c r="D93"/>
  <c r="C93"/>
  <c r="AX92"/>
  <c r="G92"/>
  <c r="D92"/>
  <c r="C92"/>
  <c r="AX91"/>
  <c r="G91"/>
  <c r="D91"/>
  <c r="C91"/>
  <c r="AX90"/>
  <c r="G90"/>
  <c r="D90"/>
  <c r="C90"/>
  <c r="AX89"/>
  <c r="G89"/>
  <c r="D89"/>
  <c r="C89"/>
  <c r="AX88"/>
  <c r="G88"/>
  <c r="D88"/>
  <c r="C88"/>
  <c r="AX87"/>
  <c r="G87"/>
  <c r="D87"/>
  <c r="C87"/>
  <c r="AX86"/>
  <c r="G86"/>
  <c r="D86"/>
  <c r="C86"/>
  <c r="AX85"/>
  <c r="G85"/>
  <c r="D85"/>
  <c r="C85"/>
  <c r="AX84"/>
  <c r="G84"/>
  <c r="D84"/>
  <c r="C84"/>
  <c r="AX83"/>
  <c r="G83"/>
  <c r="D83"/>
  <c r="C83"/>
  <c r="AX82"/>
  <c r="G82"/>
  <c r="D82"/>
  <c r="C82"/>
  <c r="AX81"/>
  <c r="G81"/>
  <c r="D81"/>
  <c r="C81"/>
  <c r="AX80"/>
  <c r="G80"/>
  <c r="D80"/>
  <c r="C80"/>
  <c r="AX79"/>
  <c r="G79"/>
  <c r="D79"/>
  <c r="C79"/>
  <c r="AX78"/>
  <c r="G78"/>
  <c r="D78"/>
  <c r="C78"/>
  <c r="AX77"/>
  <c r="G77"/>
  <c r="D77"/>
  <c r="C77"/>
  <c r="AX76"/>
  <c r="G76"/>
  <c r="D76"/>
  <c r="C76"/>
  <c r="AX75"/>
  <c r="G75"/>
  <c r="D75"/>
  <c r="C75"/>
  <c r="AX74"/>
  <c r="G74"/>
  <c r="D74"/>
  <c r="C74"/>
  <c r="AX73"/>
  <c r="G73"/>
  <c r="D73"/>
  <c r="C73"/>
  <c r="AX72"/>
  <c r="G72"/>
  <c r="D72"/>
  <c r="C72"/>
  <c r="AX71"/>
  <c r="G71"/>
  <c r="D71"/>
  <c r="C71"/>
  <c r="AX70"/>
  <c r="G70"/>
  <c r="D70"/>
  <c r="C70"/>
  <c r="AX69"/>
  <c r="G69"/>
  <c r="D69"/>
  <c r="C69"/>
  <c r="AX68"/>
  <c r="G68"/>
  <c r="D68"/>
  <c r="C68"/>
  <c r="AX67"/>
  <c r="G67"/>
  <c r="D67"/>
  <c r="C67"/>
  <c r="AX66"/>
  <c r="G66"/>
  <c r="D66"/>
  <c r="C66"/>
  <c r="AX65"/>
  <c r="G65"/>
  <c r="D65"/>
  <c r="C65"/>
  <c r="AX64"/>
  <c r="G64"/>
  <c r="D64"/>
  <c r="C64"/>
  <c r="AX63"/>
  <c r="G63"/>
  <c r="D63"/>
  <c r="C63"/>
  <c r="AX62"/>
  <c r="G62"/>
  <c r="D62"/>
  <c r="C62"/>
  <c r="AX61"/>
  <c r="G61"/>
  <c r="D61"/>
  <c r="C61"/>
  <c r="AX60"/>
  <c r="G60"/>
  <c r="D60"/>
  <c r="C60"/>
  <c r="AX59"/>
  <c r="G59"/>
  <c r="D59"/>
  <c r="C59"/>
  <c r="AX58"/>
  <c r="G58"/>
  <c r="D58"/>
  <c r="C58"/>
  <c r="AX57"/>
  <c r="G57"/>
  <c r="D57"/>
  <c r="C57"/>
  <c r="AX56"/>
  <c r="G56"/>
  <c r="D56"/>
  <c r="C56"/>
  <c r="AX55"/>
  <c r="G55"/>
  <c r="D55"/>
  <c r="C55"/>
  <c r="AX54"/>
  <c r="G54"/>
  <c r="D54"/>
  <c r="C54"/>
  <c r="AX53"/>
  <c r="G53"/>
  <c r="D53"/>
  <c r="C53"/>
  <c r="AX52"/>
  <c r="G52"/>
  <c r="D52"/>
  <c r="C52"/>
  <c r="AX51"/>
  <c r="G51"/>
  <c r="D51"/>
  <c r="C51"/>
  <c r="AX50"/>
  <c r="G50"/>
  <c r="D50"/>
  <c r="C50"/>
  <c r="AX49"/>
  <c r="G49"/>
  <c r="D49"/>
  <c r="C49"/>
  <c r="AX48"/>
  <c r="G48"/>
  <c r="D48"/>
  <c r="C48"/>
  <c r="AX47"/>
  <c r="G47"/>
  <c r="D47"/>
  <c r="C47"/>
  <c r="AX46"/>
  <c r="G46"/>
  <c r="D46"/>
  <c r="C46"/>
  <c r="AX45"/>
  <c r="G45"/>
  <c r="D45"/>
  <c r="C45"/>
  <c r="AX44"/>
  <c r="G44"/>
  <c r="D44"/>
  <c r="C44"/>
  <c r="AX43"/>
  <c r="G43"/>
  <c r="D43"/>
  <c r="C43"/>
  <c r="AX42"/>
  <c r="G42"/>
  <c r="D42"/>
  <c r="C42"/>
  <c r="AX41"/>
  <c r="G41"/>
  <c r="D41"/>
  <c r="C41"/>
  <c r="AX40"/>
  <c r="G40"/>
  <c r="D40"/>
  <c r="C40"/>
  <c r="AX39"/>
  <c r="G39"/>
  <c r="D39"/>
  <c r="C39"/>
  <c r="AX38"/>
  <c r="G38"/>
  <c r="D38"/>
  <c r="C38"/>
  <c r="AX37"/>
  <c r="G37"/>
  <c r="D37"/>
  <c r="C37"/>
  <c r="AX36"/>
  <c r="G36"/>
  <c r="D36"/>
  <c r="C36"/>
  <c r="AX35"/>
  <c r="G35"/>
  <c r="D35"/>
  <c r="C35"/>
  <c r="AX34"/>
  <c r="G34"/>
  <c r="D34"/>
  <c r="C34"/>
  <c r="AX33"/>
  <c r="G33"/>
  <c r="D33"/>
  <c r="C33"/>
  <c r="AX32"/>
  <c r="G32"/>
  <c r="D32"/>
  <c r="C32"/>
  <c r="AX31"/>
  <c r="G31"/>
  <c r="D31"/>
  <c r="C31"/>
  <c r="AX30"/>
  <c r="G30"/>
  <c r="D30"/>
  <c r="C30"/>
  <c r="AX29"/>
  <c r="G29"/>
  <c r="D29"/>
  <c r="C29"/>
  <c r="AX28"/>
  <c r="G28"/>
  <c r="D28"/>
  <c r="C28"/>
  <c r="AX27"/>
  <c r="G27"/>
  <c r="D27"/>
  <c r="C27"/>
  <c r="AX26"/>
  <c r="G26"/>
  <c r="D26"/>
  <c r="C26"/>
  <c r="AX25"/>
  <c r="G25"/>
  <c r="D25"/>
  <c r="C25"/>
  <c r="AX24"/>
  <c r="G24"/>
  <c r="D24"/>
  <c r="C24"/>
  <c r="AX23"/>
  <c r="G23"/>
  <c r="D23"/>
  <c r="C23"/>
  <c r="AX22"/>
  <c r="G22"/>
  <c r="D22"/>
  <c r="C22"/>
  <c r="AX21"/>
  <c r="G21"/>
  <c r="D21"/>
  <c r="C21"/>
  <c r="AX20"/>
  <c r="G20"/>
  <c r="D20"/>
  <c r="C20"/>
  <c r="AX19"/>
  <c r="G19"/>
  <c r="D19"/>
  <c r="C19"/>
  <c r="AX18"/>
  <c r="G18"/>
  <c r="D18"/>
  <c r="C18"/>
  <c r="AX17"/>
  <c r="G17"/>
  <c r="D17"/>
  <c r="C17"/>
  <c r="AX16"/>
  <c r="G16"/>
  <c r="D16"/>
  <c r="C16"/>
  <c r="AX15"/>
  <c r="G15"/>
  <c r="D15"/>
  <c r="C15"/>
  <c r="AX14"/>
  <c r="G14"/>
  <c r="D14"/>
  <c r="C14"/>
  <c r="AX13"/>
  <c r="G13"/>
  <c r="D13"/>
  <c r="C13"/>
  <c r="AX12"/>
  <c r="G12"/>
  <c r="D12"/>
  <c r="C12"/>
  <c r="AX11"/>
  <c r="G11"/>
  <c r="D11"/>
  <c r="C11"/>
  <c r="AX10"/>
  <c r="G10"/>
  <c r="D10"/>
  <c r="C10"/>
  <c r="AX9"/>
  <c r="G9"/>
  <c r="D9"/>
  <c r="C9"/>
  <c r="AX8"/>
  <c r="G8"/>
  <c r="D8"/>
  <c r="C8"/>
  <c r="AX7"/>
  <c r="G7"/>
  <c r="D7"/>
  <c r="C7"/>
  <c r="AX6"/>
  <c r="G6"/>
  <c r="D6"/>
  <c r="C6"/>
  <c r="AX5"/>
  <c r="G5"/>
  <c r="D5"/>
  <c r="C5"/>
  <c r="AX4"/>
  <c r="G4"/>
  <c r="D4"/>
  <c r="C4"/>
  <c r="AX3"/>
  <c r="G3"/>
  <c r="D3"/>
  <c r="C3"/>
</calcChain>
</file>

<file path=xl/sharedStrings.xml><?xml version="1.0" encoding="utf-8"?>
<sst xmlns="http://schemas.openxmlformats.org/spreadsheetml/2006/main" count="23668" uniqueCount="551">
  <si>
    <t>Dettaglio Elaborazione</t>
  </si>
  <si>
    <t>Conto</t>
  </si>
  <si>
    <t>Ragione Sociale</t>
  </si>
  <si>
    <t>P IVA</t>
  </si>
  <si>
    <t>Cod Fisc</t>
  </si>
  <si>
    <t>Tipo Conto</t>
  </si>
  <si>
    <t>Anno Partita</t>
  </si>
  <si>
    <t>Numero Partita</t>
  </si>
  <si>
    <t>Data Emissione</t>
  </si>
  <si>
    <t>Registrazione</t>
  </si>
  <si>
    <t>Decorrenza</t>
  </si>
  <si>
    <t>Scadenza</t>
  </si>
  <si>
    <t>Pagato Trimestre</t>
  </si>
  <si>
    <t>Giorni Medi Trimestre</t>
  </si>
  <si>
    <t>Montante Trimestre</t>
  </si>
  <si>
    <t>Pagato Anno</t>
  </si>
  <si>
    <t>Giorni Medi Anno</t>
  </si>
  <si>
    <t>Montante Anno</t>
  </si>
  <si>
    <t>Saldo</t>
  </si>
  <si>
    <t>Desc Causale Sospensione</t>
  </si>
  <si>
    <t>Causale Sospensione</t>
  </si>
  <si>
    <t>Scadenza Post Sospensione</t>
  </si>
  <si>
    <t>Competenza Mese</t>
  </si>
  <si>
    <t>Registrato Mese</t>
  </si>
  <si>
    <t>Emesso Mese</t>
  </si>
  <si>
    <t>Competenza Anno</t>
  </si>
  <si>
    <t>Registrato Anno</t>
  </si>
  <si>
    <t>Emesso Anno</t>
  </si>
  <si>
    <t>Data Elaborazione</t>
  </si>
  <si>
    <t>Utente Elaborazione</t>
  </si>
  <si>
    <t>Nominativo Utente</t>
  </si>
  <si>
    <t>Scaduto nel mese</t>
  </si>
  <si>
    <t>Scaduto da 30</t>
  </si>
  <si>
    <t>Scaduto da 60</t>
  </si>
  <si>
    <t>Scaduto da 90</t>
  </si>
  <si>
    <t>Scaduto da 120</t>
  </si>
  <si>
    <t>Scaduto da 150</t>
  </si>
  <si>
    <t>Scaduto Oltre 180</t>
  </si>
  <si>
    <t>Totale Scaduto</t>
  </si>
  <si>
    <t>A scadere entro 30</t>
  </si>
  <si>
    <t>A scadere entro 60</t>
  </si>
  <si>
    <t>A scadere entro 90</t>
  </si>
  <si>
    <t>A scadere entro 120</t>
  </si>
  <si>
    <t>A scadere entro 150</t>
  </si>
  <si>
    <t>A scadere entro 180</t>
  </si>
  <si>
    <t>A scadere oltre 180</t>
  </si>
  <si>
    <t>Totale a scadere</t>
  </si>
  <si>
    <t>Data Pagamento Min</t>
  </si>
  <si>
    <t>Data Pagamento Max</t>
  </si>
  <si>
    <t>Classe Contabile</t>
  </si>
  <si>
    <t>CLASSI CLI FOR DESCRIZIONE</t>
  </si>
  <si>
    <t>ABBOTT S.R.L.</t>
  </si>
  <si>
    <t>Fornitori</t>
  </si>
  <si>
    <t>PETRELLA</t>
  </si>
  <si>
    <t>F</t>
  </si>
  <si>
    <t>43300101 - DEBITI V/FORNITORI</t>
  </si>
  <si>
    <t>RAYS  srl.</t>
  </si>
  <si>
    <t>ERREBIAN S.P.A.</t>
  </si>
  <si>
    <t>ALERE S.R.L. (EX INVERNESS MEDICAL ITALIA S.R.L.)</t>
  </si>
  <si>
    <t>FIDES S.P.A.</t>
  </si>
  <si>
    <t>ALCON ITALIA S.P.A.</t>
  </si>
  <si>
    <t>ARTSANA S.P.A.</t>
  </si>
  <si>
    <t>BAYER S.P.A.</t>
  </si>
  <si>
    <t>BRISTOL MYERS SQUIBB S.R.L.</t>
  </si>
  <si>
    <t>SIEMENS HEALTHCARE SRL(exSiemens Health.Diagnost.)</t>
  </si>
  <si>
    <t>GE HEALTHCARE SRL ( EX AMERSHAM HEALTH SRL) -</t>
  </si>
  <si>
    <t>BIOINDUSTRIA L.I.M. S.P.A.</t>
  </si>
  <si>
    <t>ORZELLECA PREMIAZIONI S.A.S.</t>
  </si>
  <si>
    <t>OXOID S.P.A.</t>
  </si>
  <si>
    <t>NEIKOS S.R.L.</t>
  </si>
  <si>
    <t>M.G.LORENZATTO S.R.L.</t>
  </si>
  <si>
    <t>CRAL OSPEDALIERO</t>
  </si>
  <si>
    <t>43500101 - DEBITI V/ALTRI</t>
  </si>
  <si>
    <t>AZIENDA SANITARIA LOCALE AVELLINO</t>
  </si>
  <si>
    <t>43201201 - DEBITI V/A.S.L. REGIONE</t>
  </si>
  <si>
    <t>MEDISOL S.R.L.</t>
  </si>
  <si>
    <t>UNIV. "FEDERICO II" -  DIP.  DI SCIENZE PREVENTIVE</t>
  </si>
  <si>
    <t>43500101 - DEBITI V/ALTRI ENTI PUBBLICI</t>
  </si>
  <si>
    <t>INPDAP PREST. NON CARTOLARIZ. SOVVENZ. CPS</t>
  </si>
  <si>
    <t>INPDAP PREST. NON CARTOLARIZ. SOVVENZ. CPDEL</t>
  </si>
  <si>
    <t>INPDAP PREST.NON CARTOLARIZ. PICC. PREST. CPDEL</t>
  </si>
  <si>
    <t>INPDAP PREST. NON CARTOLARIZ. PICC. PREST. CPS</t>
  </si>
  <si>
    <t>MINICOZZI ANTONIETTA</t>
  </si>
  <si>
    <t>STORZ MEDICAL ITALIA S.R.L.</t>
  </si>
  <si>
    <t>BELLCO S.r.L.</t>
  </si>
  <si>
    <t>BIO-RAD LABORATORIES S.R.L.</t>
  </si>
  <si>
    <t>BECTON DICKINSON ITALIA S.P.A.</t>
  </si>
  <si>
    <t>DYNAMED SNC</t>
  </si>
  <si>
    <t>JOHNSON &amp; JOHNSON MEDICAL S.P.A.</t>
  </si>
  <si>
    <t>MPM ITALIA SRL SOCIETA' UNIPERSONALE</t>
  </si>
  <si>
    <t>CAVALLARO S.R.L.</t>
  </si>
  <si>
    <t>CHIESI FARMACEUTICI S.P.A.</t>
  </si>
  <si>
    <t>PORTO  IMMACOLATA</t>
  </si>
  <si>
    <t>43500101 - DEBITI V/PROFESSIONISTI E LAV. AUTONOMI</t>
  </si>
  <si>
    <t>L'EUROPEA ORG.NAZ.S.R.L.</t>
  </si>
  <si>
    <t>GETINGE S.P.A.</t>
  </si>
  <si>
    <t>W.L. GORE &amp; ASSOCIATI S.R.L.</t>
  </si>
  <si>
    <t>SIAD HEALTHCARE SPA ( EX CO.ME.SA.)</t>
  </si>
  <si>
    <t>DATA PROCESSING S.P.A.</t>
  </si>
  <si>
    <t>ELI LILLY ITALIA S.P.A.</t>
  </si>
  <si>
    <t>EL.TO.  S.R.L.</t>
  </si>
  <si>
    <t>SMITHS MEDICAL ITALIA S.R.L.</t>
  </si>
  <si>
    <t>FARMAC-ZABBAN   S.P.A.</t>
  </si>
  <si>
    <t>2T S.R.L.</t>
  </si>
  <si>
    <t>F.I.R.M.A. S.P.A.</t>
  </si>
  <si>
    <t>GLAXO SMITH KLINE S.P.A.</t>
  </si>
  <si>
    <t>GI GROUP SPA ( EX WORKNET GENERALE INDUSTRIELLE)</t>
  </si>
  <si>
    <t>FUCCI  SILVIA</t>
  </si>
  <si>
    <t>VALEAS  S.P.A.</t>
  </si>
  <si>
    <t>ALMIRALL S.P.A.</t>
  </si>
  <si>
    <t>ITALFARMACO S.P.A</t>
  </si>
  <si>
    <t>BIOGEN ITALIA S.R.L.</t>
  </si>
  <si>
    <t>INTESTO S.R.L.</t>
  </si>
  <si>
    <t>SINTEA PLUSTEK S.R.L.</t>
  </si>
  <si>
    <t>FUJIREBIO ITALIA S.R.L.(EX INNOGENETICS S.R.L.)</t>
  </si>
  <si>
    <t>LA PULITECNICA S.R.L.</t>
  </si>
  <si>
    <t>LEICA MICROSYSTEMS S.R.L.</t>
  </si>
  <si>
    <t>CISATECH di C. SANTORO &amp; C. s.a.s.</t>
  </si>
  <si>
    <t>RUGGIERO  SEBASTIANO</t>
  </si>
  <si>
    <t>MOVI S.P.A. ATTREZZATURE BIOMEDICHE</t>
  </si>
  <si>
    <t>FAVERO HEALTH PROJECTS S.P.A.</t>
  </si>
  <si>
    <t>FRESENIUS KABI ITALIA S.R.L.</t>
  </si>
  <si>
    <t>NESTLE' ITALIANA S.P.A.</t>
  </si>
  <si>
    <t>GOGLIA  CONCETTA</t>
  </si>
  <si>
    <t>VERNIPOLL S.R.L.</t>
  </si>
  <si>
    <t>TEKMED INSTRUMENTS S.P.A.</t>
  </si>
  <si>
    <t>PFIZER ITALIA S.r.l.</t>
  </si>
  <si>
    <t>BEMAR S.R.L.</t>
  </si>
  <si>
    <t>PHILIPS S.P.A.(EX PHILIPS MEDICAL SYSTEMS S.P.A.)</t>
  </si>
  <si>
    <t>ROCHE S.P.A.</t>
  </si>
  <si>
    <t>POLIFARMA BENESSERE S.R.L.</t>
  </si>
  <si>
    <t>SIDERSAN  S.P.A.</t>
  </si>
  <si>
    <t>VASSALLO  ASSUNTA</t>
  </si>
  <si>
    <t>GIANGREGORIO ARCHITETTI ASSOCIATI</t>
  </si>
  <si>
    <t>A.MENARINI DIAGNOSTICS S.R.L.</t>
  </si>
  <si>
    <t>SALVADORI LUIGI  S.P.A.</t>
  </si>
  <si>
    <t>COMPETIELLO  STEFANIA</t>
  </si>
  <si>
    <t>CAP.ITAL.FIN. SPA</t>
  </si>
  <si>
    <t>3M ITALIA S.R.L.</t>
  </si>
  <si>
    <t>TOSHIBA MEDICAL SYSTEMS S.R.L.</t>
  </si>
  <si>
    <t>MEDEM S.R.L.</t>
  </si>
  <si>
    <t>GENKO ITALIA S.P.A.</t>
  </si>
  <si>
    <t>LECCIA  NICOLA IVAN</t>
  </si>
  <si>
    <t>RUBINO  MARIA</t>
  </si>
  <si>
    <t>CARL ZEISS S.P.A.</t>
  </si>
  <si>
    <t>STEFANUCCI GIUSEPPE</t>
  </si>
  <si>
    <t>BRACCO IMAGING ITALIA SRL</t>
  </si>
  <si>
    <t>IGM S.R.L. NAPOLI</t>
  </si>
  <si>
    <t>COFELY ITALIA S.P.A. ( EX COFATHEC SERVIZI SPA )</t>
  </si>
  <si>
    <t>CARESTREAM HEALTH ITALIA SRL (RAMO KODAK)</t>
  </si>
  <si>
    <t>DEL GAIS  STEFANIA</t>
  </si>
  <si>
    <t>C.I.D. SOFTWARE STUDIO S.P.A.</t>
  </si>
  <si>
    <t>GLORIA MED PHARMA S.R.L.</t>
  </si>
  <si>
    <t>FARMADATI ITALIA SRL</t>
  </si>
  <si>
    <t>GRIMALDI  VINCENZO</t>
  </si>
  <si>
    <t>TECSUD S.R.L.</t>
  </si>
  <si>
    <t>SANITARIA ORTOPEDIA DI CARDONE PIA.</t>
  </si>
  <si>
    <t>ITALWARE S.R.L.</t>
  </si>
  <si>
    <t>STAMPA SUD S.R.L.</t>
  </si>
  <si>
    <t>IBISQUS S.R.L.</t>
  </si>
  <si>
    <t>BAXTER  S.P.A.</t>
  </si>
  <si>
    <t>RUMMO S.C.ar.l.</t>
  </si>
  <si>
    <t>ARTI GRAFICHE 2000  SAS</t>
  </si>
  <si>
    <t>CATALANO  GIANPAOLO</t>
  </si>
  <si>
    <t>DEMA HOSPITAL S.R.L.</t>
  </si>
  <si>
    <t>MICROMED S.P.A.</t>
  </si>
  <si>
    <t>EUROFARM  S.P.A.</t>
  </si>
  <si>
    <t>SVAS BIOSANA S.P.A.</t>
  </si>
  <si>
    <t>TECHNOGENETICS SRL</t>
  </si>
  <si>
    <t>UNICREDIT BANCA SPA</t>
  </si>
  <si>
    <t>AC.TA.. SRL</t>
  </si>
  <si>
    <t>HOLOGIC ITALIA S.R.L. (EX CYTYC ITALIA S.R.L.)</t>
  </si>
  <si>
    <t>AIESI HOSPITAL SERVICE S.A.S.</t>
  </si>
  <si>
    <t>FORMIGLI  DARIO</t>
  </si>
  <si>
    <t>DE GIULIO   FRANCESCO</t>
  </si>
  <si>
    <t>PELELLA  SERGIO SALVATORE</t>
  </si>
  <si>
    <t>BIM ITALIA S.R.L.</t>
  </si>
  <si>
    <t>AELLE SURGERY S.R.L.</t>
  </si>
  <si>
    <t>SIRI S.P.A.</t>
  </si>
  <si>
    <t>F.LLI AQUINO S.R.L.</t>
  </si>
  <si>
    <t>INSIEL MERCATO SPA (EX INSIMARK S.R.L.INCORPORATA)</t>
  </si>
  <si>
    <t>G.I.F.A. DI FIORE SABATINO &amp; C. s.a.s</t>
  </si>
  <si>
    <t>ORREI  RICCARDO</t>
  </si>
  <si>
    <t>SMITH AND NEPHEW S.R.L.</t>
  </si>
  <si>
    <t>TELEPASS S.P.A.</t>
  </si>
  <si>
    <t>MAZZEO ALBERTO</t>
  </si>
  <si>
    <t>NUOVA FARMEC S.R.L.</t>
  </si>
  <si>
    <t>ASREM - ZONA DI CAMPOBASSO</t>
  </si>
  <si>
    <t>ZIMMER S.R.L.</t>
  </si>
  <si>
    <t>NACATUR INTERNATIONAL IMPORT EXPORT S.R.L.</t>
  </si>
  <si>
    <t>COMITEC S.R.L.</t>
  </si>
  <si>
    <t>GRAVINA A. &amp; A. S.R.L.</t>
  </si>
  <si>
    <t>IMED S.R.L.</t>
  </si>
  <si>
    <t>INTER FARMACI ITALIA S.R.L.</t>
  </si>
  <si>
    <t>VYGON ITALIA S.R.L. - GRUPPO VYGON</t>
  </si>
  <si>
    <t>GUERRI MARIO SAS</t>
  </si>
  <si>
    <t>PROTEX ITALIA S.P.A.</t>
  </si>
  <si>
    <t>LABORATORIO FARMACOLOGICO MILANESE</t>
  </si>
  <si>
    <t>MEDTRONIC ITALIA S.P.A.</t>
  </si>
  <si>
    <t>S.A.L.F. S.P.A.  LABORATORIO FARMACOLOGI</t>
  </si>
  <si>
    <t>BIO MERIEUX ITALIA S.P.A.</t>
  </si>
  <si>
    <t>ELETTRONICA BIO MEDICALE S.R.L.</t>
  </si>
  <si>
    <t>SISTEMI IPERBARICI S.R.L. - GRUPPO SAPIO</t>
  </si>
  <si>
    <t>BOVINO  SONIA</t>
  </si>
  <si>
    <t>DRAEGER MEDICAL  ITALIA S.P.A.</t>
  </si>
  <si>
    <t>ESAOTE S.P.A.</t>
  </si>
  <si>
    <t>M.END.EL. S.R.L.</t>
  </si>
  <si>
    <t>MAGLIO  MARIA ANTONIETTA</t>
  </si>
  <si>
    <t>OLYMPUS ITALIA S.R.L.</t>
  </si>
  <si>
    <t>RILLO  MICHELE</t>
  </si>
  <si>
    <t>NEO -SURGICAL S.R.L.DEL DOTT. BIAGIO MEROLA &amp; C.</t>
  </si>
  <si>
    <t>MORIELLO  CARMEN</t>
  </si>
  <si>
    <t>FELIAN S.P.A.</t>
  </si>
  <si>
    <t>FUMI  MAURIZIO</t>
  </si>
  <si>
    <t>CIDICHEM S.R.L.</t>
  </si>
  <si>
    <t>COLOPLAST S.P.A.</t>
  </si>
  <si>
    <t>MEDI.COM.S.R.L.</t>
  </si>
  <si>
    <t>LIBERTI  DARIO</t>
  </si>
  <si>
    <t>POPA  CRISTINA MARIA</t>
  </si>
  <si>
    <t>ALFAMED S.R.L.</t>
  </si>
  <si>
    <t>IN.FORMA.TI. KA. S.R.L.</t>
  </si>
  <si>
    <t>SEPE  ALESSIO</t>
  </si>
  <si>
    <t>COGNETTI  CARMELINA</t>
  </si>
  <si>
    <t>MOSCATO  BEATRICE</t>
  </si>
  <si>
    <t>DE NIGRO GAETANO FERRAMENTA</t>
  </si>
  <si>
    <t>EUROCLONE S.P.A.</t>
  </si>
  <si>
    <t>PERKIN ELMER ITALIA S.P.A.</t>
  </si>
  <si>
    <t>GEMEAZ ELIOR S.P.A. ( EX GEMEAZ CUSIN S.P.A )</t>
  </si>
  <si>
    <t>FUTURA HOSPITAL SAS DI CARANDENTE  CIRO</t>
  </si>
  <si>
    <t>ASSOCIATION ROBERT DEBRE POUR LA RECHERCHE</t>
  </si>
  <si>
    <t>CAPOBIANCO  STEFANO</t>
  </si>
  <si>
    <t>X - GAMMAGUARD DI LAURA PINI</t>
  </si>
  <si>
    <t>DE NICOLA NAZZARENO</t>
  </si>
  <si>
    <t>MONICO  S.P.A.</t>
  </si>
  <si>
    <t>PIRO  ALESSANDRA</t>
  </si>
  <si>
    <t>ENEL ENERGIA SPA</t>
  </si>
  <si>
    <t>RUSSO  ANTONIO</t>
  </si>
  <si>
    <t>ERBE ITALIA S.R.L.</t>
  </si>
  <si>
    <t>TRAVAGLINO  ANGELA</t>
  </si>
  <si>
    <t>TELECOM ITALIA DIGITAL SOLUTIONS SPA (EXPATH.NET)</t>
  </si>
  <si>
    <t>SELC MEDICAL TECHNOLOGY SRL</t>
  </si>
  <si>
    <t>OTSUKA PHARMACEUTICAL ITALY S.R.L.</t>
  </si>
  <si>
    <t>GREEN NETWORK LUCE &amp; GAS S.R.L.UNIPER.(EX MODULA)</t>
  </si>
  <si>
    <t>MPM BOOKSHOP DI MATTIOLI MARIO PATRIZIO</t>
  </si>
  <si>
    <t>MERIDIAN  BIOSCIENCE EUROPE S.R.L.</t>
  </si>
  <si>
    <t>AGENZIA ENTRATE - DIREZ.PROVIN. DI BENEVENTO</t>
  </si>
  <si>
    <t>ALBERICO  MARIELISA</t>
  </si>
  <si>
    <t>LANDINO  GIROLAMO</t>
  </si>
  <si>
    <t>D'AURIA DANILO AGENTE GENERALE UNIPOL ASSICURAZ.</t>
  </si>
  <si>
    <t>USB Pubblico Impiego</t>
  </si>
  <si>
    <t>QUAGLIA  FILOMENA</t>
  </si>
  <si>
    <t>COSMOPOL S.R.L.</t>
  </si>
  <si>
    <t>B@NCA 24-7 S.P.A.</t>
  </si>
  <si>
    <t>ALLOGA ( ITALIA) SRL</t>
  </si>
  <si>
    <t>GADA ITALIA S.R.L. (EX GAMMA INTERNATIONAL)</t>
  </si>
  <si>
    <t>PICARIELLO  ADOLFO</t>
  </si>
  <si>
    <t>NOVA INFORMATION TECHNOLOGY Scrl</t>
  </si>
  <si>
    <t>FRANCO  DORIS</t>
  </si>
  <si>
    <t>GAMBRO HOSPAL S.R.L.(INCORPORATA IN BAXTER)</t>
  </si>
  <si>
    <t>COMECER S.P.A.</t>
  </si>
  <si>
    <t>EQUITALIA SUD SPA - AGENTE RISCOS. PROV. BENEVENTO</t>
  </si>
  <si>
    <t>PANTEC S.R.L.</t>
  </si>
  <si>
    <t>STUDIO LEGALE ASSOC. GIALLONARDI- PAPA &amp; PARTNERS</t>
  </si>
  <si>
    <t>TEMA RICERCA S.R.L.</t>
  </si>
  <si>
    <t>BANCA SISTEMA S.P.A.</t>
  </si>
  <si>
    <t>KCI MEDICAL S.R.L.</t>
  </si>
  <si>
    <t>L'ARTE DEL TRASLOCO S.R.L.</t>
  </si>
  <si>
    <t>BEAVER-VISITEC INTERNATIONAL SALES LTD (FILIT)</t>
  </si>
  <si>
    <t>AZIENDA SANITARIA LOCALE BT</t>
  </si>
  <si>
    <t>43201231 - DEBITI V/A.S.L. E A.O. FUORI REGIONE</t>
  </si>
  <si>
    <t>DEL GIUDICE  GINEVRA</t>
  </si>
  <si>
    <t>PERROTTA  RAFFAELE</t>
  </si>
  <si>
    <t>PROCACCINI  VINCENZA</t>
  </si>
  <si>
    <t>ID SOLUTIONS SRL</t>
  </si>
  <si>
    <t>F.A.D. S.R.L.</t>
  </si>
  <si>
    <t>MEDINAT S.R.L.</t>
  </si>
  <si>
    <t>FERMED S.R.L.</t>
  </si>
  <si>
    <t>CARFORA  ANGELO</t>
  </si>
  <si>
    <t>STUDIO LEGALE DI SALVO - MASCIA</t>
  </si>
  <si>
    <t>EUROCOLUMBUS S.R.L.</t>
  </si>
  <si>
    <t>LA TELEFONICA S.R.L.</t>
  </si>
  <si>
    <t>VIVAI BARRETTA S.R.L.</t>
  </si>
  <si>
    <t>IMPRESA FUCCI EDIL RESTAURI S.R.L.</t>
  </si>
  <si>
    <t>CARTOLIBRERIA SMILE di ZOTTI ERASMO</t>
  </si>
  <si>
    <t>B.R.S.CAPPUCCIO S.R.L.</t>
  </si>
  <si>
    <t>ALEX OFFICE &amp; BUSINESS DI CARMINE AVERSANO</t>
  </si>
  <si>
    <t>DS&amp;A PNEUMATICI S.A.S.</t>
  </si>
  <si>
    <t>TECNOPOST S.P.A.</t>
  </si>
  <si>
    <t>AGFA GEVAERT S.P.A.</t>
  </si>
  <si>
    <t>RICCIARDI &amp; C. SRL UNIPERSONALE</t>
  </si>
  <si>
    <t>TONER ITALIA S.R.L.</t>
  </si>
  <si>
    <t>MEDICAL SYSTEMS S.P.A.</t>
  </si>
  <si>
    <t>ENGINEERING INGEGNERIA INFORMATICA S.P.A.</t>
  </si>
  <si>
    <t>INES S.R.L.</t>
  </si>
  <si>
    <t>MOSCARINO S.A.S.</t>
  </si>
  <si>
    <t>BIOTECNICA S.R.L.</t>
  </si>
  <si>
    <t>SO.E.M. MEDICAL S.R.L.</t>
  </si>
  <si>
    <t>LINDE MEDICALE S.R.L.</t>
  </si>
  <si>
    <t>TECNOSP S.R.L.</t>
  </si>
  <si>
    <t>VITALIA S.R.L.</t>
  </si>
  <si>
    <t>EXPERTMED S.R.L.</t>
  </si>
  <si>
    <t>NUTRICIA  ITALIA S.P.A.</t>
  </si>
  <si>
    <t>NOEMALIFE S.P.A.(EX ITALNOEMA)</t>
  </si>
  <si>
    <t>MEDINOVA STRUMENTI ELETTROMED. S.R.L.</t>
  </si>
  <si>
    <t>AUTOSTRADE PER L' ITALIA S.P.A.</t>
  </si>
  <si>
    <t>C.A.M. HOSPITAL SRL</t>
  </si>
  <si>
    <t>CODISAN S.P.A.</t>
  </si>
  <si>
    <t>DASIT S.P.A.</t>
  </si>
  <si>
    <t>ASS. PROF. STUDIO LEGALE UMBERTO DEL BASSO DE CARO</t>
  </si>
  <si>
    <t>NEXTIRAONE ITALIA S.R.L.</t>
  </si>
  <si>
    <t>GE.SE.SA.S.P.A.</t>
  </si>
  <si>
    <t>GILEAD SCIENCES SRL</t>
  </si>
  <si>
    <t>HOLLISTER S.P.A</t>
  </si>
  <si>
    <t>DATI ASCENSORI S.r.l.</t>
  </si>
  <si>
    <t>VENTRE  ITALA</t>
  </si>
  <si>
    <t>A.G.A. BIOMEDICA S.R.L.</t>
  </si>
  <si>
    <t>3 M.C. S.P.A.</t>
  </si>
  <si>
    <t>ENI S.P.A. DIVISIONE GAS ( NAPOLETANAGAS)</t>
  </si>
  <si>
    <t>SCOGNAMIGLIO S.R.L.</t>
  </si>
  <si>
    <t>FRESENIUS MEDICAL CARE ITALIA   S.P.A.</t>
  </si>
  <si>
    <t>FATER S.P.A.</t>
  </si>
  <si>
    <t>AZ HOSPITAL S.R.L.</t>
  </si>
  <si>
    <t>B.BRAUN AVITUM ITALY S.P.A.</t>
  </si>
  <si>
    <t>BIO OPTICA S.P.A.             STRUMENTI</t>
  </si>
  <si>
    <t>INNOVAMEDICA SPA</t>
  </si>
  <si>
    <t>LAVECO S.R.L.</t>
  </si>
  <si>
    <t>TELECOM ITALIA S.P.A.</t>
  </si>
  <si>
    <t>B.C.TRADE  S.R.L.</t>
  </si>
  <si>
    <t>SANOFI S.P.A.</t>
  </si>
  <si>
    <t>A.S.L. BN</t>
  </si>
  <si>
    <t>NUCLEAR LASER MEDICINE S.R.L.</t>
  </si>
  <si>
    <t>LP ITALIANA S.P.A.</t>
  </si>
  <si>
    <t>SERVIER ITALIA S.P.A.</t>
  </si>
  <si>
    <t>TIM - TELECOM ITALIA S.P.A.</t>
  </si>
  <si>
    <t>NOVARTIS FARMA S.P.A.</t>
  </si>
  <si>
    <t>THERABEL GIENNE PHARMA S.P.A.</t>
  </si>
  <si>
    <t>LA.RA. MEDICA</t>
  </si>
  <si>
    <t>KALTEK S.R.L.</t>
  </si>
  <si>
    <t>GINEVRI S.R.L.</t>
  </si>
  <si>
    <t>HAEMONETICS ITALIA S.R.L.</t>
  </si>
  <si>
    <t>NOVIELLO INTERMED S.R.L.</t>
  </si>
  <si>
    <t>EB NEURO S.P.A.</t>
  </si>
  <si>
    <t>BENEFIS S.R.L.</t>
  </si>
  <si>
    <t>CAREFUSION ITALY 237 S.R.L.UNIPERSONALE</t>
  </si>
  <si>
    <t>TEGEA S.R.L.</t>
  </si>
  <si>
    <t>ESTOR S.P.A.</t>
  </si>
  <si>
    <t>COVIDIEN (INCORPORATA DA MEDTRONIC ITALIA S.P.A.)</t>
  </si>
  <si>
    <t>EUROHOSPITEK S.R.L.</t>
  </si>
  <si>
    <t>AZIENDA OSPEDALIERA "S.G. MOSCATI" (AV)</t>
  </si>
  <si>
    <t>43201211 - DEBITI V/A.O. REGIONE</t>
  </si>
  <si>
    <t>AS.T.C.C.&amp; C. S.N.C.  COSIMO CIOTTA</t>
  </si>
  <si>
    <t>MEDIVAL - MEDICA VALEGGIA S.P.A.-</t>
  </si>
  <si>
    <t>AZIENDA SANIT LOC NA 1 CENTRO</t>
  </si>
  <si>
    <t>GESAN S.R.L.</t>
  </si>
  <si>
    <t>B.BRAUN MILANO S.P.A.</t>
  </si>
  <si>
    <t>ISTITUTO FARMACO BIOLOGICO STRODER S.R.L.</t>
  </si>
  <si>
    <t>FLORMED COMMERCIALE S.R.L.</t>
  </si>
  <si>
    <t>ELEKTA S.P.A.</t>
  </si>
  <si>
    <t>TELEFLEX MEDICAL S.R.L.  (EX RUSCH S.R.L.)</t>
  </si>
  <si>
    <t>DIASORIN S.P.A.</t>
  </si>
  <si>
    <t>STRYKER ITALIA S.R.L.</t>
  </si>
  <si>
    <t>ROCHE DIAGNOSTICS S.P.A.</t>
  </si>
  <si>
    <t>T.M. MEDICAL DI M. D. CAPUTO</t>
  </si>
  <si>
    <t>AZIENDA OSPEDALIERA "A.CARDARELLI"</t>
  </si>
  <si>
    <t>COOK ITALIA S.R.L.</t>
  </si>
  <si>
    <t>AHSI S.P.A.</t>
  </si>
  <si>
    <t>MAGGIOLI S.P.A.</t>
  </si>
  <si>
    <t>CSL BEHRING S.P.A. EX ZLB BEHRING SPA</t>
  </si>
  <si>
    <t>TEVA ITALIA S.R.L.</t>
  </si>
  <si>
    <t>VACCHIANO  GIUSEPPE</t>
  </si>
  <si>
    <t>BOSTON SCIENTIFIC S.P.A.</t>
  </si>
  <si>
    <t>BRUNO FARMACEUTICI S.P.A.</t>
  </si>
  <si>
    <t>EPPENDORF S.R.L.</t>
  </si>
  <si>
    <t>MEDICAL SERVICE S.R.L.FORNITURE OSPEDALIERE</t>
  </si>
  <si>
    <t>MERCK  S.P.A.</t>
  </si>
  <si>
    <t>GUERBET S. p. A.</t>
  </si>
  <si>
    <t>ASTELLAS PHARMA S.P.A. (EX YAMANOUCHI)</t>
  </si>
  <si>
    <t>MOLNLYCKE HEALTH CARE SRL</t>
  </si>
  <si>
    <t>NIPRO EUROPE N.V. MILAN BRANCH</t>
  </si>
  <si>
    <t>TEOFARMA S.R.L.</t>
  </si>
  <si>
    <t>FIAB S.P.A.</t>
  </si>
  <si>
    <t>GE MEDICAL SYSTEMS ITALIA S.P.A.</t>
  </si>
  <si>
    <t>CHIRURMEDICA SRL</t>
  </si>
  <si>
    <t>TECHNOLOGIC S.R.L.</t>
  </si>
  <si>
    <t>VODAFONE ITALIA S.P.A.</t>
  </si>
  <si>
    <t>GAMBAROTA  MICHELE</t>
  </si>
  <si>
    <t>SETTEMBRINI  ALDO</t>
  </si>
  <si>
    <t>PROMEDICAL SRL</t>
  </si>
  <si>
    <t>DEXTER S.R.L.</t>
  </si>
  <si>
    <t>VWR INTERNATIONAL PBI S.R.L.</t>
  </si>
  <si>
    <t>ACTELION PHARMACEUTICALS ITALIA S.R.L.</t>
  </si>
  <si>
    <t>BETATEX S.P.A.</t>
  </si>
  <si>
    <t>SEROM MEDICAL TECHNOLOGY S.R.L.</t>
  </si>
  <si>
    <t>PACIFICO S.R.L. -  LAVANDERIA INDUSTRIALE</t>
  </si>
  <si>
    <t>SPS S.R.L.</t>
  </si>
  <si>
    <t>ASSIDEA &amp; DELTA S.R.L..</t>
  </si>
  <si>
    <t>ADVANCED SURGICAL PRODUCTS DI VASTARELLI GAETANO</t>
  </si>
  <si>
    <t>BIORES SRL</t>
  </si>
  <si>
    <t>ELLEGI MEDICAL OPTICS S.R.L.</t>
  </si>
  <si>
    <t>AZIENDA SANITARIA LOCALE CE</t>
  </si>
  <si>
    <t>KW APPARECCHI SCIENTIFICI S.R.L.</t>
  </si>
  <si>
    <t>BIOPSYBELL SRL</t>
  </si>
  <si>
    <t>GEPINFORMATICA S.R.L.</t>
  </si>
  <si>
    <t>OLIVETTI S.P.A.</t>
  </si>
  <si>
    <t>DE LUCIA  DANILA</t>
  </si>
  <si>
    <t>ALIFAX S.R.L.</t>
  </si>
  <si>
    <t>D.I.D. SPA</t>
  </si>
  <si>
    <t>BARD S.R.L.</t>
  </si>
  <si>
    <t>BIOLIFE ITALIANA SRL</t>
  </si>
  <si>
    <t>MICROTECH S.R.L.</t>
  </si>
  <si>
    <t>MAQUET ITALIA S.P.A.</t>
  </si>
  <si>
    <t>BANCA FARMAFACTORING S.P.A.</t>
  </si>
  <si>
    <t>MELLIN S.P.A.</t>
  </si>
  <si>
    <t>HEXACATH ITALIA S.R.L.</t>
  </si>
  <si>
    <t>RIGA DOMENICO S.A.S.</t>
  </si>
  <si>
    <t>CARROZZERIA MINICOZZI S.R.L.</t>
  </si>
  <si>
    <t>AZIENDA SANITARIA LOCALE SA</t>
  </si>
  <si>
    <t>PITAGORA S.PA.</t>
  </si>
  <si>
    <t>CODIFI SRL</t>
  </si>
  <si>
    <t>DE PAOLA  VINCENZO</t>
  </si>
  <si>
    <t>SITRADE ITALIA S.P.A.</t>
  </si>
  <si>
    <t>MUSICA  ANNA</t>
  </si>
  <si>
    <t>MOLLO  CONCETTA</t>
  </si>
  <si>
    <t>ZURIGO  ANTONELLA</t>
  </si>
  <si>
    <t>DI MARO MADDALENA</t>
  </si>
  <si>
    <t>C &amp; T GLOBAL SERVICE SRL</t>
  </si>
  <si>
    <t>H.S. HOSPITAL SERVICE SPA</t>
  </si>
  <si>
    <t>MARZULLO  ERMENEGILDA</t>
  </si>
  <si>
    <t>DELLA VITTORIA SCARPATI  VINCENZO</t>
  </si>
  <si>
    <t>MERCEDES-BENZ FINANCIAL SERVICES ITALIA S.P.A.</t>
  </si>
  <si>
    <t>MADDALONI  GIUSEPPE</t>
  </si>
  <si>
    <t>OREFICE  MADDALENA</t>
  </si>
  <si>
    <t>SALE  SILVIA</t>
  </si>
  <si>
    <t>PANCIONE  YLENIA</t>
  </si>
  <si>
    <t>FS MEDICAL DI FABIO STAMMELLUTI</t>
  </si>
  <si>
    <t>PENGUE ANNAMARIA</t>
  </si>
  <si>
    <t>ACCEDO S.P.A.</t>
  </si>
  <si>
    <t>GIUDICE  GIORGIO</t>
  </si>
  <si>
    <t>UNIV. " FEDERICO II" - DIP. DI SANITA' PUBBLICA</t>
  </si>
  <si>
    <t>FELEPPA  ROSITA</t>
  </si>
  <si>
    <t>TIRINO  GIUSEPPINA</t>
  </si>
  <si>
    <t>PHARMA MAR S.R.L.</t>
  </si>
  <si>
    <t>ACQUAVIVA  FABIO</t>
  </si>
  <si>
    <t>NEWGO MEDICAL SRL</t>
  </si>
  <si>
    <t>INTERMUNE SRL ORA ROCHE S.P.A.</t>
  </si>
  <si>
    <t>TIMOTEO  GIANLUCA</t>
  </si>
  <si>
    <t>ABATE  PIERA</t>
  </si>
  <si>
    <t>CONS. NAZ. GRUPPI DONATORI SANGUE FRATES- CAMPANIA</t>
  </si>
  <si>
    <t>CARLO ERBA REAGENTS S.R.L.</t>
  </si>
  <si>
    <t>TRUMPF MED ITALIA s.r.l.</t>
  </si>
  <si>
    <t>SIFI MEDTECH S.R.L.</t>
  </si>
  <si>
    <t>GENERALI ITALIA - AG. GEN INA ASSITALIA NAPOLI SUD</t>
  </si>
  <si>
    <t>INTERMED S.R.L. ATTREZ. E STRUMENTI MEDICALI</t>
  </si>
  <si>
    <t>JUSTITALY S.R.L. C.R.</t>
  </si>
  <si>
    <t>MARSELLA  MARIA</t>
  </si>
  <si>
    <t>FERRUCCI  ANTONIETTA</t>
  </si>
  <si>
    <t>IANNELLI  GIUSEPPE</t>
  </si>
  <si>
    <t>INSTRUMENTATION LABORATORY SPA</t>
  </si>
  <si>
    <t>A.D.I. AVVOCATURA DI DIRITTO INFERMIERISTICO</t>
  </si>
  <si>
    <t>NARDONE NELLA</t>
  </si>
  <si>
    <t>FONDO PENSIONE PERSEO</t>
  </si>
  <si>
    <t>IANNICELLI  MARCO</t>
  </si>
  <si>
    <t>SO.GE.SER. TECNOLOGY S.R.L.</t>
  </si>
  <si>
    <t>PACILLO  MICHELA</t>
  </si>
  <si>
    <t>SALIERNO  FLORIANA</t>
  </si>
  <si>
    <t>DETER GROUP DI SANDRO ZAMPARELLI</t>
  </si>
  <si>
    <t>APPLIED MEDICAL DISTRIB. EUROPE BV- FIL.ITALIANA</t>
  </si>
  <si>
    <t>TESOR.DI ROMA SUCC.LE MIN.AMB.SISTRI DM 17.1.2009</t>
  </si>
  <si>
    <t>ITALTRADE S.R.L.</t>
  </si>
  <si>
    <t>CAPONE  ASSUNTA</t>
  </si>
  <si>
    <t>VENDITTO  MARIA</t>
  </si>
  <si>
    <t>CROCCO  PIETRO</t>
  </si>
  <si>
    <t>RADICELLA  DIANA</t>
  </si>
  <si>
    <t>CROCE ROSSA ITALIANA COMIT.PROV.BENEVENTO(PRIVATA)</t>
  </si>
  <si>
    <t>STENTYS S.A.</t>
  </si>
  <si>
    <t>ORTHO-CLINICAL DIAGNOSTICS ITALY S.R.L.</t>
  </si>
  <si>
    <t>MAZZA  MARIANO</t>
  </si>
  <si>
    <t>FINDOMESTIC BANCA S.P.A.</t>
  </si>
  <si>
    <t>DEVYSER ITALIA S.R.L.</t>
  </si>
  <si>
    <t>LUCINI SURGICAL CONCEPT SRL</t>
  </si>
  <si>
    <t>BMC TEC SRL UNIPERSONALE</t>
  </si>
  <si>
    <t>AB MEDICA S.P.A.</t>
  </si>
  <si>
    <t>CESARE MAURI S.A.S.</t>
  </si>
  <si>
    <t>DIPARTIMENTO ASCOTI</t>
  </si>
  <si>
    <t>FKV S.R.L.</t>
  </si>
  <si>
    <t>BGP PRODUCTS S.R.L.</t>
  </si>
  <si>
    <t>BIOTECNICA S.R.L.S.</t>
  </si>
  <si>
    <t>FEDERICO  PIERA</t>
  </si>
  <si>
    <t>RIVOIRA PHARMA S.R.L.</t>
  </si>
  <si>
    <t>AMS S.R.L.</t>
  </si>
  <si>
    <t>FER SUD DI PASQUARELLA CLAUDIO</t>
  </si>
  <si>
    <t>STEWART ITALIA S.R.L.</t>
  </si>
  <si>
    <t>NUVASIVE ITALIA S.R.L.</t>
  </si>
  <si>
    <t>VIVENDA S.R.L.</t>
  </si>
  <si>
    <t>GUARRA  ENRICO</t>
  </si>
  <si>
    <t>CHIRURMEDICA INDUSTRIALE E COMMERCIALE S.R.L.</t>
  </si>
  <si>
    <t>CLINIGEN HEALTHCARE LTD</t>
  </si>
  <si>
    <t>DIRPUBBLICA - FEDERAZIONE DEL PUBBLICO IMPIEGO</t>
  </si>
  <si>
    <t>ANAC - AUTORITA' NAZIONALE ANTICORRUZIONE</t>
  </si>
  <si>
    <t>SEBAMED SRL</t>
  </si>
  <si>
    <t>BIOSIGMA S.R.L.</t>
  </si>
  <si>
    <t>COSAP - Consorzio Stabile Appalti Pubblici</t>
  </si>
  <si>
    <t>TECNOS S.A.S. DI PERINI GIANNI</t>
  </si>
  <si>
    <t>ITALCONSULENZE S.R.L.</t>
  </si>
  <si>
    <t>FINCONTINUO S.P.A.</t>
  </si>
  <si>
    <t>OFTAGEN SURGICAL S.R.L.</t>
  </si>
  <si>
    <t>EBIT S.R.L.</t>
  </si>
  <si>
    <t>PD TONER SRL</t>
  </si>
  <si>
    <t>DI COSTANZO  LUISA</t>
  </si>
  <si>
    <t>STUDIO LEGALE PIZZILLO</t>
  </si>
  <si>
    <t>TIMPONE  LAURA</t>
  </si>
  <si>
    <t>PETRUCCI  ROSANNA</t>
  </si>
  <si>
    <t>LONGO RITA</t>
  </si>
  <si>
    <t>DE GUGLIELMO  CARMEN</t>
  </si>
  <si>
    <t>MARASCHIELLO  SEBASTIANO</t>
  </si>
  <si>
    <t>TROIANO  MARIO</t>
  </si>
  <si>
    <t>SUERO  TERESA</t>
  </si>
  <si>
    <t>GI. MED S.R.L.</t>
  </si>
  <si>
    <t>MANLIO  ILARIA</t>
  </si>
  <si>
    <t>MULTIQUADRI S.R.L.</t>
  </si>
  <si>
    <t>TRUSIO  ANTONIO</t>
  </si>
  <si>
    <t>GEST.IN. S.P.A.</t>
  </si>
  <si>
    <t>FRATTOLILLO GIUSEPPE</t>
  </si>
  <si>
    <t>DINERS CLUB ITALIA S.R.L.</t>
  </si>
  <si>
    <t>PEGLIA CARLETTA</t>
  </si>
  <si>
    <t>MAINOLFI ANGELA</t>
  </si>
  <si>
    <t>VILLANI  MARIO</t>
  </si>
  <si>
    <t>PARILLO PIERFRANCO</t>
  </si>
  <si>
    <t>VALENTINA TARANTINO</t>
  </si>
  <si>
    <t>STUDIO LEGALE PALUMBO</t>
  </si>
  <si>
    <t>CORRADINO POMPEO</t>
  </si>
  <si>
    <t>ALFIERI S.P.A.</t>
  </si>
  <si>
    <t>GADAMED S.R.L.</t>
  </si>
  <si>
    <t>GAUDIELLO  MARIA GRAZIA</t>
  </si>
  <si>
    <t>METALLI AMBIENTE S.R.L.</t>
  </si>
  <si>
    <t>GARANTE PER LA PROTEZIONE DEI DATI PERSONALI</t>
  </si>
  <si>
    <t>POSTE ITALIANE SPA - SERVIZIO CHECK-UP</t>
  </si>
  <si>
    <t>ASP - AZIENDA SANITARIA PROVINCIALE DI RAGUSA</t>
  </si>
  <si>
    <t>OSPEDALE CANNIZZARO - A.O. PER L'EMERGENZA</t>
  </si>
  <si>
    <t>AZIENDA OSPEDALIERA DI COSENZA</t>
  </si>
  <si>
    <t>MAZZA  FABIO</t>
  </si>
  <si>
    <t>LO PICCOLO ROSALIA</t>
  </si>
  <si>
    <t>MOSCATO VITTORIO</t>
  </si>
  <si>
    <t>CECERE ANGELOTOBIA</t>
  </si>
  <si>
    <t>AM TRUST EUROPE LIMITED</t>
  </si>
  <si>
    <t>TOTALE</t>
  </si>
  <si>
    <t>INDICATORE DI</t>
  </si>
  <si>
    <t>TEMPESTIVITA'</t>
  </si>
  <si>
    <t>DEI PAGAMENTI</t>
  </si>
  <si>
    <t>II TRIMESTRE</t>
  </si>
  <si>
    <t>GG.</t>
  </si>
</sst>
</file>

<file path=xl/styles.xml><?xml version="1.0" encoding="utf-8"?>
<styleSheet xmlns="http://schemas.openxmlformats.org/spreadsheetml/2006/main">
  <numFmts count="1">
    <numFmt numFmtId="164" formatCode="dd/mm/yyyy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3940"/>
  <sheetViews>
    <sheetView tabSelected="1" topLeftCell="A3926" zoomScaleNormal="100" workbookViewId="0">
      <selection activeCell="N3940" sqref="N3940"/>
    </sheetView>
  </sheetViews>
  <sheetFormatPr defaultRowHeight="14.4"/>
  <cols>
    <col min="1" max="1" width="8.77734375"/>
    <col min="2" max="2" width="0" hidden="1"/>
    <col min="3" max="3" width="8.77734375"/>
    <col min="4" max="4" width="0" hidden="1"/>
    <col min="5" max="6" width="8.77734375"/>
    <col min="7" max="7" width="16.33203125"/>
    <col min="8" max="8" width="15.109375"/>
    <col min="9" max="9" width="14.6640625"/>
    <col min="10" max="10" width="15.44140625"/>
    <col min="11" max="11" width="12"/>
    <col min="12" max="12" width="14.33203125" style="1"/>
    <col min="13" max="13" width="8.77734375"/>
    <col min="14" max="14" width="17.6640625" style="1"/>
    <col min="15" max="17" width="0" hidden="1"/>
    <col min="18" max="18" width="8.77734375"/>
    <col min="19" max="27" width="0" hidden="1"/>
    <col min="28" max="28" width="11.109375"/>
    <col min="29" max="46" width="0" hidden="1"/>
    <col min="47" max="47" width="10.88671875"/>
    <col min="48" max="48" width="12.5546875"/>
    <col min="49" max="50" width="0" hidden="1"/>
    <col min="51" max="1025" width="8.77734375"/>
  </cols>
  <sheetData>
    <row r="1" spans="1:51">
      <c r="A1" t="s">
        <v>0</v>
      </c>
      <c r="L1"/>
      <c r="N1"/>
    </row>
    <row r="2" spans="1:5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" t="s">
        <v>12</v>
      </c>
      <c r="M2" s="2" t="s">
        <v>13</v>
      </c>
      <c r="N2" s="1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5</v>
      </c>
      <c r="AX2" s="2" t="s">
        <v>49</v>
      </c>
      <c r="AY2" s="2" t="s">
        <v>50</v>
      </c>
    </row>
    <row r="3" spans="1:51" hidden="1">
      <c r="A3">
        <v>100001</v>
      </c>
      <c r="B3" t="s">
        <v>51</v>
      </c>
      <c r="C3" t="str">
        <f t="shared" ref="C3:D19" si="0">"00076670595"</f>
        <v>00076670595</v>
      </c>
      <c r="D3" t="str">
        <f t="shared" si="0"/>
        <v>00076670595</v>
      </c>
      <c r="E3" t="s">
        <v>52</v>
      </c>
      <c r="F3">
        <v>2015</v>
      </c>
      <c r="G3" t="str">
        <f>"                4592"</f>
        <v xml:space="preserve">                4592</v>
      </c>
      <c r="H3" s="3">
        <v>42052</v>
      </c>
      <c r="I3" s="3">
        <v>42067</v>
      </c>
      <c r="J3" s="3">
        <v>42067</v>
      </c>
      <c r="K3" s="3">
        <v>42127</v>
      </c>
      <c r="L3"/>
      <c r="N3"/>
      <c r="O3" s="4">
        <v>3150</v>
      </c>
      <c r="P3">
        <v>277</v>
      </c>
      <c r="Q3" s="4">
        <v>872550</v>
      </c>
      <c r="R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 s="3">
        <v>42562</v>
      </c>
      <c r="AC3" t="s">
        <v>53</v>
      </c>
      <c r="AD3" t="s">
        <v>53</v>
      </c>
      <c r="AK3">
        <v>0</v>
      </c>
      <c r="AU3" s="3">
        <v>42404</v>
      </c>
      <c r="AV3" s="3">
        <v>42404</v>
      </c>
      <c r="AW3" t="s">
        <v>54</v>
      </c>
      <c r="AX3" t="str">
        <f t="shared" ref="AX3:AX34" si="1">"FOR"</f>
        <v>FOR</v>
      </c>
      <c r="AY3" t="s">
        <v>55</v>
      </c>
    </row>
    <row r="4" spans="1:51" hidden="1">
      <c r="A4">
        <v>100001</v>
      </c>
      <c r="B4" t="s">
        <v>51</v>
      </c>
      <c r="C4" t="str">
        <f t="shared" si="0"/>
        <v>00076670595</v>
      </c>
      <c r="D4" t="str">
        <f t="shared" si="0"/>
        <v>00076670595</v>
      </c>
      <c r="E4" t="s">
        <v>52</v>
      </c>
      <c r="F4">
        <v>2015</v>
      </c>
      <c r="G4" t="str">
        <f>"                6258"</f>
        <v xml:space="preserve">                6258</v>
      </c>
      <c r="H4" s="3">
        <v>42062</v>
      </c>
      <c r="I4" s="3">
        <v>42087</v>
      </c>
      <c r="J4" s="3">
        <v>42087</v>
      </c>
      <c r="K4" s="3">
        <v>42147</v>
      </c>
      <c r="L4"/>
      <c r="N4"/>
      <c r="O4">
        <v>242.4</v>
      </c>
      <c r="P4">
        <v>257</v>
      </c>
      <c r="Q4" s="4">
        <v>62296.800000000003</v>
      </c>
      <c r="R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 s="3">
        <v>42562</v>
      </c>
      <c r="AC4" t="s">
        <v>53</v>
      </c>
      <c r="AD4" t="s">
        <v>53</v>
      </c>
      <c r="AK4">
        <v>0</v>
      </c>
      <c r="AU4" s="3">
        <v>42404</v>
      </c>
      <c r="AV4" s="3">
        <v>42404</v>
      </c>
      <c r="AW4" t="s">
        <v>54</v>
      </c>
      <c r="AX4" t="str">
        <f t="shared" si="1"/>
        <v>FOR</v>
      </c>
      <c r="AY4" t="s">
        <v>55</v>
      </c>
    </row>
    <row r="5" spans="1:51" hidden="1">
      <c r="A5">
        <v>100001</v>
      </c>
      <c r="B5" t="s">
        <v>51</v>
      </c>
      <c r="C5" t="str">
        <f t="shared" si="0"/>
        <v>00076670595</v>
      </c>
      <c r="D5" t="str">
        <f t="shared" si="0"/>
        <v>00076670595</v>
      </c>
      <c r="E5" t="s">
        <v>52</v>
      </c>
      <c r="F5">
        <v>2015</v>
      </c>
      <c r="G5" t="str">
        <f>"                7331"</f>
        <v xml:space="preserve">                7331</v>
      </c>
      <c r="H5" s="3">
        <v>42075</v>
      </c>
      <c r="I5" s="3">
        <v>42087</v>
      </c>
      <c r="J5" s="3">
        <v>42087</v>
      </c>
      <c r="K5" s="3">
        <v>42147</v>
      </c>
      <c r="L5"/>
      <c r="N5"/>
      <c r="O5" s="4">
        <v>3150</v>
      </c>
      <c r="P5">
        <v>268</v>
      </c>
      <c r="Q5" s="4">
        <v>844200</v>
      </c>
      <c r="R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 s="3">
        <v>42562</v>
      </c>
      <c r="AC5" t="s">
        <v>53</v>
      </c>
      <c r="AD5" t="s">
        <v>53</v>
      </c>
      <c r="AK5">
        <v>0</v>
      </c>
      <c r="AU5" s="3">
        <v>42415</v>
      </c>
      <c r="AV5" s="3">
        <v>42415</v>
      </c>
      <c r="AW5" t="s">
        <v>54</v>
      </c>
      <c r="AX5" t="str">
        <f t="shared" si="1"/>
        <v>FOR</v>
      </c>
      <c r="AY5" t="s">
        <v>55</v>
      </c>
    </row>
    <row r="6" spans="1:51" hidden="1">
      <c r="A6">
        <v>100001</v>
      </c>
      <c r="B6" t="s">
        <v>51</v>
      </c>
      <c r="C6" t="str">
        <f t="shared" si="0"/>
        <v>00076670595</v>
      </c>
      <c r="D6" t="str">
        <f t="shared" si="0"/>
        <v>00076670595</v>
      </c>
      <c r="E6" t="s">
        <v>52</v>
      </c>
      <c r="F6">
        <v>2015</v>
      </c>
      <c r="G6" t="str">
        <f>"                7861"</f>
        <v xml:space="preserve">                7861</v>
      </c>
      <c r="H6" s="3">
        <v>42081</v>
      </c>
      <c r="I6" s="3">
        <v>42102</v>
      </c>
      <c r="J6" s="3">
        <v>42102</v>
      </c>
      <c r="K6" s="3">
        <v>42162</v>
      </c>
      <c r="L6"/>
      <c r="N6"/>
      <c r="O6" s="4">
        <v>4897.8500000000004</v>
      </c>
      <c r="P6">
        <v>253</v>
      </c>
      <c r="Q6" s="4">
        <v>1239156.05</v>
      </c>
      <c r="R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 s="3">
        <v>42562</v>
      </c>
      <c r="AC6" t="s">
        <v>53</v>
      </c>
      <c r="AD6" t="s">
        <v>53</v>
      </c>
      <c r="AK6">
        <v>0</v>
      </c>
      <c r="AU6" s="3">
        <v>42415</v>
      </c>
      <c r="AV6" s="3">
        <v>42415</v>
      </c>
      <c r="AW6" t="s">
        <v>54</v>
      </c>
      <c r="AX6" t="str">
        <f t="shared" si="1"/>
        <v>FOR</v>
      </c>
      <c r="AY6" t="s">
        <v>55</v>
      </c>
    </row>
    <row r="7" spans="1:51">
      <c r="A7">
        <v>100001</v>
      </c>
      <c r="B7" t="s">
        <v>51</v>
      </c>
      <c r="C7" t="str">
        <f t="shared" si="0"/>
        <v>00076670595</v>
      </c>
      <c r="D7" t="str">
        <f t="shared" si="0"/>
        <v>00076670595</v>
      </c>
      <c r="E7" t="s">
        <v>52</v>
      </c>
      <c r="F7">
        <v>2015</v>
      </c>
      <c r="G7" t="str">
        <f>"            50323334"</f>
        <v xml:space="preserve">            50323334</v>
      </c>
      <c r="H7" s="3">
        <v>42174</v>
      </c>
      <c r="I7" s="3">
        <v>42195</v>
      </c>
      <c r="J7" s="3">
        <v>42185</v>
      </c>
      <c r="K7" s="3">
        <v>42245</v>
      </c>
      <c r="L7" s="1">
        <v>880</v>
      </c>
      <c r="M7">
        <v>275</v>
      </c>
      <c r="N7" s="5">
        <v>242000</v>
      </c>
      <c r="O7">
        <v>880</v>
      </c>
      <c r="P7">
        <v>275</v>
      </c>
      <c r="Q7" s="4">
        <v>242000</v>
      </c>
      <c r="R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 s="3">
        <v>42562</v>
      </c>
      <c r="AC7" t="s">
        <v>53</v>
      </c>
      <c r="AD7" t="s">
        <v>53</v>
      </c>
      <c r="AK7">
        <v>0</v>
      </c>
      <c r="AU7" s="3">
        <v>42520</v>
      </c>
      <c r="AV7" s="3">
        <v>42520</v>
      </c>
      <c r="AW7" t="s">
        <v>54</v>
      </c>
      <c r="AX7" t="str">
        <f t="shared" si="1"/>
        <v>FOR</v>
      </c>
      <c r="AY7" t="s">
        <v>55</v>
      </c>
    </row>
    <row r="8" spans="1:51">
      <c r="A8">
        <v>100001</v>
      </c>
      <c r="B8" t="s">
        <v>51</v>
      </c>
      <c r="C8" t="str">
        <f t="shared" si="0"/>
        <v>00076670595</v>
      </c>
      <c r="D8" t="str">
        <f t="shared" si="0"/>
        <v>00076670595</v>
      </c>
      <c r="E8" t="s">
        <v>52</v>
      </c>
      <c r="F8">
        <v>2015</v>
      </c>
      <c r="G8" t="str">
        <f>"            50325438"</f>
        <v xml:space="preserve">            50325438</v>
      </c>
      <c r="H8" s="3">
        <v>42192</v>
      </c>
      <c r="I8" s="3">
        <v>42369</v>
      </c>
      <c r="J8" s="3">
        <v>42199</v>
      </c>
      <c r="K8" s="3">
        <v>42259</v>
      </c>
      <c r="L8" s="1">
        <v>880</v>
      </c>
      <c r="M8">
        <v>233</v>
      </c>
      <c r="N8" s="5">
        <v>205040</v>
      </c>
      <c r="O8">
        <v>880</v>
      </c>
      <c r="P8">
        <v>233</v>
      </c>
      <c r="Q8" s="4">
        <v>205040</v>
      </c>
      <c r="R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3">
        <v>42562</v>
      </c>
      <c r="AC8" t="s">
        <v>53</v>
      </c>
      <c r="AD8" t="s">
        <v>53</v>
      </c>
      <c r="AK8">
        <v>0</v>
      </c>
      <c r="AU8" s="3">
        <v>42492</v>
      </c>
      <c r="AV8" s="3">
        <v>42492</v>
      </c>
      <c r="AW8" t="s">
        <v>54</v>
      </c>
      <c r="AX8" t="str">
        <f t="shared" si="1"/>
        <v>FOR</v>
      </c>
      <c r="AY8" t="s">
        <v>55</v>
      </c>
    </row>
    <row r="9" spans="1:51">
      <c r="A9">
        <v>100001</v>
      </c>
      <c r="B9" t="s">
        <v>51</v>
      </c>
      <c r="C9" t="str">
        <f t="shared" si="0"/>
        <v>00076670595</v>
      </c>
      <c r="D9" t="str">
        <f t="shared" si="0"/>
        <v>00076670595</v>
      </c>
      <c r="E9" t="s">
        <v>52</v>
      </c>
      <c r="F9">
        <v>2015</v>
      </c>
      <c r="G9" t="str">
        <f>"          S15F010518"</f>
        <v xml:space="preserve">          S15F010518</v>
      </c>
      <c r="H9" s="3">
        <v>42103</v>
      </c>
      <c r="I9" s="3">
        <v>42348</v>
      </c>
      <c r="J9" s="3">
        <v>42347</v>
      </c>
      <c r="K9" s="3">
        <v>42407</v>
      </c>
      <c r="L9" s="5">
        <v>3150</v>
      </c>
      <c r="M9">
        <v>57</v>
      </c>
      <c r="N9" s="5">
        <v>179550</v>
      </c>
      <c r="O9" s="4">
        <v>3150</v>
      </c>
      <c r="P9">
        <v>57</v>
      </c>
      <c r="Q9" s="4">
        <v>179550</v>
      </c>
      <c r="R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3">
        <v>42562</v>
      </c>
      <c r="AC9" t="s">
        <v>53</v>
      </c>
      <c r="AD9" t="s">
        <v>53</v>
      </c>
      <c r="AK9">
        <v>0</v>
      </c>
      <c r="AU9" s="3">
        <v>42464</v>
      </c>
      <c r="AV9" s="3">
        <v>42464</v>
      </c>
      <c r="AW9" t="s">
        <v>54</v>
      </c>
      <c r="AX9" t="str">
        <f t="shared" si="1"/>
        <v>FOR</v>
      </c>
      <c r="AY9" t="s">
        <v>55</v>
      </c>
    </row>
    <row r="10" spans="1:51">
      <c r="A10">
        <v>100001</v>
      </c>
      <c r="B10" t="s">
        <v>51</v>
      </c>
      <c r="C10" t="str">
        <f t="shared" si="0"/>
        <v>00076670595</v>
      </c>
      <c r="D10" t="str">
        <f t="shared" si="0"/>
        <v>00076670595</v>
      </c>
      <c r="E10" t="s">
        <v>52</v>
      </c>
      <c r="F10">
        <v>2015</v>
      </c>
      <c r="G10" t="str">
        <f>"          S15F010882"</f>
        <v xml:space="preserve">          S15F010882</v>
      </c>
      <c r="H10" s="3">
        <v>42108</v>
      </c>
      <c r="I10" s="3">
        <v>42128</v>
      </c>
      <c r="J10" s="3">
        <v>42124</v>
      </c>
      <c r="K10" s="3">
        <v>42184</v>
      </c>
      <c r="L10" s="5">
        <v>16925.21</v>
      </c>
      <c r="M10">
        <v>280</v>
      </c>
      <c r="N10" s="5">
        <v>4739058.8</v>
      </c>
      <c r="O10" s="4">
        <v>16925.21</v>
      </c>
      <c r="P10">
        <v>280</v>
      </c>
      <c r="Q10" s="4">
        <v>4739058.8</v>
      </c>
      <c r="R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3">
        <v>42562</v>
      </c>
      <c r="AC10" t="s">
        <v>53</v>
      </c>
      <c r="AD10" t="s">
        <v>53</v>
      </c>
      <c r="AK10">
        <v>0</v>
      </c>
      <c r="AU10" s="3">
        <v>42464</v>
      </c>
      <c r="AV10" s="3">
        <v>42464</v>
      </c>
      <c r="AW10" t="s">
        <v>54</v>
      </c>
      <c r="AX10" t="str">
        <f t="shared" si="1"/>
        <v>FOR</v>
      </c>
      <c r="AY10" t="s">
        <v>55</v>
      </c>
    </row>
    <row r="11" spans="1:51">
      <c r="A11">
        <v>100001</v>
      </c>
      <c r="B11" t="s">
        <v>51</v>
      </c>
      <c r="C11" t="str">
        <f t="shared" si="0"/>
        <v>00076670595</v>
      </c>
      <c r="D11" t="str">
        <f t="shared" si="0"/>
        <v>00076670595</v>
      </c>
      <c r="E11" t="s">
        <v>52</v>
      </c>
      <c r="F11">
        <v>2015</v>
      </c>
      <c r="G11" t="str">
        <f>"          S15F011360"</f>
        <v xml:space="preserve">          S15F011360</v>
      </c>
      <c r="H11" s="3">
        <v>42114</v>
      </c>
      <c r="I11" s="3">
        <v>42135</v>
      </c>
      <c r="J11" s="3">
        <v>42132</v>
      </c>
      <c r="K11" s="3">
        <v>42192</v>
      </c>
      <c r="L11" s="5">
        <v>2700</v>
      </c>
      <c r="M11">
        <v>272</v>
      </c>
      <c r="N11" s="5">
        <v>734400</v>
      </c>
      <c r="O11" s="4">
        <v>2700</v>
      </c>
      <c r="P11">
        <v>272</v>
      </c>
      <c r="Q11" s="4">
        <v>734400</v>
      </c>
      <c r="R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3">
        <v>42562</v>
      </c>
      <c r="AC11" t="s">
        <v>53</v>
      </c>
      <c r="AD11" t="s">
        <v>53</v>
      </c>
      <c r="AK11">
        <v>0</v>
      </c>
      <c r="AU11" s="3">
        <v>42464</v>
      </c>
      <c r="AV11" s="3">
        <v>42464</v>
      </c>
      <c r="AW11" t="s">
        <v>54</v>
      </c>
      <c r="AX11" t="str">
        <f t="shared" si="1"/>
        <v>FOR</v>
      </c>
      <c r="AY11" t="s">
        <v>55</v>
      </c>
    </row>
    <row r="12" spans="1:51">
      <c r="A12">
        <v>100001</v>
      </c>
      <c r="B12" t="s">
        <v>51</v>
      </c>
      <c r="C12" t="str">
        <f t="shared" si="0"/>
        <v>00076670595</v>
      </c>
      <c r="D12" t="str">
        <f t="shared" si="0"/>
        <v>00076670595</v>
      </c>
      <c r="E12" t="s">
        <v>52</v>
      </c>
      <c r="F12">
        <v>2015</v>
      </c>
      <c r="G12" t="str">
        <f>"          S15F013325"</f>
        <v xml:space="preserve">          S15F013325</v>
      </c>
      <c r="H12" s="3">
        <v>42130</v>
      </c>
      <c r="I12" s="3">
        <v>42131</v>
      </c>
      <c r="J12" s="3">
        <v>42130</v>
      </c>
      <c r="K12" s="3">
        <v>42190</v>
      </c>
      <c r="L12" s="5">
        <v>1575</v>
      </c>
      <c r="M12">
        <v>274</v>
      </c>
      <c r="N12" s="5">
        <v>431550</v>
      </c>
      <c r="O12" s="4">
        <v>1575</v>
      </c>
      <c r="P12">
        <v>274</v>
      </c>
      <c r="Q12" s="4">
        <v>431550</v>
      </c>
      <c r="R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3">
        <v>42562</v>
      </c>
      <c r="AC12" t="s">
        <v>53</v>
      </c>
      <c r="AD12" t="s">
        <v>53</v>
      </c>
      <c r="AK12">
        <v>0</v>
      </c>
      <c r="AU12" s="3">
        <v>42464</v>
      </c>
      <c r="AV12" s="3">
        <v>42464</v>
      </c>
      <c r="AW12" t="s">
        <v>54</v>
      </c>
      <c r="AX12" t="str">
        <f t="shared" si="1"/>
        <v>FOR</v>
      </c>
      <c r="AY12" t="s">
        <v>55</v>
      </c>
    </row>
    <row r="13" spans="1:51">
      <c r="A13">
        <v>100001</v>
      </c>
      <c r="B13" t="s">
        <v>51</v>
      </c>
      <c r="C13" t="str">
        <f t="shared" si="0"/>
        <v>00076670595</v>
      </c>
      <c r="D13" t="str">
        <f t="shared" si="0"/>
        <v>00076670595</v>
      </c>
      <c r="E13" t="s">
        <v>52</v>
      </c>
      <c r="F13">
        <v>2015</v>
      </c>
      <c r="G13" t="str">
        <f>"          S15F014688"</f>
        <v xml:space="preserve">          S15F014688</v>
      </c>
      <c r="H13" s="3">
        <v>42144</v>
      </c>
      <c r="I13" s="3">
        <v>42160</v>
      </c>
      <c r="J13" s="3">
        <v>42145</v>
      </c>
      <c r="K13" s="3">
        <v>42205</v>
      </c>
      <c r="L13" s="1">
        <v>274</v>
      </c>
      <c r="M13">
        <v>259</v>
      </c>
      <c r="N13" s="5">
        <v>70966</v>
      </c>
      <c r="O13">
        <v>274</v>
      </c>
      <c r="P13">
        <v>259</v>
      </c>
      <c r="Q13" s="4">
        <v>70966</v>
      </c>
      <c r="R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3">
        <v>42562</v>
      </c>
      <c r="AC13" t="s">
        <v>53</v>
      </c>
      <c r="AD13" t="s">
        <v>53</v>
      </c>
      <c r="AK13">
        <v>0</v>
      </c>
      <c r="AU13" s="3">
        <v>42464</v>
      </c>
      <c r="AV13" s="3">
        <v>42464</v>
      </c>
      <c r="AW13" t="s">
        <v>54</v>
      </c>
      <c r="AX13" t="str">
        <f t="shared" si="1"/>
        <v>FOR</v>
      </c>
      <c r="AY13" t="s">
        <v>55</v>
      </c>
    </row>
    <row r="14" spans="1:51">
      <c r="A14">
        <v>100001</v>
      </c>
      <c r="B14" t="s">
        <v>51</v>
      </c>
      <c r="C14" t="str">
        <f t="shared" si="0"/>
        <v>00076670595</v>
      </c>
      <c r="D14" t="str">
        <f t="shared" si="0"/>
        <v>00076670595</v>
      </c>
      <c r="E14" t="s">
        <v>52</v>
      </c>
      <c r="F14">
        <v>2015</v>
      </c>
      <c r="G14" t="str">
        <f>"          S15F015283"</f>
        <v xml:space="preserve">          S15F015283</v>
      </c>
      <c r="H14" s="3">
        <v>42146</v>
      </c>
      <c r="I14" s="3">
        <v>42158</v>
      </c>
      <c r="J14" s="3">
        <v>42153</v>
      </c>
      <c r="K14" s="3">
        <v>42213</v>
      </c>
      <c r="L14" s="5">
        <v>3150</v>
      </c>
      <c r="M14">
        <v>251</v>
      </c>
      <c r="N14" s="5">
        <v>790650</v>
      </c>
      <c r="O14" s="4">
        <v>3150</v>
      </c>
      <c r="P14">
        <v>251</v>
      </c>
      <c r="Q14" s="4">
        <v>790650</v>
      </c>
      <c r="R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3">
        <v>42562</v>
      </c>
      <c r="AC14" t="s">
        <v>53</v>
      </c>
      <c r="AD14" t="s">
        <v>53</v>
      </c>
      <c r="AK14">
        <v>0</v>
      </c>
      <c r="AU14" s="3">
        <v>42464</v>
      </c>
      <c r="AV14" s="3">
        <v>42464</v>
      </c>
      <c r="AW14" t="s">
        <v>54</v>
      </c>
      <c r="AX14" t="str">
        <f t="shared" si="1"/>
        <v>FOR</v>
      </c>
      <c r="AY14" t="s">
        <v>55</v>
      </c>
    </row>
    <row r="15" spans="1:51">
      <c r="A15">
        <v>100001</v>
      </c>
      <c r="B15" t="s">
        <v>51</v>
      </c>
      <c r="C15" t="str">
        <f t="shared" si="0"/>
        <v>00076670595</v>
      </c>
      <c r="D15" t="str">
        <f t="shared" si="0"/>
        <v>00076670595</v>
      </c>
      <c r="E15" t="s">
        <v>52</v>
      </c>
      <c r="F15">
        <v>2015</v>
      </c>
      <c r="G15" t="str">
        <f>"          S15F017504"</f>
        <v xml:space="preserve">          S15F017504</v>
      </c>
      <c r="H15" s="3">
        <v>42171</v>
      </c>
      <c r="I15" s="3">
        <v>42174</v>
      </c>
      <c r="J15" s="3">
        <v>42173</v>
      </c>
      <c r="K15" s="3">
        <v>42233</v>
      </c>
      <c r="L15" s="5">
        <v>3150</v>
      </c>
      <c r="M15">
        <v>259</v>
      </c>
      <c r="N15" s="5">
        <v>815850</v>
      </c>
      <c r="O15" s="4">
        <v>3150</v>
      </c>
      <c r="P15">
        <v>259</v>
      </c>
      <c r="Q15" s="4">
        <v>815850</v>
      </c>
      <c r="R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3">
        <v>42562</v>
      </c>
      <c r="AC15" t="s">
        <v>53</v>
      </c>
      <c r="AD15" t="s">
        <v>53</v>
      </c>
      <c r="AK15">
        <v>0</v>
      </c>
      <c r="AU15" s="3">
        <v>42492</v>
      </c>
      <c r="AV15" s="3">
        <v>42492</v>
      </c>
      <c r="AW15" t="s">
        <v>54</v>
      </c>
      <c r="AX15" t="str">
        <f t="shared" si="1"/>
        <v>FOR</v>
      </c>
      <c r="AY15" t="s">
        <v>55</v>
      </c>
    </row>
    <row r="16" spans="1:51">
      <c r="A16">
        <v>100001</v>
      </c>
      <c r="B16" t="s">
        <v>51</v>
      </c>
      <c r="C16" t="str">
        <f t="shared" si="0"/>
        <v>00076670595</v>
      </c>
      <c r="D16" t="str">
        <f t="shared" si="0"/>
        <v>00076670595</v>
      </c>
      <c r="E16" t="s">
        <v>52</v>
      </c>
      <c r="F16">
        <v>2015</v>
      </c>
      <c r="G16" t="str">
        <f>"          S15F017959"</f>
        <v xml:space="preserve">          S15F017959</v>
      </c>
      <c r="H16" s="3">
        <v>42177</v>
      </c>
      <c r="I16" s="3">
        <v>42181</v>
      </c>
      <c r="J16" s="3">
        <v>42178</v>
      </c>
      <c r="K16" s="3">
        <v>42238</v>
      </c>
      <c r="L16" s="5">
        <v>2921.25</v>
      </c>
      <c r="M16">
        <v>254</v>
      </c>
      <c r="N16" s="5">
        <v>741997.5</v>
      </c>
      <c r="O16" s="4">
        <v>2921.25</v>
      </c>
      <c r="P16">
        <v>254</v>
      </c>
      <c r="Q16" s="4">
        <v>741997.5</v>
      </c>
      <c r="R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3">
        <v>42562</v>
      </c>
      <c r="AC16" t="s">
        <v>53</v>
      </c>
      <c r="AD16" t="s">
        <v>53</v>
      </c>
      <c r="AK16">
        <v>0</v>
      </c>
      <c r="AU16" s="3">
        <v>42492</v>
      </c>
      <c r="AV16" s="3">
        <v>42492</v>
      </c>
      <c r="AW16" t="s">
        <v>54</v>
      </c>
      <c r="AX16" t="str">
        <f t="shared" si="1"/>
        <v>FOR</v>
      </c>
      <c r="AY16" t="s">
        <v>55</v>
      </c>
    </row>
    <row r="17" spans="1:51">
      <c r="A17">
        <v>100001</v>
      </c>
      <c r="B17" t="s">
        <v>51</v>
      </c>
      <c r="C17" t="str">
        <f t="shared" si="0"/>
        <v>00076670595</v>
      </c>
      <c r="D17" t="str">
        <f t="shared" si="0"/>
        <v>00076670595</v>
      </c>
      <c r="E17" t="s">
        <v>52</v>
      </c>
      <c r="F17">
        <v>2015</v>
      </c>
      <c r="G17" t="str">
        <f>"          S15F018695"</f>
        <v xml:space="preserve">          S15F018695</v>
      </c>
      <c r="H17" s="3">
        <v>42179</v>
      </c>
      <c r="I17" s="3">
        <v>42185</v>
      </c>
      <c r="J17" s="3">
        <v>42181</v>
      </c>
      <c r="K17" s="3">
        <v>42241</v>
      </c>
      <c r="L17" s="5">
        <v>20828.400000000001</v>
      </c>
      <c r="M17">
        <v>251</v>
      </c>
      <c r="N17" s="5">
        <v>5227928.4000000004</v>
      </c>
      <c r="O17" s="4">
        <v>20828.400000000001</v>
      </c>
      <c r="P17">
        <v>251</v>
      </c>
      <c r="Q17" s="4">
        <v>5227928.4000000004</v>
      </c>
      <c r="R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3">
        <v>42562</v>
      </c>
      <c r="AC17" t="s">
        <v>53</v>
      </c>
      <c r="AD17" t="s">
        <v>53</v>
      </c>
      <c r="AK17">
        <v>0</v>
      </c>
      <c r="AU17" s="3">
        <v>42492</v>
      </c>
      <c r="AV17" s="3">
        <v>42492</v>
      </c>
      <c r="AW17" t="s">
        <v>54</v>
      </c>
      <c r="AX17" t="str">
        <f t="shared" si="1"/>
        <v>FOR</v>
      </c>
      <c r="AY17" t="s">
        <v>55</v>
      </c>
    </row>
    <row r="18" spans="1:51">
      <c r="A18">
        <v>100001</v>
      </c>
      <c r="B18" t="s">
        <v>51</v>
      </c>
      <c r="C18" t="str">
        <f t="shared" si="0"/>
        <v>00076670595</v>
      </c>
      <c r="D18" t="str">
        <f t="shared" si="0"/>
        <v>00076670595</v>
      </c>
      <c r="E18" t="s">
        <v>52</v>
      </c>
      <c r="F18">
        <v>2015</v>
      </c>
      <c r="G18" t="str">
        <f>"          S15F020281"</f>
        <v xml:space="preserve">          S15F020281</v>
      </c>
      <c r="H18" s="3">
        <v>42194</v>
      </c>
      <c r="I18" s="3">
        <v>42202</v>
      </c>
      <c r="J18" s="3">
        <v>42199</v>
      </c>
      <c r="K18" s="3">
        <v>42259</v>
      </c>
      <c r="L18" s="5">
        <v>1575</v>
      </c>
      <c r="M18">
        <v>261</v>
      </c>
      <c r="N18" s="5">
        <v>411075</v>
      </c>
      <c r="O18" s="4">
        <v>1575</v>
      </c>
      <c r="P18">
        <v>261</v>
      </c>
      <c r="Q18" s="4">
        <v>411075</v>
      </c>
      <c r="R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3">
        <v>42562</v>
      </c>
      <c r="AC18" t="s">
        <v>53</v>
      </c>
      <c r="AD18" t="s">
        <v>53</v>
      </c>
      <c r="AK18">
        <v>0</v>
      </c>
      <c r="AU18" s="3">
        <v>42520</v>
      </c>
      <c r="AV18" s="3">
        <v>42520</v>
      </c>
      <c r="AW18" t="s">
        <v>54</v>
      </c>
      <c r="AX18" t="str">
        <f t="shared" si="1"/>
        <v>FOR</v>
      </c>
      <c r="AY18" t="s">
        <v>55</v>
      </c>
    </row>
    <row r="19" spans="1:51">
      <c r="A19">
        <v>100001</v>
      </c>
      <c r="B19" t="s">
        <v>51</v>
      </c>
      <c r="C19" t="str">
        <f t="shared" si="0"/>
        <v>00076670595</v>
      </c>
      <c r="D19" t="str">
        <f t="shared" si="0"/>
        <v>00076670595</v>
      </c>
      <c r="E19" t="s">
        <v>52</v>
      </c>
      <c r="F19">
        <v>2015</v>
      </c>
      <c r="G19" t="str">
        <f>"          S15F021773"</f>
        <v xml:space="preserve">          S15F021773</v>
      </c>
      <c r="H19" s="3">
        <v>42208</v>
      </c>
      <c r="I19" s="3">
        <v>42212</v>
      </c>
      <c r="J19" s="3">
        <v>42209</v>
      </c>
      <c r="K19" s="3">
        <v>42269</v>
      </c>
      <c r="L19" s="1">
        <v>526</v>
      </c>
      <c r="M19">
        <v>251</v>
      </c>
      <c r="N19" s="5">
        <v>132026</v>
      </c>
      <c r="O19">
        <v>526</v>
      </c>
      <c r="P19">
        <v>251</v>
      </c>
      <c r="Q19" s="4">
        <v>132026</v>
      </c>
      <c r="R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3">
        <v>42562</v>
      </c>
      <c r="AC19" t="s">
        <v>53</v>
      </c>
      <c r="AD19" t="s">
        <v>53</v>
      </c>
      <c r="AK19">
        <v>0</v>
      </c>
      <c r="AU19" s="3">
        <v>42520</v>
      </c>
      <c r="AV19" s="3">
        <v>42520</v>
      </c>
      <c r="AW19" t="s">
        <v>54</v>
      </c>
      <c r="AX19" t="str">
        <f t="shared" si="1"/>
        <v>FOR</v>
      </c>
      <c r="AY19" t="s">
        <v>55</v>
      </c>
    </row>
    <row r="20" spans="1:51" hidden="1">
      <c r="A20">
        <v>100032</v>
      </c>
      <c r="B20" t="s">
        <v>56</v>
      </c>
      <c r="C20" t="str">
        <f t="shared" ref="C20:D31" si="2">"01316780426"</f>
        <v>01316780426</v>
      </c>
      <c r="D20" t="str">
        <f t="shared" si="2"/>
        <v>01316780426</v>
      </c>
      <c r="E20" t="s">
        <v>52</v>
      </c>
      <c r="F20">
        <v>2015</v>
      </c>
      <c r="G20" t="str">
        <f>"                2822"</f>
        <v xml:space="preserve">                2822</v>
      </c>
      <c r="H20" s="3">
        <v>42053</v>
      </c>
      <c r="I20" s="3">
        <v>42068</v>
      </c>
      <c r="J20" s="3">
        <v>42068</v>
      </c>
      <c r="K20" s="3">
        <v>42128</v>
      </c>
      <c r="L20"/>
      <c r="N20"/>
      <c r="O20">
        <v>975</v>
      </c>
      <c r="P20">
        <v>276</v>
      </c>
      <c r="Q20" s="4">
        <v>269100</v>
      </c>
      <c r="R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3">
        <v>42562</v>
      </c>
      <c r="AC20" t="s">
        <v>53</v>
      </c>
      <c r="AD20" t="s">
        <v>53</v>
      </c>
      <c r="AK20">
        <v>0</v>
      </c>
      <c r="AU20" s="3">
        <v>42404</v>
      </c>
      <c r="AV20" s="3">
        <v>42404</v>
      </c>
      <c r="AW20" t="s">
        <v>54</v>
      </c>
      <c r="AX20" t="str">
        <f t="shared" si="1"/>
        <v>FOR</v>
      </c>
      <c r="AY20" t="s">
        <v>55</v>
      </c>
    </row>
    <row r="21" spans="1:51" hidden="1">
      <c r="A21">
        <v>100032</v>
      </c>
      <c r="B21" t="s">
        <v>56</v>
      </c>
      <c r="C21" t="str">
        <f t="shared" si="2"/>
        <v>01316780426</v>
      </c>
      <c r="D21" t="str">
        <f t="shared" si="2"/>
        <v>01316780426</v>
      </c>
      <c r="E21" t="s">
        <v>52</v>
      </c>
      <c r="F21">
        <v>2015</v>
      </c>
      <c r="G21" t="str">
        <f>"                3175"</f>
        <v xml:space="preserve">                3175</v>
      </c>
      <c r="H21" s="3">
        <v>42061</v>
      </c>
      <c r="I21" s="3">
        <v>42177</v>
      </c>
      <c r="J21" s="3">
        <v>42177</v>
      </c>
      <c r="K21" s="3">
        <v>42237</v>
      </c>
      <c r="L21"/>
      <c r="N21"/>
      <c r="O21" s="4">
        <v>1175.44</v>
      </c>
      <c r="P21">
        <v>167</v>
      </c>
      <c r="Q21" s="4">
        <v>196298.48</v>
      </c>
      <c r="R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3">
        <v>42562</v>
      </c>
      <c r="AC21" t="s">
        <v>53</v>
      </c>
      <c r="AD21" t="s">
        <v>53</v>
      </c>
      <c r="AK21">
        <v>0</v>
      </c>
      <c r="AU21" s="3">
        <v>42404</v>
      </c>
      <c r="AV21" s="3">
        <v>42404</v>
      </c>
      <c r="AW21" t="s">
        <v>54</v>
      </c>
      <c r="AX21" t="str">
        <f t="shared" si="1"/>
        <v>FOR</v>
      </c>
      <c r="AY21" t="s">
        <v>55</v>
      </c>
    </row>
    <row r="22" spans="1:51" hidden="1">
      <c r="A22">
        <v>100032</v>
      </c>
      <c r="B22" t="s">
        <v>56</v>
      </c>
      <c r="C22" t="str">
        <f t="shared" si="2"/>
        <v>01316780426</v>
      </c>
      <c r="D22" t="str">
        <f t="shared" si="2"/>
        <v>01316780426</v>
      </c>
      <c r="E22" t="s">
        <v>52</v>
      </c>
      <c r="F22">
        <v>2015</v>
      </c>
      <c r="G22" t="str">
        <f>"                3962"</f>
        <v xml:space="preserve">                3962</v>
      </c>
      <c r="H22" s="3">
        <v>42073</v>
      </c>
      <c r="I22" s="3">
        <v>42081</v>
      </c>
      <c r="J22" s="3">
        <v>42081</v>
      </c>
      <c r="K22" s="3">
        <v>42141</v>
      </c>
      <c r="L22"/>
      <c r="N22"/>
      <c r="O22" s="4">
        <v>2010</v>
      </c>
      <c r="P22">
        <v>274</v>
      </c>
      <c r="Q22" s="4">
        <v>550740</v>
      </c>
      <c r="R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3">
        <v>42562</v>
      </c>
      <c r="AC22" t="s">
        <v>53</v>
      </c>
      <c r="AD22" t="s">
        <v>53</v>
      </c>
      <c r="AK22">
        <v>0</v>
      </c>
      <c r="AU22" s="3">
        <v>42415</v>
      </c>
      <c r="AV22" s="3">
        <v>42415</v>
      </c>
      <c r="AW22" t="s">
        <v>54</v>
      </c>
      <c r="AX22" t="str">
        <f t="shared" si="1"/>
        <v>FOR</v>
      </c>
      <c r="AY22" t="s">
        <v>55</v>
      </c>
    </row>
    <row r="23" spans="1:51" hidden="1">
      <c r="A23">
        <v>100032</v>
      </c>
      <c r="B23" t="s">
        <v>56</v>
      </c>
      <c r="C23" t="str">
        <f t="shared" si="2"/>
        <v>01316780426</v>
      </c>
      <c r="D23" t="str">
        <f t="shared" si="2"/>
        <v>01316780426</v>
      </c>
      <c r="E23" t="s">
        <v>52</v>
      </c>
      <c r="F23">
        <v>2015</v>
      </c>
      <c r="G23" t="str">
        <f>"                4944"</f>
        <v xml:space="preserve">                4944</v>
      </c>
      <c r="H23" s="3">
        <v>42087</v>
      </c>
      <c r="I23" s="3">
        <v>42097</v>
      </c>
      <c r="J23" s="3">
        <v>42097</v>
      </c>
      <c r="K23" s="3">
        <v>42157</v>
      </c>
      <c r="L23"/>
      <c r="N23"/>
      <c r="O23" s="4">
        <v>1040.4000000000001</v>
      </c>
      <c r="P23">
        <v>258</v>
      </c>
      <c r="Q23" s="4">
        <v>268423.2</v>
      </c>
      <c r="R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3">
        <v>42562</v>
      </c>
      <c r="AC23" t="s">
        <v>53</v>
      </c>
      <c r="AD23" t="s">
        <v>53</v>
      </c>
      <c r="AK23">
        <v>0</v>
      </c>
      <c r="AU23" s="3">
        <v>42415</v>
      </c>
      <c r="AV23" s="3">
        <v>42415</v>
      </c>
      <c r="AW23" t="s">
        <v>54</v>
      </c>
      <c r="AX23" t="str">
        <f t="shared" si="1"/>
        <v>FOR</v>
      </c>
      <c r="AY23" t="s">
        <v>55</v>
      </c>
    </row>
    <row r="24" spans="1:51" hidden="1">
      <c r="A24">
        <v>100032</v>
      </c>
      <c r="B24" t="s">
        <v>56</v>
      </c>
      <c r="C24" t="str">
        <f t="shared" si="2"/>
        <v>01316780426</v>
      </c>
      <c r="D24" t="str">
        <f t="shared" si="2"/>
        <v>01316780426</v>
      </c>
      <c r="E24" t="s">
        <v>52</v>
      </c>
      <c r="F24">
        <v>2015</v>
      </c>
      <c r="G24" t="str">
        <f>"                5187"</f>
        <v xml:space="preserve">                5187</v>
      </c>
      <c r="H24" s="3">
        <v>42093</v>
      </c>
      <c r="I24" s="3">
        <v>42102</v>
      </c>
      <c r="J24" s="3">
        <v>42102</v>
      </c>
      <c r="K24" s="3">
        <v>42162</v>
      </c>
      <c r="L24"/>
      <c r="N24"/>
      <c r="O24" s="4">
        <v>1239.08</v>
      </c>
      <c r="P24">
        <v>253</v>
      </c>
      <c r="Q24" s="4">
        <v>313487.24</v>
      </c>
      <c r="R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3">
        <v>42562</v>
      </c>
      <c r="AC24" t="s">
        <v>53</v>
      </c>
      <c r="AD24" t="s">
        <v>53</v>
      </c>
      <c r="AK24">
        <v>0</v>
      </c>
      <c r="AU24" s="3">
        <v>42415</v>
      </c>
      <c r="AV24" s="3">
        <v>42415</v>
      </c>
      <c r="AW24" t="s">
        <v>54</v>
      </c>
      <c r="AX24" t="str">
        <f t="shared" si="1"/>
        <v>FOR</v>
      </c>
      <c r="AY24" t="s">
        <v>55</v>
      </c>
    </row>
    <row r="25" spans="1:51">
      <c r="A25">
        <v>100032</v>
      </c>
      <c r="B25" t="s">
        <v>56</v>
      </c>
      <c r="C25" t="str">
        <f t="shared" si="2"/>
        <v>01316780426</v>
      </c>
      <c r="D25" t="str">
        <f t="shared" si="2"/>
        <v>01316780426</v>
      </c>
      <c r="E25" t="s">
        <v>52</v>
      </c>
      <c r="F25">
        <v>2015</v>
      </c>
      <c r="G25" t="str">
        <f>"              570/02"</f>
        <v xml:space="preserve">              570/02</v>
      </c>
      <c r="H25" s="3">
        <v>42110</v>
      </c>
      <c r="I25" s="3">
        <v>42501</v>
      </c>
      <c r="J25" s="3">
        <v>42501</v>
      </c>
      <c r="K25" s="3">
        <v>42561</v>
      </c>
      <c r="L25" s="5">
        <v>1590</v>
      </c>
      <c r="M25">
        <v>-41</v>
      </c>
      <c r="N25" s="5">
        <v>-65190</v>
      </c>
      <c r="O25" s="4">
        <v>1590</v>
      </c>
      <c r="P25">
        <v>-41</v>
      </c>
      <c r="Q25" s="4">
        <v>-65190</v>
      </c>
      <c r="R25">
        <v>0</v>
      </c>
      <c r="V25">
        <v>0</v>
      </c>
      <c r="W25" s="4">
        <v>1939.8</v>
      </c>
      <c r="X25">
        <v>0</v>
      </c>
      <c r="Y25">
        <v>0</v>
      </c>
      <c r="Z25" s="4">
        <v>1939.8</v>
      </c>
      <c r="AA25">
        <v>0</v>
      </c>
      <c r="AB25" s="3">
        <v>42562</v>
      </c>
      <c r="AC25" t="s">
        <v>53</v>
      </c>
      <c r="AD25" t="s">
        <v>53</v>
      </c>
      <c r="AK25">
        <v>0</v>
      </c>
      <c r="AU25" s="3">
        <v>42520</v>
      </c>
      <c r="AV25" s="3">
        <v>42520</v>
      </c>
      <c r="AW25" t="s">
        <v>54</v>
      </c>
      <c r="AX25" t="str">
        <f t="shared" si="1"/>
        <v>FOR</v>
      </c>
      <c r="AY25" t="s">
        <v>55</v>
      </c>
    </row>
    <row r="26" spans="1:51">
      <c r="A26">
        <v>100032</v>
      </c>
      <c r="B26" t="s">
        <v>56</v>
      </c>
      <c r="C26" t="str">
        <f t="shared" si="2"/>
        <v>01316780426</v>
      </c>
      <c r="D26" t="str">
        <f t="shared" si="2"/>
        <v>01316780426</v>
      </c>
      <c r="E26" t="s">
        <v>52</v>
      </c>
      <c r="F26">
        <v>2015</v>
      </c>
      <c r="G26" t="str">
        <f>"              828/02"</f>
        <v xml:space="preserve">              828/02</v>
      </c>
      <c r="H26" s="3">
        <v>42116</v>
      </c>
      <c r="I26" s="3">
        <v>42501</v>
      </c>
      <c r="J26" s="3">
        <v>42501</v>
      </c>
      <c r="K26" s="3">
        <v>42561</v>
      </c>
      <c r="L26" s="5">
        <v>2221.1999999999998</v>
      </c>
      <c r="M26">
        <v>-41</v>
      </c>
      <c r="N26" s="5">
        <v>-91069.2</v>
      </c>
      <c r="O26" s="4">
        <v>2221.1999999999998</v>
      </c>
      <c r="P26">
        <v>-41</v>
      </c>
      <c r="Q26" s="4">
        <v>-91069.2</v>
      </c>
      <c r="R26">
        <v>0</v>
      </c>
      <c r="V26">
        <v>0</v>
      </c>
      <c r="W26" s="4">
        <v>2709.86</v>
      </c>
      <c r="X26">
        <v>0</v>
      </c>
      <c r="Y26">
        <v>0</v>
      </c>
      <c r="Z26" s="4">
        <v>2709.86</v>
      </c>
      <c r="AA26">
        <v>0</v>
      </c>
      <c r="AB26" s="3">
        <v>42562</v>
      </c>
      <c r="AC26" t="s">
        <v>53</v>
      </c>
      <c r="AD26" t="s">
        <v>53</v>
      </c>
      <c r="AK26">
        <v>0</v>
      </c>
      <c r="AU26" s="3">
        <v>42520</v>
      </c>
      <c r="AV26" s="3">
        <v>42520</v>
      </c>
      <c r="AW26" t="s">
        <v>54</v>
      </c>
      <c r="AX26" t="str">
        <f t="shared" si="1"/>
        <v>FOR</v>
      </c>
      <c r="AY26" t="s">
        <v>55</v>
      </c>
    </row>
    <row r="27" spans="1:51">
      <c r="A27">
        <v>100032</v>
      </c>
      <c r="B27" t="s">
        <v>56</v>
      </c>
      <c r="C27" t="str">
        <f t="shared" si="2"/>
        <v>01316780426</v>
      </c>
      <c r="D27" t="str">
        <f t="shared" si="2"/>
        <v>01316780426</v>
      </c>
      <c r="E27" t="s">
        <v>52</v>
      </c>
      <c r="F27">
        <v>2015</v>
      </c>
      <c r="G27" t="str">
        <f>"             1474/02"</f>
        <v xml:space="preserve">             1474/02</v>
      </c>
      <c r="H27" s="3">
        <v>42130</v>
      </c>
      <c r="I27" s="3">
        <v>42501</v>
      </c>
      <c r="J27" s="3">
        <v>42501</v>
      </c>
      <c r="K27" s="3">
        <v>42561</v>
      </c>
      <c r="L27" s="1">
        <v>420</v>
      </c>
      <c r="M27">
        <v>-41</v>
      </c>
      <c r="N27" s="5">
        <v>-17220</v>
      </c>
      <c r="O27">
        <v>420</v>
      </c>
      <c r="P27">
        <v>-41</v>
      </c>
      <c r="Q27" s="4">
        <v>-17220</v>
      </c>
      <c r="R27">
        <v>0</v>
      </c>
      <c r="V27">
        <v>0</v>
      </c>
      <c r="W27">
        <v>512.4</v>
      </c>
      <c r="X27">
        <v>0</v>
      </c>
      <c r="Y27">
        <v>0</v>
      </c>
      <c r="Z27">
        <v>512.4</v>
      </c>
      <c r="AA27">
        <v>0</v>
      </c>
      <c r="AB27" s="3">
        <v>42562</v>
      </c>
      <c r="AC27" t="s">
        <v>53</v>
      </c>
      <c r="AD27" t="s">
        <v>53</v>
      </c>
      <c r="AK27">
        <v>0</v>
      </c>
      <c r="AU27" s="3">
        <v>42520</v>
      </c>
      <c r="AV27" s="3">
        <v>42520</v>
      </c>
      <c r="AW27" t="s">
        <v>54</v>
      </c>
      <c r="AX27" t="str">
        <f t="shared" si="1"/>
        <v>FOR</v>
      </c>
      <c r="AY27" t="s">
        <v>55</v>
      </c>
    </row>
    <row r="28" spans="1:51">
      <c r="A28">
        <v>100032</v>
      </c>
      <c r="B28" t="s">
        <v>56</v>
      </c>
      <c r="C28" t="str">
        <f t="shared" si="2"/>
        <v>01316780426</v>
      </c>
      <c r="D28" t="str">
        <f t="shared" si="2"/>
        <v>01316780426</v>
      </c>
      <c r="E28" t="s">
        <v>52</v>
      </c>
      <c r="F28">
        <v>2015</v>
      </c>
      <c r="G28" t="str">
        <f>"             1818/02"</f>
        <v xml:space="preserve">             1818/02</v>
      </c>
      <c r="H28" s="3">
        <v>42138</v>
      </c>
      <c r="I28" s="3">
        <v>42501</v>
      </c>
      <c r="J28" s="3">
        <v>42501</v>
      </c>
      <c r="K28" s="3">
        <v>42561</v>
      </c>
      <c r="L28" s="5">
        <v>1050</v>
      </c>
      <c r="M28">
        <v>-41</v>
      </c>
      <c r="N28" s="5">
        <v>-43050</v>
      </c>
      <c r="O28" s="4">
        <v>1050</v>
      </c>
      <c r="P28">
        <v>-41</v>
      </c>
      <c r="Q28" s="4">
        <v>-43050</v>
      </c>
      <c r="R28">
        <v>0</v>
      </c>
      <c r="V28">
        <v>0</v>
      </c>
      <c r="W28" s="4">
        <v>1281</v>
      </c>
      <c r="X28">
        <v>0</v>
      </c>
      <c r="Y28">
        <v>0</v>
      </c>
      <c r="Z28" s="4">
        <v>1281</v>
      </c>
      <c r="AA28">
        <v>0</v>
      </c>
      <c r="AB28" s="3">
        <v>42562</v>
      </c>
      <c r="AC28" t="s">
        <v>53</v>
      </c>
      <c r="AD28" t="s">
        <v>53</v>
      </c>
      <c r="AK28">
        <v>0</v>
      </c>
      <c r="AU28" s="3">
        <v>42520</v>
      </c>
      <c r="AV28" s="3">
        <v>42520</v>
      </c>
      <c r="AW28" t="s">
        <v>54</v>
      </c>
      <c r="AX28" t="str">
        <f t="shared" si="1"/>
        <v>FOR</v>
      </c>
      <c r="AY28" t="s">
        <v>55</v>
      </c>
    </row>
    <row r="29" spans="1:51">
      <c r="A29">
        <v>100032</v>
      </c>
      <c r="B29" t="s">
        <v>56</v>
      </c>
      <c r="C29" t="str">
        <f t="shared" si="2"/>
        <v>01316780426</v>
      </c>
      <c r="D29" t="str">
        <f t="shared" si="2"/>
        <v>01316780426</v>
      </c>
      <c r="E29" t="s">
        <v>52</v>
      </c>
      <c r="F29">
        <v>2015</v>
      </c>
      <c r="G29" t="str">
        <f>"             2119/02"</f>
        <v xml:space="preserve">             2119/02</v>
      </c>
      <c r="H29" s="3">
        <v>42145</v>
      </c>
      <c r="I29" s="3">
        <v>42501</v>
      </c>
      <c r="J29" s="3">
        <v>42501</v>
      </c>
      <c r="K29" s="3">
        <v>42561</v>
      </c>
      <c r="L29" s="1">
        <v>962.12</v>
      </c>
      <c r="M29">
        <v>-41</v>
      </c>
      <c r="N29" s="5">
        <v>-39446.92</v>
      </c>
      <c r="O29">
        <v>962.12</v>
      </c>
      <c r="P29">
        <v>-41</v>
      </c>
      <c r="Q29" s="4">
        <v>-39446.92</v>
      </c>
      <c r="R29">
        <v>0</v>
      </c>
      <c r="V29">
        <v>0</v>
      </c>
      <c r="W29" s="4">
        <v>1173.79</v>
      </c>
      <c r="X29">
        <v>0</v>
      </c>
      <c r="Y29">
        <v>0</v>
      </c>
      <c r="Z29" s="4">
        <v>1173.79</v>
      </c>
      <c r="AA29">
        <v>0</v>
      </c>
      <c r="AB29" s="3">
        <v>42562</v>
      </c>
      <c r="AC29" t="s">
        <v>53</v>
      </c>
      <c r="AD29" t="s">
        <v>53</v>
      </c>
      <c r="AK29">
        <v>0</v>
      </c>
      <c r="AU29" s="3">
        <v>42520</v>
      </c>
      <c r="AV29" s="3">
        <v>42520</v>
      </c>
      <c r="AW29" t="s">
        <v>54</v>
      </c>
      <c r="AX29" t="str">
        <f t="shared" si="1"/>
        <v>FOR</v>
      </c>
      <c r="AY29" t="s">
        <v>55</v>
      </c>
    </row>
    <row r="30" spans="1:51">
      <c r="A30">
        <v>100032</v>
      </c>
      <c r="B30" t="s">
        <v>56</v>
      </c>
      <c r="C30" t="str">
        <f t="shared" si="2"/>
        <v>01316780426</v>
      </c>
      <c r="D30" t="str">
        <f t="shared" si="2"/>
        <v>01316780426</v>
      </c>
      <c r="E30" t="s">
        <v>52</v>
      </c>
      <c r="F30">
        <v>2015</v>
      </c>
      <c r="G30" t="str">
        <f>"             2768/02"</f>
        <v xml:space="preserve">             2768/02</v>
      </c>
      <c r="H30" s="3">
        <v>42159</v>
      </c>
      <c r="I30" s="3">
        <v>42501</v>
      </c>
      <c r="J30" s="3">
        <v>42501</v>
      </c>
      <c r="K30" s="3">
        <v>42561</v>
      </c>
      <c r="L30" s="5">
        <v>2010</v>
      </c>
      <c r="M30">
        <v>-41</v>
      </c>
      <c r="N30" s="5">
        <v>-82410</v>
      </c>
      <c r="O30" s="4">
        <v>2010</v>
      </c>
      <c r="P30">
        <v>-41</v>
      </c>
      <c r="Q30" s="4">
        <v>-82410</v>
      </c>
      <c r="R30">
        <v>0</v>
      </c>
      <c r="V30">
        <v>0</v>
      </c>
      <c r="W30" s="4">
        <v>2452.1999999999998</v>
      </c>
      <c r="X30">
        <v>0</v>
      </c>
      <c r="Y30">
        <v>0</v>
      </c>
      <c r="Z30" s="4">
        <v>2452.1999999999998</v>
      </c>
      <c r="AA30">
        <v>0</v>
      </c>
      <c r="AB30" s="3">
        <v>42562</v>
      </c>
      <c r="AC30" t="s">
        <v>53</v>
      </c>
      <c r="AD30" t="s">
        <v>53</v>
      </c>
      <c r="AK30">
        <v>0</v>
      </c>
      <c r="AU30" s="3">
        <v>42520</v>
      </c>
      <c r="AV30" s="3">
        <v>42520</v>
      </c>
      <c r="AW30" t="s">
        <v>54</v>
      </c>
      <c r="AX30" t="str">
        <f t="shared" si="1"/>
        <v>FOR</v>
      </c>
      <c r="AY30" t="s">
        <v>55</v>
      </c>
    </row>
    <row r="31" spans="1:51">
      <c r="A31">
        <v>100032</v>
      </c>
      <c r="B31" t="s">
        <v>56</v>
      </c>
      <c r="C31" t="str">
        <f t="shared" si="2"/>
        <v>01316780426</v>
      </c>
      <c r="D31" t="str">
        <f t="shared" si="2"/>
        <v>01316780426</v>
      </c>
      <c r="E31" t="s">
        <v>52</v>
      </c>
      <c r="F31">
        <v>2015</v>
      </c>
      <c r="G31" t="str">
        <f>"             3072/02"</f>
        <v xml:space="preserve">             3072/02</v>
      </c>
      <c r="H31" s="3">
        <v>42165</v>
      </c>
      <c r="I31" s="3">
        <v>42501</v>
      </c>
      <c r="J31" s="3">
        <v>42501</v>
      </c>
      <c r="K31" s="3">
        <v>42561</v>
      </c>
      <c r="L31" s="5">
        <v>1717.36</v>
      </c>
      <c r="M31">
        <v>-41</v>
      </c>
      <c r="N31" s="5">
        <v>-70411.759999999995</v>
      </c>
      <c r="O31" s="4">
        <v>1717.36</v>
      </c>
      <c r="P31">
        <v>-41</v>
      </c>
      <c r="Q31" s="4">
        <v>-70411.759999999995</v>
      </c>
      <c r="R31">
        <v>0</v>
      </c>
      <c r="V31">
        <v>0</v>
      </c>
      <c r="W31" s="4">
        <v>2095.1799999999998</v>
      </c>
      <c r="X31">
        <v>0</v>
      </c>
      <c r="Y31">
        <v>0</v>
      </c>
      <c r="Z31" s="4">
        <v>2095.1799999999998</v>
      </c>
      <c r="AA31">
        <v>0</v>
      </c>
      <c r="AB31" s="3">
        <v>42562</v>
      </c>
      <c r="AC31" t="s">
        <v>53</v>
      </c>
      <c r="AD31" t="s">
        <v>53</v>
      </c>
      <c r="AK31">
        <v>0</v>
      </c>
      <c r="AU31" s="3">
        <v>42520</v>
      </c>
      <c r="AV31" s="3">
        <v>42520</v>
      </c>
      <c r="AW31" t="s">
        <v>54</v>
      </c>
      <c r="AX31" t="str">
        <f t="shared" si="1"/>
        <v>FOR</v>
      </c>
      <c r="AY31" t="s">
        <v>55</v>
      </c>
    </row>
    <row r="32" spans="1:51" hidden="1">
      <c r="A32">
        <v>100045</v>
      </c>
      <c r="B32" t="s">
        <v>57</v>
      </c>
      <c r="C32" t="str">
        <f>"02044501001"</f>
        <v>02044501001</v>
      </c>
      <c r="D32" t="str">
        <f>"08397890586"</f>
        <v>08397890586</v>
      </c>
      <c r="E32" t="s">
        <v>52</v>
      </c>
      <c r="F32">
        <v>2015</v>
      </c>
      <c r="G32" t="str">
        <f>"           V2/592427"</f>
        <v xml:space="preserve">           V2/592427</v>
      </c>
      <c r="H32" s="3">
        <v>42352</v>
      </c>
      <c r="I32" s="3">
        <v>42353</v>
      </c>
      <c r="J32" s="3">
        <v>42352</v>
      </c>
      <c r="K32" s="3">
        <v>42412</v>
      </c>
      <c r="L32"/>
      <c r="N32"/>
      <c r="O32">
        <v>190</v>
      </c>
      <c r="P32">
        <v>-9</v>
      </c>
      <c r="Q32" s="4">
        <v>-1710</v>
      </c>
      <c r="R32">
        <v>41.8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3">
        <v>42562</v>
      </c>
      <c r="AC32" t="s">
        <v>53</v>
      </c>
      <c r="AD32" t="s">
        <v>53</v>
      </c>
      <c r="AI32">
        <v>41.8</v>
      </c>
      <c r="AK32">
        <v>0</v>
      </c>
      <c r="AU32" s="3">
        <v>42403</v>
      </c>
      <c r="AV32" s="3">
        <v>42403</v>
      </c>
      <c r="AW32" t="s">
        <v>54</v>
      </c>
      <c r="AX32" t="str">
        <f t="shared" si="1"/>
        <v>FOR</v>
      </c>
      <c r="AY32" t="s">
        <v>55</v>
      </c>
    </row>
    <row r="33" spans="1:51" hidden="1">
      <c r="A33">
        <v>100046</v>
      </c>
      <c r="B33" t="s">
        <v>58</v>
      </c>
      <c r="C33" t="str">
        <f t="shared" ref="C33:D35" si="3">"07617050153"</f>
        <v>07617050153</v>
      </c>
      <c r="D33" t="str">
        <f t="shared" si="3"/>
        <v>07617050153</v>
      </c>
      <c r="E33" t="s">
        <v>52</v>
      </c>
      <c r="F33">
        <v>2015</v>
      </c>
      <c r="G33" t="str">
        <f>"          2015101366"</f>
        <v xml:space="preserve">          2015101366</v>
      </c>
      <c r="H33" s="3">
        <v>42055</v>
      </c>
      <c r="I33" s="3">
        <v>42068</v>
      </c>
      <c r="J33" s="3">
        <v>42068</v>
      </c>
      <c r="K33" s="3">
        <v>42128</v>
      </c>
      <c r="L33"/>
      <c r="N33"/>
      <c r="O33">
        <v>429.24</v>
      </c>
      <c r="P33">
        <v>276</v>
      </c>
      <c r="Q33" s="4">
        <v>118470.24</v>
      </c>
      <c r="R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3">
        <v>42562</v>
      </c>
      <c r="AC33" t="s">
        <v>53</v>
      </c>
      <c r="AD33" t="s">
        <v>53</v>
      </c>
      <c r="AK33">
        <v>0</v>
      </c>
      <c r="AU33" s="3">
        <v>42404</v>
      </c>
      <c r="AV33" s="3">
        <v>42404</v>
      </c>
      <c r="AW33" t="s">
        <v>54</v>
      </c>
      <c r="AX33" t="str">
        <f t="shared" si="1"/>
        <v>FOR</v>
      </c>
      <c r="AY33" t="s">
        <v>55</v>
      </c>
    </row>
    <row r="34" spans="1:51" hidden="1">
      <c r="A34">
        <v>100046</v>
      </c>
      <c r="B34" t="s">
        <v>58</v>
      </c>
      <c r="C34" t="str">
        <f t="shared" si="3"/>
        <v>07617050153</v>
      </c>
      <c r="D34" t="str">
        <f t="shared" si="3"/>
        <v>07617050153</v>
      </c>
      <c r="E34" t="s">
        <v>52</v>
      </c>
      <c r="F34">
        <v>2015</v>
      </c>
      <c r="G34" t="str">
        <f>"          2015101887"</f>
        <v xml:space="preserve">          2015101887</v>
      </c>
      <c r="H34" s="3">
        <v>42083</v>
      </c>
      <c r="I34" s="3">
        <v>42097</v>
      </c>
      <c r="J34" s="3">
        <v>42097</v>
      </c>
      <c r="K34" s="3">
        <v>42157</v>
      </c>
      <c r="L34"/>
      <c r="N34"/>
      <c r="O34" s="4">
        <v>1245</v>
      </c>
      <c r="P34">
        <v>258</v>
      </c>
      <c r="Q34" s="4">
        <v>321210</v>
      </c>
      <c r="R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3">
        <v>42562</v>
      </c>
      <c r="AC34" t="s">
        <v>53</v>
      </c>
      <c r="AD34" t="s">
        <v>53</v>
      </c>
      <c r="AK34">
        <v>0</v>
      </c>
      <c r="AU34" s="3">
        <v>42415</v>
      </c>
      <c r="AV34" s="3">
        <v>42415</v>
      </c>
      <c r="AW34" t="s">
        <v>54</v>
      </c>
      <c r="AX34" t="str">
        <f t="shared" si="1"/>
        <v>FOR</v>
      </c>
      <c r="AY34" t="s">
        <v>55</v>
      </c>
    </row>
    <row r="35" spans="1:51">
      <c r="A35">
        <v>100046</v>
      </c>
      <c r="B35" t="s">
        <v>58</v>
      </c>
      <c r="C35" t="str">
        <f t="shared" si="3"/>
        <v>07617050153</v>
      </c>
      <c r="D35" t="str">
        <f t="shared" si="3"/>
        <v>07617050153</v>
      </c>
      <c r="E35" t="s">
        <v>52</v>
      </c>
      <c r="F35">
        <v>2015</v>
      </c>
      <c r="G35" t="str">
        <f>"          2015103682"</f>
        <v xml:space="preserve">          2015103682</v>
      </c>
      <c r="H35" s="3">
        <v>42173</v>
      </c>
      <c r="I35" s="3">
        <v>42177</v>
      </c>
      <c r="J35" s="3">
        <v>42174</v>
      </c>
      <c r="K35" s="3">
        <v>42234</v>
      </c>
      <c r="L35" s="5">
        <v>1245</v>
      </c>
      <c r="M35">
        <v>293</v>
      </c>
      <c r="N35" s="5">
        <v>364785</v>
      </c>
      <c r="O35" s="4">
        <v>1245</v>
      </c>
      <c r="P35">
        <v>293</v>
      </c>
      <c r="Q35" s="4">
        <v>364785</v>
      </c>
      <c r="R35">
        <v>273.89999999999998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3">
        <v>42562</v>
      </c>
      <c r="AC35" t="s">
        <v>53</v>
      </c>
      <c r="AD35" t="s">
        <v>53</v>
      </c>
      <c r="AK35">
        <v>273.89999999999998</v>
      </c>
      <c r="AU35" s="3">
        <v>42527</v>
      </c>
      <c r="AV35" s="3">
        <v>42527</v>
      </c>
      <c r="AW35" t="s">
        <v>54</v>
      </c>
      <c r="AX35" t="str">
        <f t="shared" ref="AX35:AX66" si="4">"FOR"</f>
        <v>FOR</v>
      </c>
      <c r="AY35" t="s">
        <v>55</v>
      </c>
    </row>
    <row r="36" spans="1:51" hidden="1">
      <c r="A36">
        <v>100052</v>
      </c>
      <c r="B36" t="s">
        <v>59</v>
      </c>
      <c r="C36" t="str">
        <f t="shared" ref="C36:D40" si="5">"00922061007"</f>
        <v>00922061007</v>
      </c>
      <c r="D36" t="str">
        <f t="shared" si="5"/>
        <v>00922061007</v>
      </c>
      <c r="E36" t="s">
        <v>52</v>
      </c>
      <c r="F36">
        <v>2016</v>
      </c>
      <c r="G36" t="str">
        <f>"                0120"</f>
        <v xml:space="preserve">                0120</v>
      </c>
      <c r="H36" s="3">
        <v>42389</v>
      </c>
      <c r="I36" s="3">
        <v>42390</v>
      </c>
      <c r="J36" s="3">
        <v>42390</v>
      </c>
      <c r="K36" s="3">
        <v>42450</v>
      </c>
      <c r="L36"/>
      <c r="N36"/>
      <c r="O36" s="4">
        <v>1066</v>
      </c>
      <c r="P36">
        <v>-60</v>
      </c>
      <c r="Q36" s="4">
        <v>-63960</v>
      </c>
      <c r="R36">
        <v>0</v>
      </c>
      <c r="V36">
        <v>0</v>
      </c>
      <c r="W36">
        <v>0</v>
      </c>
      <c r="X36">
        <v>0</v>
      </c>
      <c r="Y36" s="4">
        <v>1066</v>
      </c>
      <c r="Z36" s="4">
        <v>1066</v>
      </c>
      <c r="AA36" s="4">
        <v>1066</v>
      </c>
      <c r="AB36" s="3">
        <v>42562</v>
      </c>
      <c r="AC36" t="s">
        <v>53</v>
      </c>
      <c r="AD36" t="s">
        <v>53</v>
      </c>
      <c r="AK36">
        <v>0</v>
      </c>
      <c r="AU36" s="3">
        <v>42390</v>
      </c>
      <c r="AV36" s="3">
        <v>42390</v>
      </c>
      <c r="AW36" t="s">
        <v>54</v>
      </c>
      <c r="AX36" t="str">
        <f t="shared" si="4"/>
        <v>FOR</v>
      </c>
      <c r="AY36" t="s">
        <v>55</v>
      </c>
    </row>
    <row r="37" spans="1:51" hidden="1">
      <c r="A37">
        <v>100052</v>
      </c>
      <c r="B37" t="s">
        <v>59</v>
      </c>
      <c r="C37" t="str">
        <f t="shared" si="5"/>
        <v>00922061007</v>
      </c>
      <c r="D37" t="str">
        <f t="shared" si="5"/>
        <v>00922061007</v>
      </c>
      <c r="E37" t="s">
        <v>52</v>
      </c>
      <c r="F37">
        <v>2016</v>
      </c>
      <c r="G37" t="str">
        <f>"                0222"</f>
        <v xml:space="preserve">                0222</v>
      </c>
      <c r="H37" s="3">
        <v>42422</v>
      </c>
      <c r="I37" s="3">
        <v>42422</v>
      </c>
      <c r="J37" s="3">
        <v>42422</v>
      </c>
      <c r="K37" s="3">
        <v>42482</v>
      </c>
      <c r="L37"/>
      <c r="N37"/>
      <c r="O37" s="4">
        <v>1066</v>
      </c>
      <c r="P37">
        <v>-58</v>
      </c>
      <c r="Q37" s="4">
        <v>-61828</v>
      </c>
      <c r="R37">
        <v>0</v>
      </c>
      <c r="V37">
        <v>0</v>
      </c>
      <c r="W37">
        <v>0</v>
      </c>
      <c r="X37">
        <v>0</v>
      </c>
      <c r="Y37" s="4">
        <v>1066</v>
      </c>
      <c r="Z37" s="4">
        <v>1066</v>
      </c>
      <c r="AA37" s="4">
        <v>1066</v>
      </c>
      <c r="AB37" s="3">
        <v>42562</v>
      </c>
      <c r="AC37" t="s">
        <v>53</v>
      </c>
      <c r="AD37" t="s">
        <v>53</v>
      </c>
      <c r="AK37">
        <v>0</v>
      </c>
      <c r="AU37" s="3">
        <v>42424</v>
      </c>
      <c r="AV37" s="3">
        <v>42424</v>
      </c>
      <c r="AW37" t="s">
        <v>54</v>
      </c>
      <c r="AX37" t="str">
        <f t="shared" si="4"/>
        <v>FOR</v>
      </c>
      <c r="AY37" t="s">
        <v>55</v>
      </c>
    </row>
    <row r="38" spans="1:51" hidden="1">
      <c r="A38">
        <v>100052</v>
      </c>
      <c r="B38" t="s">
        <v>59</v>
      </c>
      <c r="C38" t="str">
        <f t="shared" si="5"/>
        <v>00922061007</v>
      </c>
      <c r="D38" t="str">
        <f t="shared" si="5"/>
        <v>00922061007</v>
      </c>
      <c r="E38" t="s">
        <v>52</v>
      </c>
      <c r="F38">
        <v>2016</v>
      </c>
      <c r="G38" t="str">
        <f>"                0321"</f>
        <v xml:space="preserve">                0321</v>
      </c>
      <c r="H38" s="3">
        <v>42450</v>
      </c>
      <c r="I38" s="3">
        <v>42450</v>
      </c>
      <c r="J38" s="3">
        <v>42450</v>
      </c>
      <c r="K38" s="3">
        <v>42510</v>
      </c>
      <c r="L38"/>
      <c r="N38"/>
      <c r="O38" s="4">
        <v>1066</v>
      </c>
      <c r="P38">
        <v>-57</v>
      </c>
      <c r="Q38" s="4">
        <v>-60762</v>
      </c>
      <c r="R38">
        <v>0</v>
      </c>
      <c r="V38">
        <v>0</v>
      </c>
      <c r="W38">
        <v>0</v>
      </c>
      <c r="X38">
        <v>0</v>
      </c>
      <c r="Y38" s="4">
        <v>1066</v>
      </c>
      <c r="Z38" s="4">
        <v>1066</v>
      </c>
      <c r="AA38" s="4">
        <v>1066</v>
      </c>
      <c r="AB38" s="3">
        <v>42562</v>
      </c>
      <c r="AC38" t="s">
        <v>53</v>
      </c>
      <c r="AD38" t="s">
        <v>53</v>
      </c>
      <c r="AK38">
        <v>0</v>
      </c>
      <c r="AU38" s="3">
        <v>42453</v>
      </c>
      <c r="AV38" s="3">
        <v>42453</v>
      </c>
      <c r="AW38" t="s">
        <v>54</v>
      </c>
      <c r="AX38" t="str">
        <f t="shared" si="4"/>
        <v>FOR</v>
      </c>
      <c r="AY38" t="s">
        <v>55</v>
      </c>
    </row>
    <row r="39" spans="1:51" hidden="1">
      <c r="A39">
        <v>100052</v>
      </c>
      <c r="B39" t="s">
        <v>59</v>
      </c>
      <c r="C39" t="str">
        <f t="shared" si="5"/>
        <v>00922061007</v>
      </c>
      <c r="D39" t="str">
        <f t="shared" si="5"/>
        <v>00922061007</v>
      </c>
      <c r="E39" t="s">
        <v>52</v>
      </c>
      <c r="F39">
        <v>2016</v>
      </c>
      <c r="G39" t="str">
        <f>"                0421"</f>
        <v xml:space="preserve">                0421</v>
      </c>
      <c r="H39" s="3">
        <v>42481</v>
      </c>
      <c r="I39" s="3">
        <v>42481</v>
      </c>
      <c r="J39" s="3">
        <v>42481</v>
      </c>
      <c r="K39" s="3">
        <v>42541</v>
      </c>
      <c r="L39">
        <v>780</v>
      </c>
      <c r="M39">
        <v>-60</v>
      </c>
      <c r="N39" s="4">
        <v>-46800</v>
      </c>
      <c r="O39">
        <v>780</v>
      </c>
      <c r="P39">
        <v>-60</v>
      </c>
      <c r="Q39" s="4">
        <v>-46800</v>
      </c>
      <c r="R39">
        <v>0</v>
      </c>
      <c r="V39">
        <v>780</v>
      </c>
      <c r="W39">
        <v>780</v>
      </c>
      <c r="X39">
        <v>780</v>
      </c>
      <c r="Y39">
        <v>780</v>
      </c>
      <c r="Z39">
        <v>780</v>
      </c>
      <c r="AA39">
        <v>780</v>
      </c>
      <c r="AB39" s="3">
        <v>42562</v>
      </c>
      <c r="AC39" t="s">
        <v>53</v>
      </c>
      <c r="AD39" t="s">
        <v>53</v>
      </c>
      <c r="AK39">
        <v>0</v>
      </c>
      <c r="AU39" s="3">
        <v>42481</v>
      </c>
      <c r="AV39" s="3">
        <v>42481</v>
      </c>
      <c r="AW39" t="s">
        <v>54</v>
      </c>
      <c r="AX39" t="str">
        <f t="shared" si="4"/>
        <v>FOR</v>
      </c>
      <c r="AY39" t="s">
        <v>55</v>
      </c>
    </row>
    <row r="40" spans="1:51" hidden="1">
      <c r="A40">
        <v>100052</v>
      </c>
      <c r="B40" t="s">
        <v>59</v>
      </c>
      <c r="C40" t="str">
        <f t="shared" si="5"/>
        <v>00922061007</v>
      </c>
      <c r="D40" t="str">
        <f t="shared" si="5"/>
        <v>00922061007</v>
      </c>
      <c r="E40" t="s">
        <v>52</v>
      </c>
      <c r="F40">
        <v>2016</v>
      </c>
      <c r="G40" t="str">
        <f>"                0518"</f>
        <v xml:space="preserve">                0518</v>
      </c>
      <c r="H40" s="3">
        <v>42508</v>
      </c>
      <c r="I40" s="3">
        <v>42510</v>
      </c>
      <c r="J40" s="3">
        <v>42510</v>
      </c>
      <c r="K40" s="3">
        <v>42570</v>
      </c>
      <c r="L40">
        <v>780</v>
      </c>
      <c r="M40">
        <v>-57</v>
      </c>
      <c r="N40" s="4">
        <v>-44460</v>
      </c>
      <c r="O40">
        <v>780</v>
      </c>
      <c r="P40">
        <v>-57</v>
      </c>
      <c r="Q40" s="4">
        <v>-44460</v>
      </c>
      <c r="R40">
        <v>0</v>
      </c>
      <c r="V40">
        <v>780</v>
      </c>
      <c r="W40">
        <v>780</v>
      </c>
      <c r="X40">
        <v>780</v>
      </c>
      <c r="Y40">
        <v>780</v>
      </c>
      <c r="Z40">
        <v>780</v>
      </c>
      <c r="AA40">
        <v>780</v>
      </c>
      <c r="AB40" s="3">
        <v>42562</v>
      </c>
      <c r="AC40" t="s">
        <v>53</v>
      </c>
      <c r="AD40" t="s">
        <v>53</v>
      </c>
      <c r="AK40">
        <v>0</v>
      </c>
      <c r="AU40" s="3">
        <v>42513</v>
      </c>
      <c r="AV40" s="3">
        <v>42513</v>
      </c>
      <c r="AW40" t="s">
        <v>54</v>
      </c>
      <c r="AX40" t="str">
        <f t="shared" si="4"/>
        <v>FOR</v>
      </c>
      <c r="AY40" t="s">
        <v>55</v>
      </c>
    </row>
    <row r="41" spans="1:51" hidden="1">
      <c r="A41">
        <v>100053</v>
      </c>
      <c r="B41" t="s">
        <v>60</v>
      </c>
      <c r="C41" t="str">
        <f t="shared" ref="C41:D49" si="6">"07435060152"</f>
        <v>07435060152</v>
      </c>
      <c r="D41" t="str">
        <f t="shared" si="6"/>
        <v>07435060152</v>
      </c>
      <c r="E41" t="s">
        <v>52</v>
      </c>
      <c r="F41">
        <v>2015</v>
      </c>
      <c r="G41" t="str">
        <f>"            35008406"</f>
        <v xml:space="preserve">            35008406</v>
      </c>
      <c r="H41" s="3">
        <v>42046</v>
      </c>
      <c r="I41" s="3">
        <v>42067</v>
      </c>
      <c r="J41" s="3">
        <v>42067</v>
      </c>
      <c r="K41" s="3">
        <v>42127</v>
      </c>
      <c r="L41"/>
      <c r="N41"/>
      <c r="O41">
        <v>636</v>
      </c>
      <c r="P41">
        <v>277</v>
      </c>
      <c r="Q41" s="4">
        <v>176172</v>
      </c>
      <c r="R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3">
        <v>42562</v>
      </c>
      <c r="AC41" t="s">
        <v>53</v>
      </c>
      <c r="AD41" t="s">
        <v>53</v>
      </c>
      <c r="AK41">
        <v>0</v>
      </c>
      <c r="AU41" s="3">
        <v>42404</v>
      </c>
      <c r="AV41" s="3">
        <v>42404</v>
      </c>
      <c r="AW41" t="s">
        <v>54</v>
      </c>
      <c r="AX41" t="str">
        <f t="shared" si="4"/>
        <v>FOR</v>
      </c>
      <c r="AY41" t="s">
        <v>55</v>
      </c>
    </row>
    <row r="42" spans="1:51" hidden="1">
      <c r="A42">
        <v>100053</v>
      </c>
      <c r="B42" t="s">
        <v>60</v>
      </c>
      <c r="C42" t="str">
        <f t="shared" si="6"/>
        <v>07435060152</v>
      </c>
      <c r="D42" t="str">
        <f t="shared" si="6"/>
        <v>07435060152</v>
      </c>
      <c r="E42" t="s">
        <v>52</v>
      </c>
      <c r="F42">
        <v>2015</v>
      </c>
      <c r="G42" t="str">
        <f>"         9R/35025025"</f>
        <v xml:space="preserve">         9R/35025025</v>
      </c>
      <c r="H42" s="3">
        <v>42117</v>
      </c>
      <c r="I42" s="3">
        <v>42172</v>
      </c>
      <c r="J42" s="3">
        <v>42171</v>
      </c>
      <c r="K42" s="3">
        <v>42231</v>
      </c>
      <c r="L42"/>
      <c r="N42"/>
      <c r="O42">
        <v>318</v>
      </c>
      <c r="P42">
        <v>199</v>
      </c>
      <c r="Q42" s="4">
        <v>63282</v>
      </c>
      <c r="R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3">
        <v>42562</v>
      </c>
      <c r="AC42" t="s">
        <v>53</v>
      </c>
      <c r="AD42" t="s">
        <v>53</v>
      </c>
      <c r="AK42">
        <v>0</v>
      </c>
      <c r="AU42" s="3">
        <v>42430</v>
      </c>
      <c r="AV42" s="3">
        <v>42430</v>
      </c>
      <c r="AW42" t="s">
        <v>54</v>
      </c>
      <c r="AX42" t="str">
        <f t="shared" si="4"/>
        <v>FOR</v>
      </c>
      <c r="AY42" t="s">
        <v>55</v>
      </c>
    </row>
    <row r="43" spans="1:51" hidden="1">
      <c r="A43">
        <v>100053</v>
      </c>
      <c r="B43" t="s">
        <v>60</v>
      </c>
      <c r="C43" t="str">
        <f t="shared" si="6"/>
        <v>07435060152</v>
      </c>
      <c r="D43" t="str">
        <f t="shared" si="6"/>
        <v>07435060152</v>
      </c>
      <c r="E43" t="s">
        <v>52</v>
      </c>
      <c r="F43">
        <v>2015</v>
      </c>
      <c r="G43" t="str">
        <f>"         9R/35025026"</f>
        <v xml:space="preserve">         9R/35025026</v>
      </c>
      <c r="H43" s="3">
        <v>42117</v>
      </c>
      <c r="I43" s="3">
        <v>42172</v>
      </c>
      <c r="J43" s="3">
        <v>42171</v>
      </c>
      <c r="K43" s="3">
        <v>42231</v>
      </c>
      <c r="L43"/>
      <c r="N43"/>
      <c r="O43">
        <v>550</v>
      </c>
      <c r="P43">
        <v>199</v>
      </c>
      <c r="Q43" s="4">
        <v>109450</v>
      </c>
      <c r="R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3">
        <v>42562</v>
      </c>
      <c r="AC43" t="s">
        <v>53</v>
      </c>
      <c r="AD43" t="s">
        <v>53</v>
      </c>
      <c r="AK43">
        <v>0</v>
      </c>
      <c r="AU43" s="3">
        <v>42430</v>
      </c>
      <c r="AV43" s="3">
        <v>42430</v>
      </c>
      <c r="AW43" t="s">
        <v>54</v>
      </c>
      <c r="AX43" t="str">
        <f t="shared" si="4"/>
        <v>FOR</v>
      </c>
      <c r="AY43" t="s">
        <v>55</v>
      </c>
    </row>
    <row r="44" spans="1:51" hidden="1">
      <c r="A44">
        <v>100053</v>
      </c>
      <c r="B44" t="s">
        <v>60</v>
      </c>
      <c r="C44" t="str">
        <f t="shared" si="6"/>
        <v>07435060152</v>
      </c>
      <c r="D44" t="str">
        <f t="shared" si="6"/>
        <v>07435060152</v>
      </c>
      <c r="E44" t="s">
        <v>52</v>
      </c>
      <c r="F44">
        <v>2015</v>
      </c>
      <c r="G44" t="str">
        <f>"         9R/35031036"</f>
        <v xml:space="preserve">         9R/35031036</v>
      </c>
      <c r="H44" s="3">
        <v>42143</v>
      </c>
      <c r="I44" s="3">
        <v>42171</v>
      </c>
      <c r="J44" s="3">
        <v>42170</v>
      </c>
      <c r="K44" s="3">
        <v>42230</v>
      </c>
      <c r="L44"/>
      <c r="N44"/>
      <c r="O44">
        <v>624</v>
      </c>
      <c r="P44">
        <v>222</v>
      </c>
      <c r="Q44" s="4">
        <v>138528</v>
      </c>
      <c r="R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 s="3">
        <v>42562</v>
      </c>
      <c r="AC44" t="s">
        <v>53</v>
      </c>
      <c r="AD44" t="s">
        <v>53</v>
      </c>
      <c r="AK44">
        <v>0</v>
      </c>
      <c r="AU44" s="3">
        <v>42452</v>
      </c>
      <c r="AV44" s="3">
        <v>42452</v>
      </c>
      <c r="AW44" t="s">
        <v>54</v>
      </c>
      <c r="AX44" t="str">
        <f t="shared" si="4"/>
        <v>FOR</v>
      </c>
      <c r="AY44" t="s">
        <v>55</v>
      </c>
    </row>
    <row r="45" spans="1:51" hidden="1">
      <c r="A45">
        <v>100053</v>
      </c>
      <c r="B45" t="s">
        <v>60</v>
      </c>
      <c r="C45" t="str">
        <f t="shared" si="6"/>
        <v>07435060152</v>
      </c>
      <c r="D45" t="str">
        <f t="shared" si="6"/>
        <v>07435060152</v>
      </c>
      <c r="E45" t="s">
        <v>52</v>
      </c>
      <c r="F45">
        <v>2015</v>
      </c>
      <c r="G45" t="str">
        <f>"         9R/35031335"</f>
        <v xml:space="preserve">         9R/35031335</v>
      </c>
      <c r="H45" s="3">
        <v>42144</v>
      </c>
      <c r="I45" s="3">
        <v>42171</v>
      </c>
      <c r="J45" s="3">
        <v>42170</v>
      </c>
      <c r="K45" s="3">
        <v>42230</v>
      </c>
      <c r="L45"/>
      <c r="N45"/>
      <c r="O45">
        <v>636</v>
      </c>
      <c r="P45">
        <v>222</v>
      </c>
      <c r="Q45" s="4">
        <v>141192</v>
      </c>
      <c r="R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 s="3">
        <v>42562</v>
      </c>
      <c r="AC45" t="s">
        <v>53</v>
      </c>
      <c r="AD45" t="s">
        <v>53</v>
      </c>
      <c r="AK45">
        <v>0</v>
      </c>
      <c r="AU45" s="3">
        <v>42452</v>
      </c>
      <c r="AV45" s="3">
        <v>42452</v>
      </c>
      <c r="AW45" t="s">
        <v>54</v>
      </c>
      <c r="AX45" t="str">
        <f t="shared" si="4"/>
        <v>FOR</v>
      </c>
      <c r="AY45" t="s">
        <v>55</v>
      </c>
    </row>
    <row r="46" spans="1:51" hidden="1">
      <c r="A46">
        <v>100053</v>
      </c>
      <c r="B46" t="s">
        <v>60</v>
      </c>
      <c r="C46" t="str">
        <f t="shared" si="6"/>
        <v>07435060152</v>
      </c>
      <c r="D46" t="str">
        <f t="shared" si="6"/>
        <v>07435060152</v>
      </c>
      <c r="E46" t="s">
        <v>52</v>
      </c>
      <c r="F46">
        <v>2015</v>
      </c>
      <c r="G46" t="str">
        <f>"         9R/35031336"</f>
        <v xml:space="preserve">         9R/35031336</v>
      </c>
      <c r="H46" s="3">
        <v>42144</v>
      </c>
      <c r="I46" s="3">
        <v>42171</v>
      </c>
      <c r="J46" s="3">
        <v>42170</v>
      </c>
      <c r="K46" s="3">
        <v>42230</v>
      </c>
      <c r="L46"/>
      <c r="N46"/>
      <c r="O46">
        <v>550</v>
      </c>
      <c r="P46">
        <v>222</v>
      </c>
      <c r="Q46" s="4">
        <v>122100</v>
      </c>
      <c r="R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 s="3">
        <v>42562</v>
      </c>
      <c r="AC46" t="s">
        <v>53</v>
      </c>
      <c r="AD46" t="s">
        <v>53</v>
      </c>
      <c r="AK46">
        <v>0</v>
      </c>
      <c r="AU46" s="3">
        <v>42452</v>
      </c>
      <c r="AV46" s="3">
        <v>42452</v>
      </c>
      <c r="AW46" t="s">
        <v>54</v>
      </c>
      <c r="AX46" t="str">
        <f t="shared" si="4"/>
        <v>FOR</v>
      </c>
      <c r="AY46" t="s">
        <v>55</v>
      </c>
    </row>
    <row r="47" spans="1:51" hidden="1">
      <c r="A47">
        <v>100053</v>
      </c>
      <c r="B47" t="s">
        <v>60</v>
      </c>
      <c r="C47" t="str">
        <f t="shared" si="6"/>
        <v>07435060152</v>
      </c>
      <c r="D47" t="str">
        <f t="shared" si="6"/>
        <v>07435060152</v>
      </c>
      <c r="E47" t="s">
        <v>52</v>
      </c>
      <c r="F47">
        <v>2015</v>
      </c>
      <c r="G47" t="str">
        <f>"         9R/35033201"</f>
        <v xml:space="preserve">         9R/35033201</v>
      </c>
      <c r="H47" s="3">
        <v>42152</v>
      </c>
      <c r="I47" s="3">
        <v>42171</v>
      </c>
      <c r="J47" s="3">
        <v>42170</v>
      </c>
      <c r="K47" s="3">
        <v>42230</v>
      </c>
      <c r="L47"/>
      <c r="N47"/>
      <c r="O47" s="4">
        <v>3100</v>
      </c>
      <c r="P47">
        <v>222</v>
      </c>
      <c r="Q47" s="4">
        <v>688200</v>
      </c>
      <c r="R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 s="3">
        <v>42562</v>
      </c>
      <c r="AC47" t="s">
        <v>53</v>
      </c>
      <c r="AD47" t="s">
        <v>53</v>
      </c>
      <c r="AK47">
        <v>0</v>
      </c>
      <c r="AU47" s="3">
        <v>42452</v>
      </c>
      <c r="AV47" s="3">
        <v>42452</v>
      </c>
      <c r="AW47" t="s">
        <v>54</v>
      </c>
      <c r="AX47" t="str">
        <f t="shared" si="4"/>
        <v>FOR</v>
      </c>
      <c r="AY47" t="s">
        <v>55</v>
      </c>
    </row>
    <row r="48" spans="1:51">
      <c r="A48">
        <v>100053</v>
      </c>
      <c r="B48" t="s">
        <v>60</v>
      </c>
      <c r="C48" t="str">
        <f t="shared" si="6"/>
        <v>07435060152</v>
      </c>
      <c r="D48" t="str">
        <f t="shared" si="6"/>
        <v>07435060152</v>
      </c>
      <c r="E48" t="s">
        <v>52</v>
      </c>
      <c r="F48">
        <v>2015</v>
      </c>
      <c r="G48" t="str">
        <f>"         9R/35034414"</f>
        <v xml:space="preserve">         9R/35034414</v>
      </c>
      <c r="H48" s="3">
        <v>42159</v>
      </c>
      <c r="I48" s="3">
        <v>42215</v>
      </c>
      <c r="J48" s="3">
        <v>42213</v>
      </c>
      <c r="K48" s="3">
        <v>42273</v>
      </c>
      <c r="L48" s="1">
        <v>636</v>
      </c>
      <c r="M48">
        <v>247</v>
      </c>
      <c r="N48" s="5">
        <v>157092</v>
      </c>
      <c r="O48">
        <v>636</v>
      </c>
      <c r="P48">
        <v>247</v>
      </c>
      <c r="Q48" s="4">
        <v>157092</v>
      </c>
      <c r="R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 s="3">
        <v>42562</v>
      </c>
      <c r="AC48" t="s">
        <v>53</v>
      </c>
      <c r="AD48" t="s">
        <v>53</v>
      </c>
      <c r="AK48">
        <v>0</v>
      </c>
      <c r="AU48" s="3">
        <v>42520</v>
      </c>
      <c r="AV48" s="3">
        <v>42520</v>
      </c>
      <c r="AW48" t="s">
        <v>54</v>
      </c>
      <c r="AX48" t="str">
        <f t="shared" si="4"/>
        <v>FOR</v>
      </c>
      <c r="AY48" t="s">
        <v>55</v>
      </c>
    </row>
    <row r="49" spans="1:51">
      <c r="A49">
        <v>100053</v>
      </c>
      <c r="B49" t="s">
        <v>60</v>
      </c>
      <c r="C49" t="str">
        <f t="shared" si="6"/>
        <v>07435060152</v>
      </c>
      <c r="D49" t="str">
        <f t="shared" si="6"/>
        <v>07435060152</v>
      </c>
      <c r="E49" t="s">
        <v>52</v>
      </c>
      <c r="F49">
        <v>2015</v>
      </c>
      <c r="G49" t="str">
        <f>"         9R/35034415"</f>
        <v xml:space="preserve">         9R/35034415</v>
      </c>
      <c r="H49" s="3">
        <v>42159</v>
      </c>
      <c r="I49" s="3">
        <v>42215</v>
      </c>
      <c r="J49" s="3">
        <v>42213</v>
      </c>
      <c r="K49" s="3">
        <v>42273</v>
      </c>
      <c r="L49" s="1">
        <v>550</v>
      </c>
      <c r="M49">
        <v>247</v>
      </c>
      <c r="N49" s="5">
        <v>135850</v>
      </c>
      <c r="O49">
        <v>550</v>
      </c>
      <c r="P49">
        <v>247</v>
      </c>
      <c r="Q49" s="4">
        <v>135850</v>
      </c>
      <c r="R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 s="3">
        <v>42562</v>
      </c>
      <c r="AC49" t="s">
        <v>53</v>
      </c>
      <c r="AD49" t="s">
        <v>53</v>
      </c>
      <c r="AK49">
        <v>0</v>
      </c>
      <c r="AU49" s="3">
        <v>42520</v>
      </c>
      <c r="AV49" s="3">
        <v>42520</v>
      </c>
      <c r="AW49" t="s">
        <v>54</v>
      </c>
      <c r="AX49" t="str">
        <f t="shared" si="4"/>
        <v>FOR</v>
      </c>
      <c r="AY49" t="s">
        <v>55</v>
      </c>
    </row>
    <row r="50" spans="1:51" hidden="1">
      <c r="A50">
        <v>100057</v>
      </c>
      <c r="B50" t="s">
        <v>61</v>
      </c>
      <c r="C50" t="str">
        <f t="shared" ref="C50:D53" si="7">"00227010139"</f>
        <v>00227010139</v>
      </c>
      <c r="D50" t="str">
        <f t="shared" si="7"/>
        <v>00227010139</v>
      </c>
      <c r="E50" t="s">
        <v>52</v>
      </c>
      <c r="F50">
        <v>2015</v>
      </c>
      <c r="G50" t="str">
        <f>"          5541101771"</f>
        <v xml:space="preserve">          5541101771</v>
      </c>
      <c r="H50" s="3">
        <v>42054</v>
      </c>
      <c r="I50" s="3">
        <v>42069</v>
      </c>
      <c r="J50" s="3">
        <v>42069</v>
      </c>
      <c r="K50" s="3">
        <v>42129</v>
      </c>
      <c r="L50"/>
      <c r="N50"/>
      <c r="O50" s="4">
        <v>1316</v>
      </c>
      <c r="P50">
        <v>279</v>
      </c>
      <c r="Q50" s="4">
        <v>367164</v>
      </c>
      <c r="R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 s="3">
        <v>42562</v>
      </c>
      <c r="AC50" t="s">
        <v>53</v>
      </c>
      <c r="AD50" t="s">
        <v>53</v>
      </c>
      <c r="AK50">
        <v>0</v>
      </c>
      <c r="AU50" s="3">
        <v>42408</v>
      </c>
      <c r="AV50" s="3">
        <v>42408</v>
      </c>
      <c r="AW50" t="s">
        <v>54</v>
      </c>
      <c r="AX50" t="str">
        <f t="shared" si="4"/>
        <v>FOR</v>
      </c>
      <c r="AY50" t="s">
        <v>55</v>
      </c>
    </row>
    <row r="51" spans="1:51" hidden="1">
      <c r="A51">
        <v>100057</v>
      </c>
      <c r="B51" t="s">
        <v>61</v>
      </c>
      <c r="C51" t="str">
        <f t="shared" si="7"/>
        <v>00227010139</v>
      </c>
      <c r="D51" t="str">
        <f t="shared" si="7"/>
        <v>00227010139</v>
      </c>
      <c r="E51" t="s">
        <v>52</v>
      </c>
      <c r="F51">
        <v>2015</v>
      </c>
      <c r="G51" t="str">
        <f>"          5541102990"</f>
        <v xml:space="preserve">          5541102990</v>
      </c>
      <c r="H51" s="3">
        <v>42079</v>
      </c>
      <c r="I51" s="3">
        <v>42102</v>
      </c>
      <c r="J51" s="3">
        <v>42102</v>
      </c>
      <c r="K51" s="3">
        <v>42162</v>
      </c>
      <c r="L51"/>
      <c r="N51"/>
      <c r="O51">
        <v>766</v>
      </c>
      <c r="P51">
        <v>253</v>
      </c>
      <c r="Q51" s="4">
        <v>193798</v>
      </c>
      <c r="R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 s="3">
        <v>42562</v>
      </c>
      <c r="AC51" t="s">
        <v>53</v>
      </c>
      <c r="AD51" t="s">
        <v>53</v>
      </c>
      <c r="AK51">
        <v>0</v>
      </c>
      <c r="AU51" s="3">
        <v>42415</v>
      </c>
      <c r="AV51" s="3">
        <v>42415</v>
      </c>
      <c r="AW51" t="s">
        <v>54</v>
      </c>
      <c r="AX51" t="str">
        <f t="shared" si="4"/>
        <v>FOR</v>
      </c>
      <c r="AY51" t="s">
        <v>55</v>
      </c>
    </row>
    <row r="52" spans="1:51" hidden="1">
      <c r="A52">
        <v>100057</v>
      </c>
      <c r="B52" t="s">
        <v>61</v>
      </c>
      <c r="C52" t="str">
        <f t="shared" si="7"/>
        <v>00227010139</v>
      </c>
      <c r="D52" t="str">
        <f t="shared" si="7"/>
        <v>00227010139</v>
      </c>
      <c r="E52" t="s">
        <v>52</v>
      </c>
      <c r="F52">
        <v>2015</v>
      </c>
      <c r="G52" t="str">
        <f>"          5547000867"</f>
        <v xml:space="preserve">          5547000867</v>
      </c>
      <c r="H52" s="3">
        <v>42110</v>
      </c>
      <c r="I52" s="3">
        <v>42160</v>
      </c>
      <c r="J52" s="3">
        <v>42152</v>
      </c>
      <c r="K52" s="3">
        <v>42212</v>
      </c>
      <c r="L52"/>
      <c r="N52"/>
      <c r="O52" s="4">
        <v>1100</v>
      </c>
      <c r="P52">
        <v>203</v>
      </c>
      <c r="Q52" s="4">
        <v>223300</v>
      </c>
      <c r="R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 s="3">
        <v>42562</v>
      </c>
      <c r="AC52" t="s">
        <v>53</v>
      </c>
      <c r="AD52" t="s">
        <v>53</v>
      </c>
      <c r="AK52">
        <v>0</v>
      </c>
      <c r="AU52" s="3">
        <v>42415</v>
      </c>
      <c r="AV52" s="3">
        <v>42415</v>
      </c>
      <c r="AW52" t="s">
        <v>54</v>
      </c>
      <c r="AX52" t="str">
        <f t="shared" si="4"/>
        <v>FOR</v>
      </c>
      <c r="AY52" t="s">
        <v>55</v>
      </c>
    </row>
    <row r="53" spans="1:51" hidden="1">
      <c r="A53">
        <v>100057</v>
      </c>
      <c r="B53" t="s">
        <v>61</v>
      </c>
      <c r="C53" t="str">
        <f t="shared" si="7"/>
        <v>00227010139</v>
      </c>
      <c r="D53" t="str">
        <f t="shared" si="7"/>
        <v>00227010139</v>
      </c>
      <c r="E53" t="s">
        <v>52</v>
      </c>
      <c r="F53">
        <v>2015</v>
      </c>
      <c r="G53" t="str">
        <f>"          5547002777"</f>
        <v xml:space="preserve">          5547002777</v>
      </c>
      <c r="H53" s="3">
        <v>42149</v>
      </c>
      <c r="I53" s="3">
        <v>42160</v>
      </c>
      <c r="J53" s="3">
        <v>42149</v>
      </c>
      <c r="K53" s="3">
        <v>42209</v>
      </c>
      <c r="L53"/>
      <c r="N53"/>
      <c r="O53">
        <v>880</v>
      </c>
      <c r="P53">
        <v>243</v>
      </c>
      <c r="Q53" s="4">
        <v>213840</v>
      </c>
      <c r="R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 s="3">
        <v>42562</v>
      </c>
      <c r="AC53" t="s">
        <v>53</v>
      </c>
      <c r="AD53" t="s">
        <v>53</v>
      </c>
      <c r="AK53">
        <v>0</v>
      </c>
      <c r="AU53" s="3">
        <v>42452</v>
      </c>
      <c r="AV53" s="3">
        <v>42452</v>
      </c>
      <c r="AW53" t="s">
        <v>54</v>
      </c>
      <c r="AX53" t="str">
        <f t="shared" si="4"/>
        <v>FOR</v>
      </c>
      <c r="AY53" t="s">
        <v>55</v>
      </c>
    </row>
    <row r="54" spans="1:51" hidden="1">
      <c r="A54">
        <v>100059</v>
      </c>
      <c r="B54" t="s">
        <v>62</v>
      </c>
      <c r="C54" t="str">
        <f t="shared" ref="C54:D73" si="8">"05849130157"</f>
        <v>05849130157</v>
      </c>
      <c r="D54" t="str">
        <f t="shared" si="8"/>
        <v>05849130157</v>
      </c>
      <c r="E54" t="s">
        <v>52</v>
      </c>
      <c r="F54">
        <v>2015</v>
      </c>
      <c r="G54" t="str">
        <f>"          8515025074"</f>
        <v xml:space="preserve">          8515025074</v>
      </c>
      <c r="H54" s="3">
        <v>42045</v>
      </c>
      <c r="I54" s="3">
        <v>42053</v>
      </c>
      <c r="J54" s="3">
        <v>42053</v>
      </c>
      <c r="K54" s="3">
        <v>42113</v>
      </c>
      <c r="L54"/>
      <c r="N54"/>
      <c r="O54" s="4">
        <v>2985</v>
      </c>
      <c r="P54">
        <v>295</v>
      </c>
      <c r="Q54" s="4">
        <v>880575</v>
      </c>
      <c r="R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 s="3">
        <v>42562</v>
      </c>
      <c r="AC54" t="s">
        <v>53</v>
      </c>
      <c r="AD54" t="s">
        <v>53</v>
      </c>
      <c r="AK54">
        <v>0</v>
      </c>
      <c r="AU54" s="3">
        <v>42408</v>
      </c>
      <c r="AV54" s="3">
        <v>42408</v>
      </c>
      <c r="AW54" t="s">
        <v>54</v>
      </c>
      <c r="AX54" t="str">
        <f t="shared" si="4"/>
        <v>FOR</v>
      </c>
      <c r="AY54" t="s">
        <v>55</v>
      </c>
    </row>
    <row r="55" spans="1:51" hidden="1">
      <c r="A55">
        <v>100059</v>
      </c>
      <c r="B55" t="s">
        <v>62</v>
      </c>
      <c r="C55" t="str">
        <f t="shared" si="8"/>
        <v>05849130157</v>
      </c>
      <c r="D55" t="str">
        <f t="shared" si="8"/>
        <v>05849130157</v>
      </c>
      <c r="E55" t="s">
        <v>52</v>
      </c>
      <c r="F55">
        <v>2015</v>
      </c>
      <c r="G55" t="str">
        <f>"          8515036254"</f>
        <v xml:space="preserve">          8515036254</v>
      </c>
      <c r="H55" s="3">
        <v>42058</v>
      </c>
      <c r="I55" s="3">
        <v>42067</v>
      </c>
      <c r="J55" s="3">
        <v>42067</v>
      </c>
      <c r="K55" s="3">
        <v>42127</v>
      </c>
      <c r="L55"/>
      <c r="N55"/>
      <c r="O55">
        <v>546.4</v>
      </c>
      <c r="P55">
        <v>281</v>
      </c>
      <c r="Q55" s="4">
        <v>153538.4</v>
      </c>
      <c r="R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 s="3">
        <v>42562</v>
      </c>
      <c r="AC55" t="s">
        <v>53</v>
      </c>
      <c r="AD55" t="s">
        <v>53</v>
      </c>
      <c r="AK55">
        <v>0</v>
      </c>
      <c r="AU55" s="3">
        <v>42408</v>
      </c>
      <c r="AV55" s="3">
        <v>42408</v>
      </c>
      <c r="AW55" t="s">
        <v>54</v>
      </c>
      <c r="AX55" t="str">
        <f t="shared" si="4"/>
        <v>FOR</v>
      </c>
      <c r="AY55" t="s">
        <v>55</v>
      </c>
    </row>
    <row r="56" spans="1:51" hidden="1">
      <c r="A56">
        <v>100059</v>
      </c>
      <c r="B56" t="s">
        <v>62</v>
      </c>
      <c r="C56" t="str">
        <f t="shared" si="8"/>
        <v>05849130157</v>
      </c>
      <c r="D56" t="str">
        <f t="shared" si="8"/>
        <v>05849130157</v>
      </c>
      <c r="E56" t="s">
        <v>52</v>
      </c>
      <c r="F56">
        <v>2015</v>
      </c>
      <c r="G56" t="str">
        <f>"          8515050517"</f>
        <v xml:space="preserve">          8515050517</v>
      </c>
      <c r="H56" s="3">
        <v>42073</v>
      </c>
      <c r="I56" s="3">
        <v>42087</v>
      </c>
      <c r="J56" s="3">
        <v>42087</v>
      </c>
      <c r="K56" s="3">
        <v>42147</v>
      </c>
      <c r="L56"/>
      <c r="N56"/>
      <c r="O56">
        <v>546.4</v>
      </c>
      <c r="P56">
        <v>261</v>
      </c>
      <c r="Q56" s="4">
        <v>142610.4</v>
      </c>
      <c r="R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 s="3">
        <v>42562</v>
      </c>
      <c r="AC56" t="s">
        <v>53</v>
      </c>
      <c r="AD56" t="s">
        <v>53</v>
      </c>
      <c r="AK56">
        <v>0</v>
      </c>
      <c r="AU56" s="3">
        <v>42408</v>
      </c>
      <c r="AV56" s="3">
        <v>42408</v>
      </c>
      <c r="AW56" t="s">
        <v>54</v>
      </c>
      <c r="AX56" t="str">
        <f t="shared" si="4"/>
        <v>FOR</v>
      </c>
      <c r="AY56" t="s">
        <v>55</v>
      </c>
    </row>
    <row r="57" spans="1:51" hidden="1">
      <c r="A57">
        <v>100059</v>
      </c>
      <c r="B57" t="s">
        <v>62</v>
      </c>
      <c r="C57" t="str">
        <f t="shared" si="8"/>
        <v>05849130157</v>
      </c>
      <c r="D57" t="str">
        <f t="shared" si="8"/>
        <v>05849130157</v>
      </c>
      <c r="E57" t="s">
        <v>52</v>
      </c>
      <c r="F57">
        <v>2015</v>
      </c>
      <c r="G57" t="str">
        <f>"          8515056853"</f>
        <v xml:space="preserve">          8515056853</v>
      </c>
      <c r="H57" s="3">
        <v>42080</v>
      </c>
      <c r="I57" s="3">
        <v>42087</v>
      </c>
      <c r="J57" s="3">
        <v>42087</v>
      </c>
      <c r="K57" s="3">
        <v>42147</v>
      </c>
      <c r="L57"/>
      <c r="N57"/>
      <c r="O57">
        <v>450</v>
      </c>
      <c r="P57">
        <v>261</v>
      </c>
      <c r="Q57" s="4">
        <v>117450</v>
      </c>
      <c r="R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 s="3">
        <v>42562</v>
      </c>
      <c r="AC57" t="s">
        <v>53</v>
      </c>
      <c r="AD57" t="s">
        <v>53</v>
      </c>
      <c r="AK57">
        <v>0</v>
      </c>
      <c r="AU57" s="3">
        <v>42408</v>
      </c>
      <c r="AV57" s="3">
        <v>42408</v>
      </c>
      <c r="AW57" t="s">
        <v>54</v>
      </c>
      <c r="AX57" t="str">
        <f t="shared" si="4"/>
        <v>FOR</v>
      </c>
      <c r="AY57" t="s">
        <v>55</v>
      </c>
    </row>
    <row r="58" spans="1:51" hidden="1">
      <c r="A58">
        <v>100059</v>
      </c>
      <c r="B58" t="s">
        <v>62</v>
      </c>
      <c r="C58" t="str">
        <f t="shared" si="8"/>
        <v>05849130157</v>
      </c>
      <c r="D58" t="str">
        <f t="shared" si="8"/>
        <v>05849130157</v>
      </c>
      <c r="E58" t="s">
        <v>52</v>
      </c>
      <c r="F58">
        <v>2015</v>
      </c>
      <c r="G58" t="str">
        <f>"          8515057334"</f>
        <v xml:space="preserve">          8515057334</v>
      </c>
      <c r="H58" s="3">
        <v>42081</v>
      </c>
      <c r="I58" s="3">
        <v>42087</v>
      </c>
      <c r="J58" s="3">
        <v>42087</v>
      </c>
      <c r="K58" s="3">
        <v>42147</v>
      </c>
      <c r="L58"/>
      <c r="N58"/>
      <c r="O58" s="4">
        <v>2542.5</v>
      </c>
      <c r="P58">
        <v>261</v>
      </c>
      <c r="Q58" s="4">
        <v>663592.5</v>
      </c>
      <c r="R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 s="3">
        <v>42562</v>
      </c>
      <c r="AC58" t="s">
        <v>53</v>
      </c>
      <c r="AD58" t="s">
        <v>53</v>
      </c>
      <c r="AK58">
        <v>0</v>
      </c>
      <c r="AU58" s="3">
        <v>42408</v>
      </c>
      <c r="AV58" s="3">
        <v>42408</v>
      </c>
      <c r="AW58" t="s">
        <v>54</v>
      </c>
      <c r="AX58" t="str">
        <f t="shared" si="4"/>
        <v>FOR</v>
      </c>
      <c r="AY58" t="s">
        <v>55</v>
      </c>
    </row>
    <row r="59" spans="1:51" hidden="1">
      <c r="A59">
        <v>100059</v>
      </c>
      <c r="B59" t="s">
        <v>62</v>
      </c>
      <c r="C59" t="str">
        <f t="shared" si="8"/>
        <v>05849130157</v>
      </c>
      <c r="D59" t="str">
        <f t="shared" si="8"/>
        <v>05849130157</v>
      </c>
      <c r="E59" t="s">
        <v>52</v>
      </c>
      <c r="F59">
        <v>2015</v>
      </c>
      <c r="G59" t="str">
        <f>"          8515057335"</f>
        <v xml:space="preserve">          8515057335</v>
      </c>
      <c r="H59" s="3">
        <v>42081</v>
      </c>
      <c r="I59" s="3">
        <v>42087</v>
      </c>
      <c r="J59" s="3">
        <v>42087</v>
      </c>
      <c r="K59" s="3">
        <v>42147</v>
      </c>
      <c r="L59"/>
      <c r="N59"/>
      <c r="O59" s="4">
        <v>2985</v>
      </c>
      <c r="P59">
        <v>261</v>
      </c>
      <c r="Q59" s="4">
        <v>779085</v>
      </c>
      <c r="R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 s="3">
        <v>42562</v>
      </c>
      <c r="AC59" t="s">
        <v>53</v>
      </c>
      <c r="AD59" t="s">
        <v>53</v>
      </c>
      <c r="AK59">
        <v>0</v>
      </c>
      <c r="AU59" s="3">
        <v>42408</v>
      </c>
      <c r="AV59" s="3">
        <v>42408</v>
      </c>
      <c r="AW59" t="s">
        <v>54</v>
      </c>
      <c r="AX59" t="str">
        <f t="shared" si="4"/>
        <v>FOR</v>
      </c>
      <c r="AY59" t="s">
        <v>55</v>
      </c>
    </row>
    <row r="60" spans="1:51" hidden="1">
      <c r="A60">
        <v>100059</v>
      </c>
      <c r="B60" t="s">
        <v>62</v>
      </c>
      <c r="C60" t="str">
        <f t="shared" si="8"/>
        <v>05849130157</v>
      </c>
      <c r="D60" t="str">
        <f t="shared" si="8"/>
        <v>05849130157</v>
      </c>
      <c r="E60" t="s">
        <v>52</v>
      </c>
      <c r="F60">
        <v>2015</v>
      </c>
      <c r="G60" t="str">
        <f>"          8515063170"</f>
        <v xml:space="preserve">          8515063170</v>
      </c>
      <c r="H60" s="3">
        <v>42086</v>
      </c>
      <c r="I60" s="3">
        <v>42102</v>
      </c>
      <c r="J60" s="3">
        <v>42102</v>
      </c>
      <c r="K60" s="3">
        <v>42162</v>
      </c>
      <c r="L60"/>
      <c r="N60"/>
      <c r="O60" s="4">
        <v>1700</v>
      </c>
      <c r="P60">
        <v>246</v>
      </c>
      <c r="Q60" s="4">
        <v>418200</v>
      </c>
      <c r="R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 s="3">
        <v>42562</v>
      </c>
      <c r="AC60" t="s">
        <v>53</v>
      </c>
      <c r="AD60" t="s">
        <v>53</v>
      </c>
      <c r="AK60">
        <v>0</v>
      </c>
      <c r="AU60" s="3">
        <v>42408</v>
      </c>
      <c r="AV60" s="3">
        <v>42408</v>
      </c>
      <c r="AW60" t="s">
        <v>54</v>
      </c>
      <c r="AX60" t="str">
        <f t="shared" si="4"/>
        <v>FOR</v>
      </c>
      <c r="AY60" t="s">
        <v>55</v>
      </c>
    </row>
    <row r="61" spans="1:51" hidden="1">
      <c r="A61">
        <v>100059</v>
      </c>
      <c r="B61" t="s">
        <v>62</v>
      </c>
      <c r="C61" t="str">
        <f t="shared" si="8"/>
        <v>05849130157</v>
      </c>
      <c r="D61" t="str">
        <f t="shared" si="8"/>
        <v>05849130157</v>
      </c>
      <c r="E61" t="s">
        <v>52</v>
      </c>
      <c r="F61">
        <v>2015</v>
      </c>
      <c r="G61" t="str">
        <f>"          8515065681"</f>
        <v xml:space="preserve">          8515065681</v>
      </c>
      <c r="H61" s="3">
        <v>42088</v>
      </c>
      <c r="I61" s="3">
        <v>42094</v>
      </c>
      <c r="J61" s="3">
        <v>42094</v>
      </c>
      <c r="K61" s="3">
        <v>42154</v>
      </c>
      <c r="L61"/>
      <c r="N61"/>
      <c r="O61" s="4">
        <v>1495</v>
      </c>
      <c r="P61">
        <v>254</v>
      </c>
      <c r="Q61" s="4">
        <v>379730</v>
      </c>
      <c r="R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 s="3">
        <v>42562</v>
      </c>
      <c r="AC61" t="s">
        <v>53</v>
      </c>
      <c r="AD61" t="s">
        <v>53</v>
      </c>
      <c r="AK61">
        <v>0</v>
      </c>
      <c r="AU61" s="3">
        <v>42408</v>
      </c>
      <c r="AV61" s="3">
        <v>42408</v>
      </c>
      <c r="AW61" t="s">
        <v>54</v>
      </c>
      <c r="AX61" t="str">
        <f t="shared" si="4"/>
        <v>FOR</v>
      </c>
      <c r="AY61" t="s">
        <v>55</v>
      </c>
    </row>
    <row r="62" spans="1:51">
      <c r="A62">
        <v>100059</v>
      </c>
      <c r="B62" t="s">
        <v>62</v>
      </c>
      <c r="C62" t="str">
        <f t="shared" si="8"/>
        <v>05849130157</v>
      </c>
      <c r="D62" t="str">
        <f t="shared" si="8"/>
        <v>05849130157</v>
      </c>
      <c r="E62" t="s">
        <v>52</v>
      </c>
      <c r="F62">
        <v>2015</v>
      </c>
      <c r="G62" t="str">
        <f>"          8515076850"</f>
        <v xml:space="preserve">          8515076850</v>
      </c>
      <c r="H62" s="3">
        <v>42106</v>
      </c>
      <c r="I62" s="3">
        <v>42115</v>
      </c>
      <c r="J62" s="3">
        <v>42110</v>
      </c>
      <c r="K62" s="3">
        <v>42170</v>
      </c>
      <c r="L62" s="5">
        <v>1017</v>
      </c>
      <c r="M62">
        <v>350</v>
      </c>
      <c r="N62" s="5">
        <v>355950</v>
      </c>
      <c r="O62" s="4">
        <v>1017</v>
      </c>
      <c r="P62">
        <v>350</v>
      </c>
      <c r="Q62" s="4">
        <v>355950</v>
      </c>
      <c r="R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 s="3">
        <v>42562</v>
      </c>
      <c r="AC62" t="s">
        <v>53</v>
      </c>
      <c r="AD62" t="s">
        <v>53</v>
      </c>
      <c r="AK62">
        <v>0</v>
      </c>
      <c r="AU62" s="3">
        <v>42520</v>
      </c>
      <c r="AV62" s="3">
        <v>42520</v>
      </c>
      <c r="AW62" t="s">
        <v>54</v>
      </c>
      <c r="AX62" t="str">
        <f t="shared" si="4"/>
        <v>FOR</v>
      </c>
      <c r="AY62" t="s">
        <v>55</v>
      </c>
    </row>
    <row r="63" spans="1:51" hidden="1">
      <c r="A63">
        <v>100059</v>
      </c>
      <c r="B63" t="s">
        <v>62</v>
      </c>
      <c r="C63" t="str">
        <f t="shared" si="8"/>
        <v>05849130157</v>
      </c>
      <c r="D63" t="str">
        <f t="shared" si="8"/>
        <v>05849130157</v>
      </c>
      <c r="E63" t="s">
        <v>52</v>
      </c>
      <c r="F63">
        <v>2015</v>
      </c>
      <c r="G63" t="str">
        <f>"          8515100090"</f>
        <v xml:space="preserve">          8515100090</v>
      </c>
      <c r="H63" s="3">
        <v>42135</v>
      </c>
      <c r="I63" s="3">
        <v>42139</v>
      </c>
      <c r="J63" s="3">
        <v>42137</v>
      </c>
      <c r="K63" s="3">
        <v>42197</v>
      </c>
      <c r="L63"/>
      <c r="N63"/>
      <c r="O63" s="4">
        <v>2985</v>
      </c>
      <c r="P63">
        <v>255</v>
      </c>
      <c r="Q63" s="4">
        <v>761175</v>
      </c>
      <c r="R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 s="3">
        <v>42562</v>
      </c>
      <c r="AC63" t="s">
        <v>53</v>
      </c>
      <c r="AD63" t="s">
        <v>53</v>
      </c>
      <c r="AK63">
        <v>0</v>
      </c>
      <c r="AU63" s="3">
        <v>42452</v>
      </c>
      <c r="AV63" s="3">
        <v>42452</v>
      </c>
      <c r="AW63" t="s">
        <v>54</v>
      </c>
      <c r="AX63" t="str">
        <f t="shared" si="4"/>
        <v>FOR</v>
      </c>
      <c r="AY63" t="s">
        <v>55</v>
      </c>
    </row>
    <row r="64" spans="1:51" hidden="1">
      <c r="A64">
        <v>100059</v>
      </c>
      <c r="B64" t="s">
        <v>62</v>
      </c>
      <c r="C64" t="str">
        <f t="shared" si="8"/>
        <v>05849130157</v>
      </c>
      <c r="D64" t="str">
        <f t="shared" si="8"/>
        <v>05849130157</v>
      </c>
      <c r="E64" t="s">
        <v>52</v>
      </c>
      <c r="F64">
        <v>2015</v>
      </c>
      <c r="G64" t="str">
        <f>"          8515101099"</f>
        <v xml:space="preserve">          8515101099</v>
      </c>
      <c r="H64" s="3">
        <v>42136</v>
      </c>
      <c r="I64" s="3">
        <v>42142</v>
      </c>
      <c r="J64" s="3">
        <v>42138</v>
      </c>
      <c r="K64" s="3">
        <v>42198</v>
      </c>
      <c r="L64"/>
      <c r="N64"/>
      <c r="O64" s="4">
        <v>4237.5</v>
      </c>
      <c r="P64">
        <v>254</v>
      </c>
      <c r="Q64" s="4">
        <v>1076325</v>
      </c>
      <c r="R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 s="3">
        <v>42562</v>
      </c>
      <c r="AC64" t="s">
        <v>53</v>
      </c>
      <c r="AD64" t="s">
        <v>53</v>
      </c>
      <c r="AK64">
        <v>0</v>
      </c>
      <c r="AU64" s="3">
        <v>42452</v>
      </c>
      <c r="AV64" s="3">
        <v>42452</v>
      </c>
      <c r="AW64" t="s">
        <v>54</v>
      </c>
      <c r="AX64" t="str">
        <f t="shared" si="4"/>
        <v>FOR</v>
      </c>
      <c r="AY64" t="s">
        <v>55</v>
      </c>
    </row>
    <row r="65" spans="1:51" hidden="1">
      <c r="A65">
        <v>100059</v>
      </c>
      <c r="B65" t="s">
        <v>62</v>
      </c>
      <c r="C65" t="str">
        <f t="shared" si="8"/>
        <v>05849130157</v>
      </c>
      <c r="D65" t="str">
        <f t="shared" si="8"/>
        <v>05849130157</v>
      </c>
      <c r="E65" t="s">
        <v>52</v>
      </c>
      <c r="F65">
        <v>2015</v>
      </c>
      <c r="G65" t="str">
        <f>"          8515102407"</f>
        <v xml:space="preserve">          8515102407</v>
      </c>
      <c r="H65" s="3">
        <v>42137</v>
      </c>
      <c r="I65" s="3">
        <v>42172</v>
      </c>
      <c r="J65" s="3">
        <v>42138</v>
      </c>
      <c r="K65" s="3">
        <v>42198</v>
      </c>
      <c r="L65"/>
      <c r="N65"/>
      <c r="O65">
        <v>683</v>
      </c>
      <c r="P65">
        <v>254</v>
      </c>
      <c r="Q65" s="4">
        <v>173482</v>
      </c>
      <c r="R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 s="3">
        <v>42562</v>
      </c>
      <c r="AC65" t="s">
        <v>53</v>
      </c>
      <c r="AD65" t="s">
        <v>53</v>
      </c>
      <c r="AK65">
        <v>0</v>
      </c>
      <c r="AU65" s="3">
        <v>42452</v>
      </c>
      <c r="AV65" s="3">
        <v>42452</v>
      </c>
      <c r="AW65" t="s">
        <v>54</v>
      </c>
      <c r="AX65" t="str">
        <f t="shared" si="4"/>
        <v>FOR</v>
      </c>
      <c r="AY65" t="s">
        <v>55</v>
      </c>
    </row>
    <row r="66" spans="1:51">
      <c r="A66">
        <v>100059</v>
      </c>
      <c r="B66" t="s">
        <v>62</v>
      </c>
      <c r="C66" t="str">
        <f t="shared" si="8"/>
        <v>05849130157</v>
      </c>
      <c r="D66" t="str">
        <f t="shared" si="8"/>
        <v>05849130157</v>
      </c>
      <c r="E66" t="s">
        <v>52</v>
      </c>
      <c r="F66">
        <v>2015</v>
      </c>
      <c r="G66" t="str">
        <f>"          8515127723"</f>
        <v xml:space="preserve">          8515127723</v>
      </c>
      <c r="H66" s="3">
        <v>42172</v>
      </c>
      <c r="I66" s="3">
        <v>42174</v>
      </c>
      <c r="J66" s="3">
        <v>42173</v>
      </c>
      <c r="K66" s="3">
        <v>42233</v>
      </c>
      <c r="L66" s="5">
        <v>4237.5</v>
      </c>
      <c r="M66">
        <v>259</v>
      </c>
      <c r="N66" s="5">
        <v>1097512.5</v>
      </c>
      <c r="O66" s="4">
        <v>4237.5</v>
      </c>
      <c r="P66">
        <v>259</v>
      </c>
      <c r="Q66" s="4">
        <v>1097512.5</v>
      </c>
      <c r="R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 s="3">
        <v>42562</v>
      </c>
      <c r="AC66" t="s">
        <v>53</v>
      </c>
      <c r="AD66" t="s">
        <v>53</v>
      </c>
      <c r="AK66">
        <v>0</v>
      </c>
      <c r="AU66" s="3">
        <v>42492</v>
      </c>
      <c r="AV66" s="3">
        <v>42492</v>
      </c>
      <c r="AW66" t="s">
        <v>54</v>
      </c>
      <c r="AX66" t="str">
        <f t="shared" si="4"/>
        <v>FOR</v>
      </c>
      <c r="AY66" t="s">
        <v>55</v>
      </c>
    </row>
    <row r="67" spans="1:51">
      <c r="A67">
        <v>100059</v>
      </c>
      <c r="B67" t="s">
        <v>62</v>
      </c>
      <c r="C67" t="str">
        <f t="shared" si="8"/>
        <v>05849130157</v>
      </c>
      <c r="D67" t="str">
        <f t="shared" si="8"/>
        <v>05849130157</v>
      </c>
      <c r="E67" t="s">
        <v>52</v>
      </c>
      <c r="F67">
        <v>2015</v>
      </c>
      <c r="G67" t="str">
        <f>"          8515133449"</f>
        <v xml:space="preserve">          8515133449</v>
      </c>
      <c r="H67" s="3">
        <v>42179</v>
      </c>
      <c r="I67" s="3">
        <v>42185</v>
      </c>
      <c r="J67" s="3">
        <v>42181</v>
      </c>
      <c r="K67" s="3">
        <v>42241</v>
      </c>
      <c r="L67" s="5">
        <v>2990</v>
      </c>
      <c r="M67">
        <v>251</v>
      </c>
      <c r="N67" s="5">
        <v>750490</v>
      </c>
      <c r="O67" s="4">
        <v>2990</v>
      </c>
      <c r="P67">
        <v>251</v>
      </c>
      <c r="Q67" s="4">
        <v>750490</v>
      </c>
      <c r="R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 s="3">
        <v>42562</v>
      </c>
      <c r="AC67" t="s">
        <v>53</v>
      </c>
      <c r="AD67" t="s">
        <v>53</v>
      </c>
      <c r="AK67">
        <v>0</v>
      </c>
      <c r="AU67" s="3">
        <v>42492</v>
      </c>
      <c r="AV67" s="3">
        <v>42492</v>
      </c>
      <c r="AW67" t="s">
        <v>54</v>
      </c>
      <c r="AX67" t="str">
        <f t="shared" ref="AX67:AX98" si="9">"FOR"</f>
        <v>FOR</v>
      </c>
      <c r="AY67" t="s">
        <v>55</v>
      </c>
    </row>
    <row r="68" spans="1:51">
      <c r="A68">
        <v>100059</v>
      </c>
      <c r="B68" t="s">
        <v>62</v>
      </c>
      <c r="C68" t="str">
        <f t="shared" si="8"/>
        <v>05849130157</v>
      </c>
      <c r="D68" t="str">
        <f t="shared" si="8"/>
        <v>05849130157</v>
      </c>
      <c r="E68" t="s">
        <v>52</v>
      </c>
      <c r="F68">
        <v>2015</v>
      </c>
      <c r="G68" t="str">
        <f>"          8515139199"</f>
        <v xml:space="preserve">          8515139199</v>
      </c>
      <c r="H68" s="3">
        <v>42185</v>
      </c>
      <c r="I68" s="3">
        <v>42191</v>
      </c>
      <c r="J68" s="3">
        <v>42185</v>
      </c>
      <c r="K68" s="3">
        <v>42245</v>
      </c>
      <c r="L68" s="5">
        <v>2985</v>
      </c>
      <c r="M68">
        <v>247</v>
      </c>
      <c r="N68" s="5">
        <v>737295</v>
      </c>
      <c r="O68" s="4">
        <v>2985</v>
      </c>
      <c r="P68">
        <v>247</v>
      </c>
      <c r="Q68" s="4">
        <v>737295</v>
      </c>
      <c r="R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 s="3">
        <v>42562</v>
      </c>
      <c r="AC68" t="s">
        <v>53</v>
      </c>
      <c r="AD68" t="s">
        <v>53</v>
      </c>
      <c r="AK68">
        <v>0</v>
      </c>
      <c r="AU68" s="3">
        <v>42492</v>
      </c>
      <c r="AV68" s="3">
        <v>42492</v>
      </c>
      <c r="AW68" t="s">
        <v>54</v>
      </c>
      <c r="AX68" t="str">
        <f t="shared" si="9"/>
        <v>FOR</v>
      </c>
      <c r="AY68" t="s">
        <v>55</v>
      </c>
    </row>
    <row r="69" spans="1:51">
      <c r="A69">
        <v>100059</v>
      </c>
      <c r="B69" t="s">
        <v>62</v>
      </c>
      <c r="C69" t="str">
        <f t="shared" si="8"/>
        <v>05849130157</v>
      </c>
      <c r="D69" t="str">
        <f t="shared" si="8"/>
        <v>05849130157</v>
      </c>
      <c r="E69" t="s">
        <v>52</v>
      </c>
      <c r="F69">
        <v>2015</v>
      </c>
      <c r="G69" t="str">
        <f>"          8515145490"</f>
        <v xml:space="preserve">          8515145490</v>
      </c>
      <c r="H69" s="3">
        <v>42194</v>
      </c>
      <c r="I69" s="3">
        <v>42198</v>
      </c>
      <c r="J69" s="3">
        <v>42196</v>
      </c>
      <c r="K69" s="3">
        <v>42256</v>
      </c>
      <c r="L69" s="5">
        <v>1700</v>
      </c>
      <c r="M69">
        <v>264</v>
      </c>
      <c r="N69" s="5">
        <v>448800</v>
      </c>
      <c r="O69" s="4">
        <v>1700</v>
      </c>
      <c r="P69">
        <v>264</v>
      </c>
      <c r="Q69" s="4">
        <v>448800</v>
      </c>
      <c r="R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 s="3">
        <v>42562</v>
      </c>
      <c r="AC69" t="s">
        <v>53</v>
      </c>
      <c r="AD69" t="s">
        <v>53</v>
      </c>
      <c r="AK69">
        <v>0</v>
      </c>
      <c r="AU69" s="3">
        <v>42520</v>
      </c>
      <c r="AV69" s="3">
        <v>42520</v>
      </c>
      <c r="AW69" t="s">
        <v>54</v>
      </c>
      <c r="AX69" t="str">
        <f t="shared" si="9"/>
        <v>FOR</v>
      </c>
      <c r="AY69" t="s">
        <v>55</v>
      </c>
    </row>
    <row r="70" spans="1:51">
      <c r="A70">
        <v>100059</v>
      </c>
      <c r="B70" t="s">
        <v>62</v>
      </c>
      <c r="C70" t="str">
        <f t="shared" si="8"/>
        <v>05849130157</v>
      </c>
      <c r="D70" t="str">
        <f t="shared" si="8"/>
        <v>05849130157</v>
      </c>
      <c r="E70" t="s">
        <v>52</v>
      </c>
      <c r="F70">
        <v>2015</v>
      </c>
      <c r="G70" t="str">
        <f>"          8515156064"</f>
        <v xml:space="preserve">          8515156064</v>
      </c>
      <c r="H70" s="3">
        <v>42212</v>
      </c>
      <c r="I70" s="3">
        <v>42215</v>
      </c>
      <c r="J70" s="3">
        <v>42213</v>
      </c>
      <c r="K70" s="3">
        <v>42273</v>
      </c>
      <c r="L70" s="5">
        <v>5970</v>
      </c>
      <c r="M70">
        <v>247</v>
      </c>
      <c r="N70" s="5">
        <v>1474590</v>
      </c>
      <c r="O70" s="4">
        <v>5970</v>
      </c>
      <c r="P70">
        <v>247</v>
      </c>
      <c r="Q70" s="4">
        <v>1474590</v>
      </c>
      <c r="R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 s="3">
        <v>42562</v>
      </c>
      <c r="AC70" t="s">
        <v>53</v>
      </c>
      <c r="AD70" t="s">
        <v>53</v>
      </c>
      <c r="AK70">
        <v>0</v>
      </c>
      <c r="AU70" s="3">
        <v>42520</v>
      </c>
      <c r="AV70" s="3">
        <v>42520</v>
      </c>
      <c r="AW70" t="s">
        <v>54</v>
      </c>
      <c r="AX70" t="str">
        <f t="shared" si="9"/>
        <v>FOR</v>
      </c>
      <c r="AY70" t="s">
        <v>55</v>
      </c>
    </row>
    <row r="71" spans="1:51">
      <c r="A71">
        <v>100059</v>
      </c>
      <c r="B71" t="s">
        <v>62</v>
      </c>
      <c r="C71" t="str">
        <f t="shared" si="8"/>
        <v>05849130157</v>
      </c>
      <c r="D71" t="str">
        <f t="shared" si="8"/>
        <v>05849130157</v>
      </c>
      <c r="E71" t="s">
        <v>52</v>
      </c>
      <c r="F71">
        <v>2015</v>
      </c>
      <c r="G71" t="str">
        <f>"          8515157405"</f>
        <v xml:space="preserve">          8515157405</v>
      </c>
      <c r="H71" s="3">
        <v>42214</v>
      </c>
      <c r="I71" s="3">
        <v>42216</v>
      </c>
      <c r="J71" s="3">
        <v>42215</v>
      </c>
      <c r="K71" s="3">
        <v>42275</v>
      </c>
      <c r="L71" s="5">
        <v>2990</v>
      </c>
      <c r="M71">
        <v>245</v>
      </c>
      <c r="N71" s="5">
        <v>732550</v>
      </c>
      <c r="O71" s="4">
        <v>2990</v>
      </c>
      <c r="P71">
        <v>245</v>
      </c>
      <c r="Q71" s="4">
        <v>732550</v>
      </c>
      <c r="R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 s="3">
        <v>42562</v>
      </c>
      <c r="AC71" t="s">
        <v>53</v>
      </c>
      <c r="AD71" t="s">
        <v>53</v>
      </c>
      <c r="AK71">
        <v>0</v>
      </c>
      <c r="AU71" s="3">
        <v>42520</v>
      </c>
      <c r="AV71" s="3">
        <v>42520</v>
      </c>
      <c r="AW71" t="s">
        <v>54</v>
      </c>
      <c r="AX71" t="str">
        <f t="shared" si="9"/>
        <v>FOR</v>
      </c>
      <c r="AY71" t="s">
        <v>55</v>
      </c>
    </row>
    <row r="72" spans="1:51">
      <c r="A72">
        <v>100059</v>
      </c>
      <c r="B72" t="s">
        <v>62</v>
      </c>
      <c r="C72" t="str">
        <f t="shared" si="8"/>
        <v>05849130157</v>
      </c>
      <c r="D72" t="str">
        <f t="shared" si="8"/>
        <v>05849130157</v>
      </c>
      <c r="E72" t="s">
        <v>52</v>
      </c>
      <c r="F72">
        <v>2015</v>
      </c>
      <c r="G72" t="str">
        <f>"          8515161464"</f>
        <v xml:space="preserve">          8515161464</v>
      </c>
      <c r="H72" s="3">
        <v>42223</v>
      </c>
      <c r="I72" s="3">
        <v>42229</v>
      </c>
      <c r="J72" s="3">
        <v>42226</v>
      </c>
      <c r="K72" s="3">
        <v>42286</v>
      </c>
      <c r="L72" s="5">
        <v>1700</v>
      </c>
      <c r="M72">
        <v>234</v>
      </c>
      <c r="N72" s="5">
        <v>397800</v>
      </c>
      <c r="O72" s="4">
        <v>1700</v>
      </c>
      <c r="P72">
        <v>234</v>
      </c>
      <c r="Q72" s="4">
        <v>397800</v>
      </c>
      <c r="R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 s="3">
        <v>42562</v>
      </c>
      <c r="AC72" t="s">
        <v>53</v>
      </c>
      <c r="AD72" t="s">
        <v>53</v>
      </c>
      <c r="AK72">
        <v>0</v>
      </c>
      <c r="AU72" s="3">
        <v>42520</v>
      </c>
      <c r="AV72" s="3">
        <v>42520</v>
      </c>
      <c r="AW72" t="s">
        <v>54</v>
      </c>
      <c r="AX72" t="str">
        <f t="shared" si="9"/>
        <v>FOR</v>
      </c>
      <c r="AY72" t="s">
        <v>55</v>
      </c>
    </row>
    <row r="73" spans="1:51" hidden="1">
      <c r="A73">
        <v>100059</v>
      </c>
      <c r="B73" t="s">
        <v>62</v>
      </c>
      <c r="C73" t="str">
        <f t="shared" si="8"/>
        <v>05849130157</v>
      </c>
      <c r="D73" t="str">
        <f t="shared" si="8"/>
        <v>05849130157</v>
      </c>
      <c r="E73" t="s">
        <v>52</v>
      </c>
      <c r="F73">
        <v>2015</v>
      </c>
      <c r="G73" t="str">
        <f>"          8715003848"</f>
        <v xml:space="preserve">          8715003848</v>
      </c>
      <c r="H73" s="3">
        <v>42114</v>
      </c>
      <c r="I73" s="3">
        <v>42121</v>
      </c>
      <c r="J73" s="3">
        <v>42115</v>
      </c>
      <c r="K73" s="3">
        <v>42175</v>
      </c>
      <c r="L73"/>
      <c r="N73"/>
      <c r="O73" s="4">
        <v>-1017</v>
      </c>
      <c r="P73">
        <v>233</v>
      </c>
      <c r="Q73" s="4">
        <v>-236961</v>
      </c>
      <c r="R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 s="3">
        <v>42562</v>
      </c>
      <c r="AC73" t="s">
        <v>53</v>
      </c>
      <c r="AD73" t="s">
        <v>53</v>
      </c>
      <c r="AK73">
        <v>0</v>
      </c>
      <c r="AU73" s="3">
        <v>42408</v>
      </c>
      <c r="AV73" s="3">
        <v>42408</v>
      </c>
      <c r="AW73" t="s">
        <v>54</v>
      </c>
      <c r="AX73" t="str">
        <f t="shared" si="9"/>
        <v>FOR</v>
      </c>
      <c r="AY73" t="s">
        <v>55</v>
      </c>
    </row>
    <row r="74" spans="1:51">
      <c r="A74">
        <v>100065</v>
      </c>
      <c r="B74" t="s">
        <v>63</v>
      </c>
      <c r="C74" t="str">
        <f>"01726510595"</f>
        <v>01726510595</v>
      </c>
      <c r="D74" t="str">
        <f>"00082130592"</f>
        <v>00082130592</v>
      </c>
      <c r="E74" t="s">
        <v>52</v>
      </c>
      <c r="F74">
        <v>2014</v>
      </c>
      <c r="G74" t="str">
        <f>"            84036834"</f>
        <v xml:space="preserve">            84036834</v>
      </c>
      <c r="H74" s="3">
        <v>41884</v>
      </c>
      <c r="I74" s="3">
        <v>41890</v>
      </c>
      <c r="J74" s="3">
        <v>41890</v>
      </c>
      <c r="K74" s="3">
        <v>41980</v>
      </c>
      <c r="L74" s="1">
        <v>659.34</v>
      </c>
      <c r="M74">
        <v>550</v>
      </c>
      <c r="N74" s="5">
        <v>362637</v>
      </c>
      <c r="O74">
        <v>659.34</v>
      </c>
      <c r="P74">
        <v>550</v>
      </c>
      <c r="Q74" s="4">
        <v>362637</v>
      </c>
      <c r="R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 s="3">
        <v>42562</v>
      </c>
      <c r="AC74" t="s">
        <v>53</v>
      </c>
      <c r="AD74" t="s">
        <v>53</v>
      </c>
      <c r="AK74">
        <v>0</v>
      </c>
      <c r="AU74" s="3">
        <v>42530</v>
      </c>
      <c r="AV74" s="3">
        <v>42530</v>
      </c>
      <c r="AW74" t="s">
        <v>54</v>
      </c>
      <c r="AX74" t="str">
        <f t="shared" si="9"/>
        <v>FOR</v>
      </c>
      <c r="AY74" t="s">
        <v>55</v>
      </c>
    </row>
    <row r="75" spans="1:51">
      <c r="A75">
        <v>100065</v>
      </c>
      <c r="B75" t="s">
        <v>63</v>
      </c>
      <c r="C75" t="str">
        <f>"01726510595"</f>
        <v>01726510595</v>
      </c>
      <c r="D75" t="str">
        <f>"00082130592"</f>
        <v>00082130592</v>
      </c>
      <c r="E75" t="s">
        <v>52</v>
      </c>
      <c r="F75">
        <v>2014</v>
      </c>
      <c r="G75" t="str">
        <f>"            84045250"</f>
        <v xml:space="preserve">            84045250</v>
      </c>
      <c r="H75" s="3">
        <v>41942</v>
      </c>
      <c r="I75" s="3">
        <v>41955</v>
      </c>
      <c r="J75" s="3">
        <v>41955</v>
      </c>
      <c r="K75" s="3">
        <v>42015</v>
      </c>
      <c r="L75" s="1">
        <v>659.34</v>
      </c>
      <c r="M75">
        <v>515</v>
      </c>
      <c r="N75" s="5">
        <v>339560.1</v>
      </c>
      <c r="O75">
        <v>659.34</v>
      </c>
      <c r="P75">
        <v>515</v>
      </c>
      <c r="Q75" s="4">
        <v>339560.1</v>
      </c>
      <c r="R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 s="3">
        <v>42562</v>
      </c>
      <c r="AC75" t="s">
        <v>53</v>
      </c>
      <c r="AD75" t="s">
        <v>53</v>
      </c>
      <c r="AK75">
        <v>0</v>
      </c>
      <c r="AU75" s="3">
        <v>42530</v>
      </c>
      <c r="AV75" s="3">
        <v>42530</v>
      </c>
      <c r="AW75" t="s">
        <v>54</v>
      </c>
      <c r="AX75" t="str">
        <f t="shared" si="9"/>
        <v>FOR</v>
      </c>
      <c r="AY75" t="s">
        <v>55</v>
      </c>
    </row>
    <row r="76" spans="1:51" hidden="1">
      <c r="A76">
        <v>100066</v>
      </c>
      <c r="B76" t="s">
        <v>64</v>
      </c>
      <c r="C76" t="str">
        <f t="shared" ref="C76:C107" si="10">"12268050155"</f>
        <v>12268050155</v>
      </c>
      <c r="D76" t="str">
        <f t="shared" ref="D76:D107" si="11">"04785851009"</f>
        <v>04785851009</v>
      </c>
      <c r="E76" t="s">
        <v>52</v>
      </c>
      <c r="F76">
        <v>2015</v>
      </c>
      <c r="G76" t="str">
        <f>"          1010862872"</f>
        <v xml:space="preserve">          1010862872</v>
      </c>
      <c r="H76" s="3">
        <v>42039</v>
      </c>
      <c r="I76" s="3">
        <v>42054</v>
      </c>
      <c r="J76" s="3">
        <v>42054</v>
      </c>
      <c r="K76" s="3">
        <v>42114</v>
      </c>
      <c r="L76"/>
      <c r="N76"/>
      <c r="O76" s="4">
        <v>2900</v>
      </c>
      <c r="P76">
        <v>290</v>
      </c>
      <c r="Q76" s="4">
        <v>841000</v>
      </c>
      <c r="R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 s="3">
        <v>42562</v>
      </c>
      <c r="AC76" t="s">
        <v>53</v>
      </c>
      <c r="AD76" t="s">
        <v>53</v>
      </c>
      <c r="AK76">
        <v>0</v>
      </c>
      <c r="AU76" s="3">
        <v>42404</v>
      </c>
      <c r="AV76" s="3">
        <v>42404</v>
      </c>
      <c r="AW76" t="s">
        <v>54</v>
      </c>
      <c r="AX76" t="str">
        <f t="shared" si="9"/>
        <v>FOR</v>
      </c>
      <c r="AY76" t="s">
        <v>55</v>
      </c>
    </row>
    <row r="77" spans="1:51" hidden="1">
      <c r="A77">
        <v>100066</v>
      </c>
      <c r="B77" t="s">
        <v>64</v>
      </c>
      <c r="C77" t="str">
        <f t="shared" si="10"/>
        <v>12268050155</v>
      </c>
      <c r="D77" t="str">
        <f t="shared" si="11"/>
        <v>04785851009</v>
      </c>
      <c r="E77" t="s">
        <v>52</v>
      </c>
      <c r="F77">
        <v>2015</v>
      </c>
      <c r="G77" t="str">
        <f>"          1010863799"</f>
        <v xml:space="preserve">          1010863799</v>
      </c>
      <c r="H77" s="3">
        <v>42044</v>
      </c>
      <c r="I77" s="3">
        <v>42059</v>
      </c>
      <c r="J77" s="3">
        <v>42059</v>
      </c>
      <c r="K77" s="3">
        <v>42119</v>
      </c>
      <c r="L77"/>
      <c r="N77"/>
      <c r="O77">
        <v>83</v>
      </c>
      <c r="P77">
        <v>285</v>
      </c>
      <c r="Q77" s="4">
        <v>23655</v>
      </c>
      <c r="R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 s="3">
        <v>42562</v>
      </c>
      <c r="AC77" t="s">
        <v>53</v>
      </c>
      <c r="AD77" t="s">
        <v>53</v>
      </c>
      <c r="AK77">
        <v>0</v>
      </c>
      <c r="AU77" s="3">
        <v>42404</v>
      </c>
      <c r="AV77" s="3">
        <v>42404</v>
      </c>
      <c r="AW77" t="s">
        <v>54</v>
      </c>
      <c r="AX77" t="str">
        <f t="shared" si="9"/>
        <v>FOR</v>
      </c>
      <c r="AY77" t="s">
        <v>55</v>
      </c>
    </row>
    <row r="78" spans="1:51" hidden="1">
      <c r="A78">
        <v>100066</v>
      </c>
      <c r="B78" t="s">
        <v>64</v>
      </c>
      <c r="C78" t="str">
        <f t="shared" si="10"/>
        <v>12268050155</v>
      </c>
      <c r="D78" t="str">
        <f t="shared" si="11"/>
        <v>04785851009</v>
      </c>
      <c r="E78" t="s">
        <v>52</v>
      </c>
      <c r="F78">
        <v>2015</v>
      </c>
      <c r="G78" t="str">
        <f>"          1010867187"</f>
        <v xml:space="preserve">          1010867187</v>
      </c>
      <c r="H78" s="3">
        <v>42066</v>
      </c>
      <c r="I78" s="3">
        <v>42086</v>
      </c>
      <c r="J78" s="3">
        <v>42086</v>
      </c>
      <c r="K78" s="3">
        <v>42146</v>
      </c>
      <c r="L78"/>
      <c r="N78"/>
      <c r="O78">
        <v>196</v>
      </c>
      <c r="P78">
        <v>270</v>
      </c>
      <c r="Q78" s="4">
        <v>52920</v>
      </c>
      <c r="R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 s="3">
        <v>42562</v>
      </c>
      <c r="AC78" t="s">
        <v>53</v>
      </c>
      <c r="AD78" t="s">
        <v>53</v>
      </c>
      <c r="AK78">
        <v>0</v>
      </c>
      <c r="AU78" s="3">
        <v>42416</v>
      </c>
      <c r="AV78" s="3">
        <v>42416</v>
      </c>
      <c r="AW78" t="s">
        <v>54</v>
      </c>
      <c r="AX78" t="str">
        <f t="shared" si="9"/>
        <v>FOR</v>
      </c>
      <c r="AY78" t="s">
        <v>55</v>
      </c>
    </row>
    <row r="79" spans="1:51" hidden="1">
      <c r="A79">
        <v>100066</v>
      </c>
      <c r="B79" t="s">
        <v>64</v>
      </c>
      <c r="C79" t="str">
        <f t="shared" si="10"/>
        <v>12268050155</v>
      </c>
      <c r="D79" t="str">
        <f t="shared" si="11"/>
        <v>04785851009</v>
      </c>
      <c r="E79" t="s">
        <v>52</v>
      </c>
      <c r="F79">
        <v>2015</v>
      </c>
      <c r="G79" t="str">
        <f>"          1010867188"</f>
        <v xml:space="preserve">          1010867188</v>
      </c>
      <c r="H79" s="3">
        <v>42066</v>
      </c>
      <c r="I79" s="3">
        <v>42086</v>
      </c>
      <c r="J79" s="3">
        <v>42086</v>
      </c>
      <c r="K79" s="3">
        <v>42146</v>
      </c>
      <c r="L79"/>
      <c r="N79"/>
      <c r="O79" s="4">
        <v>5955.6</v>
      </c>
      <c r="P79">
        <v>270</v>
      </c>
      <c r="Q79" s="4">
        <v>1608012</v>
      </c>
      <c r="R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 s="3">
        <v>42562</v>
      </c>
      <c r="AC79" t="s">
        <v>53</v>
      </c>
      <c r="AD79" t="s">
        <v>53</v>
      </c>
      <c r="AK79">
        <v>0</v>
      </c>
      <c r="AU79" s="3">
        <v>42416</v>
      </c>
      <c r="AV79" s="3">
        <v>42416</v>
      </c>
      <c r="AW79" t="s">
        <v>54</v>
      </c>
      <c r="AX79" t="str">
        <f t="shared" si="9"/>
        <v>FOR</v>
      </c>
      <c r="AY79" t="s">
        <v>55</v>
      </c>
    </row>
    <row r="80" spans="1:51" hidden="1">
      <c r="A80">
        <v>100066</v>
      </c>
      <c r="B80" t="s">
        <v>64</v>
      </c>
      <c r="C80" t="str">
        <f t="shared" si="10"/>
        <v>12268050155</v>
      </c>
      <c r="D80" t="str">
        <f t="shared" si="11"/>
        <v>04785851009</v>
      </c>
      <c r="E80" t="s">
        <v>52</v>
      </c>
      <c r="F80">
        <v>2015</v>
      </c>
      <c r="G80" t="str">
        <f>"          1010867189"</f>
        <v xml:space="preserve">          1010867189</v>
      </c>
      <c r="H80" s="3">
        <v>42066</v>
      </c>
      <c r="I80" s="3">
        <v>42086</v>
      </c>
      <c r="J80" s="3">
        <v>42086</v>
      </c>
      <c r="K80" s="3">
        <v>42146</v>
      </c>
      <c r="L80"/>
      <c r="N80"/>
      <c r="O80">
        <v>603</v>
      </c>
      <c r="P80">
        <v>270</v>
      </c>
      <c r="Q80" s="4">
        <v>162810</v>
      </c>
      <c r="R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 s="3">
        <v>42562</v>
      </c>
      <c r="AC80" t="s">
        <v>53</v>
      </c>
      <c r="AD80" t="s">
        <v>53</v>
      </c>
      <c r="AK80">
        <v>0</v>
      </c>
      <c r="AU80" s="3">
        <v>42416</v>
      </c>
      <c r="AV80" s="3">
        <v>42416</v>
      </c>
      <c r="AW80" t="s">
        <v>54</v>
      </c>
      <c r="AX80" t="str">
        <f t="shared" si="9"/>
        <v>FOR</v>
      </c>
      <c r="AY80" t="s">
        <v>55</v>
      </c>
    </row>
    <row r="81" spans="1:51" hidden="1">
      <c r="A81">
        <v>100066</v>
      </c>
      <c r="B81" t="s">
        <v>64</v>
      </c>
      <c r="C81" t="str">
        <f t="shared" si="10"/>
        <v>12268050155</v>
      </c>
      <c r="D81" t="str">
        <f t="shared" si="11"/>
        <v>04785851009</v>
      </c>
      <c r="E81" t="s">
        <v>52</v>
      </c>
      <c r="F81">
        <v>2015</v>
      </c>
      <c r="G81" t="str">
        <f>"          1010868852"</f>
        <v xml:space="preserve">          1010868852</v>
      </c>
      <c r="H81" s="3">
        <v>42075</v>
      </c>
      <c r="I81" s="3">
        <v>42118</v>
      </c>
      <c r="J81" s="3">
        <v>42118</v>
      </c>
      <c r="K81" s="3">
        <v>42178</v>
      </c>
      <c r="L81"/>
      <c r="N81"/>
      <c r="O81" s="4">
        <v>5867.36</v>
      </c>
      <c r="P81">
        <v>238</v>
      </c>
      <c r="Q81" s="4">
        <v>1396431.68</v>
      </c>
      <c r="R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 s="3">
        <v>42562</v>
      </c>
      <c r="AC81" t="s">
        <v>53</v>
      </c>
      <c r="AD81" t="s">
        <v>53</v>
      </c>
      <c r="AK81">
        <v>0</v>
      </c>
      <c r="AU81" s="3">
        <v>42416</v>
      </c>
      <c r="AV81" s="3">
        <v>42416</v>
      </c>
      <c r="AW81" t="s">
        <v>54</v>
      </c>
      <c r="AX81" t="str">
        <f t="shared" si="9"/>
        <v>FOR</v>
      </c>
      <c r="AY81" t="s">
        <v>55</v>
      </c>
    </row>
    <row r="82" spans="1:51" hidden="1">
      <c r="A82">
        <v>100066</v>
      </c>
      <c r="B82" t="s">
        <v>64</v>
      </c>
      <c r="C82" t="str">
        <f t="shared" si="10"/>
        <v>12268050155</v>
      </c>
      <c r="D82" t="str">
        <f t="shared" si="11"/>
        <v>04785851009</v>
      </c>
      <c r="E82" t="s">
        <v>52</v>
      </c>
      <c r="F82">
        <v>2015</v>
      </c>
      <c r="G82" t="str">
        <f>"          1010868853"</f>
        <v xml:space="preserve">          1010868853</v>
      </c>
      <c r="H82" s="3">
        <v>42075</v>
      </c>
      <c r="I82" s="3">
        <v>42118</v>
      </c>
      <c r="J82" s="3">
        <v>42118</v>
      </c>
      <c r="K82" s="3">
        <v>42178</v>
      </c>
      <c r="L82"/>
      <c r="N82"/>
      <c r="O82" s="4">
        <v>2902.3</v>
      </c>
      <c r="P82">
        <v>238</v>
      </c>
      <c r="Q82" s="4">
        <v>690747.4</v>
      </c>
      <c r="R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 s="3">
        <v>42562</v>
      </c>
      <c r="AC82" t="s">
        <v>53</v>
      </c>
      <c r="AD82" t="s">
        <v>53</v>
      </c>
      <c r="AK82">
        <v>0</v>
      </c>
      <c r="AU82" s="3">
        <v>42416</v>
      </c>
      <c r="AV82" s="3">
        <v>42416</v>
      </c>
      <c r="AW82" t="s">
        <v>54</v>
      </c>
      <c r="AX82" t="str">
        <f t="shared" si="9"/>
        <v>FOR</v>
      </c>
      <c r="AY82" t="s">
        <v>55</v>
      </c>
    </row>
    <row r="83" spans="1:51" hidden="1">
      <c r="A83">
        <v>100066</v>
      </c>
      <c r="B83" t="s">
        <v>64</v>
      </c>
      <c r="C83" t="str">
        <f t="shared" si="10"/>
        <v>12268050155</v>
      </c>
      <c r="D83" t="str">
        <f t="shared" si="11"/>
        <v>04785851009</v>
      </c>
      <c r="E83" t="s">
        <v>52</v>
      </c>
      <c r="F83">
        <v>2015</v>
      </c>
      <c r="G83" t="str">
        <f>"          1010869501"</f>
        <v xml:space="preserve">          1010869501</v>
      </c>
      <c r="H83" s="3">
        <v>42080</v>
      </c>
      <c r="I83" s="3">
        <v>42103</v>
      </c>
      <c r="J83" s="3">
        <v>42103</v>
      </c>
      <c r="K83" s="3">
        <v>42163</v>
      </c>
      <c r="L83"/>
      <c r="N83"/>
      <c r="O83" s="4">
        <v>5068</v>
      </c>
      <c r="P83">
        <v>253</v>
      </c>
      <c r="Q83" s="4">
        <v>1282204</v>
      </c>
      <c r="R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 s="3">
        <v>42562</v>
      </c>
      <c r="AC83" t="s">
        <v>53</v>
      </c>
      <c r="AD83" t="s">
        <v>53</v>
      </c>
      <c r="AK83">
        <v>0</v>
      </c>
      <c r="AU83" s="3">
        <v>42416</v>
      </c>
      <c r="AV83" s="3">
        <v>42416</v>
      </c>
      <c r="AW83" t="s">
        <v>54</v>
      </c>
      <c r="AX83" t="str">
        <f t="shared" si="9"/>
        <v>FOR</v>
      </c>
      <c r="AY83" t="s">
        <v>55</v>
      </c>
    </row>
    <row r="84" spans="1:51" hidden="1">
      <c r="A84">
        <v>100066</v>
      </c>
      <c r="B84" t="s">
        <v>64</v>
      </c>
      <c r="C84" t="str">
        <f t="shared" si="10"/>
        <v>12268050155</v>
      </c>
      <c r="D84" t="str">
        <f t="shared" si="11"/>
        <v>04785851009</v>
      </c>
      <c r="E84" t="s">
        <v>52</v>
      </c>
      <c r="F84">
        <v>2015</v>
      </c>
      <c r="G84" t="str">
        <f>"          1010869724"</f>
        <v xml:space="preserve">          1010869724</v>
      </c>
      <c r="H84" s="3">
        <v>42081</v>
      </c>
      <c r="I84" s="3">
        <v>42102</v>
      </c>
      <c r="J84" s="3">
        <v>42102</v>
      </c>
      <c r="K84" s="3">
        <v>42162</v>
      </c>
      <c r="L84"/>
      <c r="N84"/>
      <c r="O84" s="4">
        <v>1071.5999999999999</v>
      </c>
      <c r="P84">
        <v>254</v>
      </c>
      <c r="Q84" s="4">
        <v>272186.40000000002</v>
      </c>
      <c r="R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 s="3">
        <v>42562</v>
      </c>
      <c r="AC84" t="s">
        <v>53</v>
      </c>
      <c r="AD84" t="s">
        <v>53</v>
      </c>
      <c r="AK84">
        <v>0</v>
      </c>
      <c r="AU84" s="3">
        <v>42416</v>
      </c>
      <c r="AV84" s="3">
        <v>42416</v>
      </c>
      <c r="AW84" t="s">
        <v>54</v>
      </c>
      <c r="AX84" t="str">
        <f t="shared" si="9"/>
        <v>FOR</v>
      </c>
      <c r="AY84" t="s">
        <v>55</v>
      </c>
    </row>
    <row r="85" spans="1:51" hidden="1">
      <c r="A85">
        <v>100066</v>
      </c>
      <c r="B85" t="s">
        <v>64</v>
      </c>
      <c r="C85" t="str">
        <f t="shared" si="10"/>
        <v>12268050155</v>
      </c>
      <c r="D85" t="str">
        <f t="shared" si="11"/>
        <v>04785851009</v>
      </c>
      <c r="E85" t="s">
        <v>52</v>
      </c>
      <c r="F85">
        <v>2015</v>
      </c>
      <c r="G85" t="str">
        <f>"          1010870693"</f>
        <v xml:space="preserve">          1010870693</v>
      </c>
      <c r="H85" s="3">
        <v>42087</v>
      </c>
      <c r="I85" s="3">
        <v>42103</v>
      </c>
      <c r="J85" s="3">
        <v>42103</v>
      </c>
      <c r="K85" s="3">
        <v>42163</v>
      </c>
      <c r="L85"/>
      <c r="N85"/>
      <c r="O85" s="4">
        <v>1624.3</v>
      </c>
      <c r="P85">
        <v>253</v>
      </c>
      <c r="Q85" s="4">
        <v>410947.9</v>
      </c>
      <c r="R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 s="3">
        <v>42562</v>
      </c>
      <c r="AC85" t="s">
        <v>53</v>
      </c>
      <c r="AD85" t="s">
        <v>53</v>
      </c>
      <c r="AK85">
        <v>0</v>
      </c>
      <c r="AU85" s="3">
        <v>42416</v>
      </c>
      <c r="AV85" s="3">
        <v>42416</v>
      </c>
      <c r="AW85" t="s">
        <v>54</v>
      </c>
      <c r="AX85" t="str">
        <f t="shared" si="9"/>
        <v>FOR</v>
      </c>
      <c r="AY85" t="s">
        <v>55</v>
      </c>
    </row>
    <row r="86" spans="1:51" hidden="1">
      <c r="A86">
        <v>100066</v>
      </c>
      <c r="B86" t="s">
        <v>64</v>
      </c>
      <c r="C86" t="str">
        <f t="shared" si="10"/>
        <v>12268050155</v>
      </c>
      <c r="D86" t="str">
        <f t="shared" si="11"/>
        <v>04785851009</v>
      </c>
      <c r="E86" t="s">
        <v>52</v>
      </c>
      <c r="F86">
        <v>2015</v>
      </c>
      <c r="G86" t="str">
        <f>"          1010872579"</f>
        <v xml:space="preserve">          1010872579</v>
      </c>
      <c r="H86" s="3">
        <v>42093</v>
      </c>
      <c r="I86" s="3">
        <v>42110</v>
      </c>
      <c r="J86" s="3">
        <v>42110</v>
      </c>
      <c r="K86" s="3">
        <v>42170</v>
      </c>
      <c r="L86"/>
      <c r="N86"/>
      <c r="O86" s="4">
        <v>1310</v>
      </c>
      <c r="P86">
        <v>246</v>
      </c>
      <c r="Q86" s="4">
        <v>322260</v>
      </c>
      <c r="R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 s="3">
        <v>42562</v>
      </c>
      <c r="AC86" t="s">
        <v>53</v>
      </c>
      <c r="AD86" t="s">
        <v>53</v>
      </c>
      <c r="AK86">
        <v>0</v>
      </c>
      <c r="AU86" s="3">
        <v>42416</v>
      </c>
      <c r="AV86" s="3">
        <v>42416</v>
      </c>
      <c r="AW86" t="s">
        <v>54</v>
      </c>
      <c r="AX86" t="str">
        <f t="shared" si="9"/>
        <v>FOR</v>
      </c>
      <c r="AY86" t="s">
        <v>55</v>
      </c>
    </row>
    <row r="87" spans="1:51" hidden="1">
      <c r="A87">
        <v>100066</v>
      </c>
      <c r="B87" t="s">
        <v>64</v>
      </c>
      <c r="C87" t="str">
        <f t="shared" si="10"/>
        <v>12268050155</v>
      </c>
      <c r="D87" t="str">
        <f t="shared" si="11"/>
        <v>04785851009</v>
      </c>
      <c r="E87" t="s">
        <v>52</v>
      </c>
      <c r="F87">
        <v>2015</v>
      </c>
      <c r="G87" t="str">
        <f>"          1010878419"</f>
        <v xml:space="preserve">          1010878419</v>
      </c>
      <c r="H87" s="3">
        <v>42123</v>
      </c>
      <c r="I87" s="3">
        <v>42164</v>
      </c>
      <c r="J87" s="3">
        <v>42163</v>
      </c>
      <c r="K87" s="3">
        <v>42223</v>
      </c>
      <c r="L87"/>
      <c r="N87"/>
      <c r="O87" s="4">
        <v>27679.34</v>
      </c>
      <c r="P87">
        <v>230</v>
      </c>
      <c r="Q87" s="4">
        <v>6366248.2000000002</v>
      </c>
      <c r="R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 s="3">
        <v>42562</v>
      </c>
      <c r="AC87" t="s">
        <v>53</v>
      </c>
      <c r="AD87" t="s">
        <v>53</v>
      </c>
      <c r="AK87">
        <v>0</v>
      </c>
      <c r="AU87" s="3">
        <v>42453</v>
      </c>
      <c r="AV87" s="3">
        <v>42453</v>
      </c>
      <c r="AW87" t="s">
        <v>54</v>
      </c>
      <c r="AX87" t="str">
        <f t="shared" si="9"/>
        <v>FOR</v>
      </c>
      <c r="AY87" t="s">
        <v>55</v>
      </c>
    </row>
    <row r="88" spans="1:51" hidden="1">
      <c r="A88">
        <v>100066</v>
      </c>
      <c r="B88" t="s">
        <v>64</v>
      </c>
      <c r="C88" t="str">
        <f t="shared" si="10"/>
        <v>12268050155</v>
      </c>
      <c r="D88" t="str">
        <f t="shared" si="11"/>
        <v>04785851009</v>
      </c>
      <c r="E88" t="s">
        <v>52</v>
      </c>
      <c r="F88">
        <v>2015</v>
      </c>
      <c r="G88" t="str">
        <f>"          1010878420"</f>
        <v xml:space="preserve">          1010878420</v>
      </c>
      <c r="H88" s="3">
        <v>42123</v>
      </c>
      <c r="I88" s="3">
        <v>42164</v>
      </c>
      <c r="J88" s="3">
        <v>42163</v>
      </c>
      <c r="K88" s="3">
        <v>42223</v>
      </c>
      <c r="L88"/>
      <c r="N88"/>
      <c r="O88" s="4">
        <v>21199.13</v>
      </c>
      <c r="P88">
        <v>230</v>
      </c>
      <c r="Q88" s="4">
        <v>4875799.9000000004</v>
      </c>
      <c r="R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 s="3">
        <v>42562</v>
      </c>
      <c r="AC88" t="s">
        <v>53</v>
      </c>
      <c r="AD88" t="s">
        <v>53</v>
      </c>
      <c r="AK88">
        <v>0</v>
      </c>
      <c r="AU88" s="3">
        <v>42453</v>
      </c>
      <c r="AV88" s="3">
        <v>42453</v>
      </c>
      <c r="AW88" t="s">
        <v>54</v>
      </c>
      <c r="AX88" t="str">
        <f t="shared" si="9"/>
        <v>FOR</v>
      </c>
      <c r="AY88" t="s">
        <v>55</v>
      </c>
    </row>
    <row r="89" spans="1:51" hidden="1">
      <c r="A89">
        <v>100066</v>
      </c>
      <c r="B89" t="s">
        <v>64</v>
      </c>
      <c r="C89" t="str">
        <f t="shared" si="10"/>
        <v>12268050155</v>
      </c>
      <c r="D89" t="str">
        <f t="shared" si="11"/>
        <v>04785851009</v>
      </c>
      <c r="E89" t="s">
        <v>52</v>
      </c>
      <c r="F89">
        <v>2015</v>
      </c>
      <c r="G89" t="str">
        <f>"          1010878421"</f>
        <v xml:space="preserve">          1010878421</v>
      </c>
      <c r="H89" s="3">
        <v>42123</v>
      </c>
      <c r="I89" s="3">
        <v>42164</v>
      </c>
      <c r="J89" s="3">
        <v>42163</v>
      </c>
      <c r="K89" s="3">
        <v>42223</v>
      </c>
      <c r="L89"/>
      <c r="N89"/>
      <c r="O89" s="4">
        <v>4162.8</v>
      </c>
      <c r="P89">
        <v>230</v>
      </c>
      <c r="Q89" s="4">
        <v>957444</v>
      </c>
      <c r="R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 s="3">
        <v>42562</v>
      </c>
      <c r="AC89" t="s">
        <v>53</v>
      </c>
      <c r="AD89" t="s">
        <v>53</v>
      </c>
      <c r="AK89">
        <v>0</v>
      </c>
      <c r="AU89" s="3">
        <v>42453</v>
      </c>
      <c r="AV89" s="3">
        <v>42453</v>
      </c>
      <c r="AW89" t="s">
        <v>54</v>
      </c>
      <c r="AX89" t="str">
        <f t="shared" si="9"/>
        <v>FOR</v>
      </c>
      <c r="AY89" t="s">
        <v>55</v>
      </c>
    </row>
    <row r="90" spans="1:51" hidden="1">
      <c r="A90">
        <v>100066</v>
      </c>
      <c r="B90" t="s">
        <v>64</v>
      </c>
      <c r="C90" t="str">
        <f t="shared" si="10"/>
        <v>12268050155</v>
      </c>
      <c r="D90" t="str">
        <f t="shared" si="11"/>
        <v>04785851009</v>
      </c>
      <c r="E90" t="s">
        <v>52</v>
      </c>
      <c r="F90">
        <v>2015</v>
      </c>
      <c r="G90" t="str">
        <f>"          1010878422"</f>
        <v xml:space="preserve">          1010878422</v>
      </c>
      <c r="H90" s="3">
        <v>42123</v>
      </c>
      <c r="I90" s="3">
        <v>42164</v>
      </c>
      <c r="J90" s="3">
        <v>42163</v>
      </c>
      <c r="K90" s="3">
        <v>42223</v>
      </c>
      <c r="L90"/>
      <c r="N90"/>
      <c r="O90" s="4">
        <v>17325</v>
      </c>
      <c r="P90">
        <v>230</v>
      </c>
      <c r="Q90" s="4">
        <v>3984750</v>
      </c>
      <c r="R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 s="3">
        <v>42562</v>
      </c>
      <c r="AC90" t="s">
        <v>53</v>
      </c>
      <c r="AD90" t="s">
        <v>53</v>
      </c>
      <c r="AK90">
        <v>0</v>
      </c>
      <c r="AU90" s="3">
        <v>42453</v>
      </c>
      <c r="AV90" s="3">
        <v>42453</v>
      </c>
      <c r="AW90" t="s">
        <v>54</v>
      </c>
      <c r="AX90" t="str">
        <f t="shared" si="9"/>
        <v>FOR</v>
      </c>
      <c r="AY90" t="s">
        <v>55</v>
      </c>
    </row>
    <row r="91" spans="1:51" hidden="1">
      <c r="A91">
        <v>100066</v>
      </c>
      <c r="B91" t="s">
        <v>64</v>
      </c>
      <c r="C91" t="str">
        <f t="shared" si="10"/>
        <v>12268050155</v>
      </c>
      <c r="D91" t="str">
        <f t="shared" si="11"/>
        <v>04785851009</v>
      </c>
      <c r="E91" t="s">
        <v>52</v>
      </c>
      <c r="F91">
        <v>2015</v>
      </c>
      <c r="G91" t="str">
        <f>"          1010878423"</f>
        <v xml:space="preserve">          1010878423</v>
      </c>
      <c r="H91" s="3">
        <v>42123</v>
      </c>
      <c r="I91" s="3">
        <v>42164</v>
      </c>
      <c r="J91" s="3">
        <v>42163</v>
      </c>
      <c r="K91" s="3">
        <v>42223</v>
      </c>
      <c r="L91"/>
      <c r="N91"/>
      <c r="O91" s="4">
        <v>1520.5</v>
      </c>
      <c r="P91">
        <v>230</v>
      </c>
      <c r="Q91" s="4">
        <v>349715</v>
      </c>
      <c r="R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 s="3">
        <v>42562</v>
      </c>
      <c r="AC91" t="s">
        <v>53</v>
      </c>
      <c r="AD91" t="s">
        <v>53</v>
      </c>
      <c r="AK91">
        <v>0</v>
      </c>
      <c r="AU91" s="3">
        <v>42453</v>
      </c>
      <c r="AV91" s="3">
        <v>42453</v>
      </c>
      <c r="AW91" t="s">
        <v>54</v>
      </c>
      <c r="AX91" t="str">
        <f t="shared" si="9"/>
        <v>FOR</v>
      </c>
      <c r="AY91" t="s">
        <v>55</v>
      </c>
    </row>
    <row r="92" spans="1:51" hidden="1">
      <c r="A92">
        <v>100066</v>
      </c>
      <c r="B92" t="s">
        <v>64</v>
      </c>
      <c r="C92" t="str">
        <f t="shared" si="10"/>
        <v>12268050155</v>
      </c>
      <c r="D92" t="str">
        <f t="shared" si="11"/>
        <v>04785851009</v>
      </c>
      <c r="E92" t="s">
        <v>52</v>
      </c>
      <c r="F92">
        <v>2015</v>
      </c>
      <c r="G92" t="str">
        <f>"          1010878424"</f>
        <v xml:space="preserve">          1010878424</v>
      </c>
      <c r="H92" s="3">
        <v>42123</v>
      </c>
      <c r="I92" s="3">
        <v>42164</v>
      </c>
      <c r="J92" s="3">
        <v>42163</v>
      </c>
      <c r="K92" s="3">
        <v>42223</v>
      </c>
      <c r="L92"/>
      <c r="N92"/>
      <c r="O92" s="4">
        <v>12704.14</v>
      </c>
      <c r="P92">
        <v>230</v>
      </c>
      <c r="Q92" s="4">
        <v>2921952.2</v>
      </c>
      <c r="R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 s="3">
        <v>42562</v>
      </c>
      <c r="AC92" t="s">
        <v>53</v>
      </c>
      <c r="AD92" t="s">
        <v>53</v>
      </c>
      <c r="AK92">
        <v>0</v>
      </c>
      <c r="AU92" s="3">
        <v>42453</v>
      </c>
      <c r="AV92" s="3">
        <v>42453</v>
      </c>
      <c r="AW92" t="s">
        <v>54</v>
      </c>
      <c r="AX92" t="str">
        <f t="shared" si="9"/>
        <v>FOR</v>
      </c>
      <c r="AY92" t="s">
        <v>55</v>
      </c>
    </row>
    <row r="93" spans="1:51" hidden="1">
      <c r="A93">
        <v>100066</v>
      </c>
      <c r="B93" t="s">
        <v>64</v>
      </c>
      <c r="C93" t="str">
        <f t="shared" si="10"/>
        <v>12268050155</v>
      </c>
      <c r="D93" t="str">
        <f t="shared" si="11"/>
        <v>04785851009</v>
      </c>
      <c r="E93" t="s">
        <v>52</v>
      </c>
      <c r="F93">
        <v>2015</v>
      </c>
      <c r="G93" t="str">
        <f>"          1010878425"</f>
        <v xml:space="preserve">          1010878425</v>
      </c>
      <c r="H93" s="3">
        <v>42123</v>
      </c>
      <c r="I93" s="3">
        <v>42164</v>
      </c>
      <c r="J93" s="3">
        <v>42163</v>
      </c>
      <c r="K93" s="3">
        <v>42223</v>
      </c>
      <c r="L93"/>
      <c r="N93"/>
      <c r="O93" s="4">
        <v>1956.2</v>
      </c>
      <c r="P93">
        <v>230</v>
      </c>
      <c r="Q93" s="4">
        <v>449926</v>
      </c>
      <c r="R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 s="3">
        <v>42562</v>
      </c>
      <c r="AC93" t="s">
        <v>53</v>
      </c>
      <c r="AD93" t="s">
        <v>53</v>
      </c>
      <c r="AK93">
        <v>0</v>
      </c>
      <c r="AU93" s="3">
        <v>42453</v>
      </c>
      <c r="AV93" s="3">
        <v>42453</v>
      </c>
      <c r="AW93" t="s">
        <v>54</v>
      </c>
      <c r="AX93" t="str">
        <f t="shared" si="9"/>
        <v>FOR</v>
      </c>
      <c r="AY93" t="s">
        <v>55</v>
      </c>
    </row>
    <row r="94" spans="1:51" hidden="1">
      <c r="A94">
        <v>100066</v>
      </c>
      <c r="B94" t="s">
        <v>64</v>
      </c>
      <c r="C94" t="str">
        <f t="shared" si="10"/>
        <v>12268050155</v>
      </c>
      <c r="D94" t="str">
        <f t="shared" si="11"/>
        <v>04785851009</v>
      </c>
      <c r="E94" t="s">
        <v>52</v>
      </c>
      <c r="F94">
        <v>2015</v>
      </c>
      <c r="G94" t="str">
        <f>"          1010878426"</f>
        <v xml:space="preserve">          1010878426</v>
      </c>
      <c r="H94" s="3">
        <v>42123</v>
      </c>
      <c r="I94" s="3">
        <v>42164</v>
      </c>
      <c r="J94" s="3">
        <v>42163</v>
      </c>
      <c r="K94" s="3">
        <v>42223</v>
      </c>
      <c r="L94"/>
      <c r="N94"/>
      <c r="O94" s="4">
        <v>3400</v>
      </c>
      <c r="P94">
        <v>230</v>
      </c>
      <c r="Q94" s="4">
        <v>782000</v>
      </c>
      <c r="R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 s="3">
        <v>42562</v>
      </c>
      <c r="AC94" t="s">
        <v>53</v>
      </c>
      <c r="AD94" t="s">
        <v>53</v>
      </c>
      <c r="AK94">
        <v>0</v>
      </c>
      <c r="AU94" s="3">
        <v>42453</v>
      </c>
      <c r="AV94" s="3">
        <v>42453</v>
      </c>
      <c r="AW94" t="s">
        <v>54</v>
      </c>
      <c r="AX94" t="str">
        <f t="shared" si="9"/>
        <v>FOR</v>
      </c>
      <c r="AY94" t="s">
        <v>55</v>
      </c>
    </row>
    <row r="95" spans="1:51" hidden="1">
      <c r="A95">
        <v>100066</v>
      </c>
      <c r="B95" t="s">
        <v>64</v>
      </c>
      <c r="C95" t="str">
        <f t="shared" si="10"/>
        <v>12268050155</v>
      </c>
      <c r="D95" t="str">
        <f t="shared" si="11"/>
        <v>04785851009</v>
      </c>
      <c r="E95" t="s">
        <v>52</v>
      </c>
      <c r="F95">
        <v>2015</v>
      </c>
      <c r="G95" t="str">
        <f>"          1010878428"</f>
        <v xml:space="preserve">          1010878428</v>
      </c>
      <c r="H95" s="3">
        <v>42123</v>
      </c>
      <c r="I95" s="3">
        <v>42164</v>
      </c>
      <c r="J95" s="3">
        <v>42163</v>
      </c>
      <c r="K95" s="3">
        <v>42223</v>
      </c>
      <c r="L95"/>
      <c r="N95"/>
      <c r="O95" s="4">
        <v>3214.8</v>
      </c>
      <c r="P95">
        <v>230</v>
      </c>
      <c r="Q95" s="4">
        <v>739404</v>
      </c>
      <c r="R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 s="3">
        <v>42562</v>
      </c>
      <c r="AC95" t="s">
        <v>53</v>
      </c>
      <c r="AD95" t="s">
        <v>53</v>
      </c>
      <c r="AK95">
        <v>0</v>
      </c>
      <c r="AU95" s="3">
        <v>42453</v>
      </c>
      <c r="AV95" s="3">
        <v>42453</v>
      </c>
      <c r="AW95" t="s">
        <v>54</v>
      </c>
      <c r="AX95" t="str">
        <f t="shared" si="9"/>
        <v>FOR</v>
      </c>
      <c r="AY95" t="s">
        <v>55</v>
      </c>
    </row>
    <row r="96" spans="1:51" hidden="1">
      <c r="A96">
        <v>100066</v>
      </c>
      <c r="B96" t="s">
        <v>64</v>
      </c>
      <c r="C96" t="str">
        <f t="shared" si="10"/>
        <v>12268050155</v>
      </c>
      <c r="D96" t="str">
        <f t="shared" si="11"/>
        <v>04785851009</v>
      </c>
      <c r="E96" t="s">
        <v>52</v>
      </c>
      <c r="F96">
        <v>2015</v>
      </c>
      <c r="G96" t="str">
        <f>"          1010878429"</f>
        <v xml:space="preserve">          1010878429</v>
      </c>
      <c r="H96" s="3">
        <v>42123</v>
      </c>
      <c r="I96" s="3">
        <v>42164</v>
      </c>
      <c r="J96" s="3">
        <v>42163</v>
      </c>
      <c r="K96" s="3">
        <v>42223</v>
      </c>
      <c r="L96"/>
      <c r="N96"/>
      <c r="O96" s="4">
        <v>1450</v>
      </c>
      <c r="P96">
        <v>230</v>
      </c>
      <c r="Q96" s="4">
        <v>333500</v>
      </c>
      <c r="R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 s="3">
        <v>42562</v>
      </c>
      <c r="AC96" t="s">
        <v>53</v>
      </c>
      <c r="AD96" t="s">
        <v>53</v>
      </c>
      <c r="AK96">
        <v>0</v>
      </c>
      <c r="AU96" s="3">
        <v>42453</v>
      </c>
      <c r="AV96" s="3">
        <v>42453</v>
      </c>
      <c r="AW96" t="s">
        <v>54</v>
      </c>
      <c r="AX96" t="str">
        <f t="shared" si="9"/>
        <v>FOR</v>
      </c>
      <c r="AY96" t="s">
        <v>55</v>
      </c>
    </row>
    <row r="97" spans="1:51" hidden="1">
      <c r="A97">
        <v>100066</v>
      </c>
      <c r="B97" t="s">
        <v>64</v>
      </c>
      <c r="C97" t="str">
        <f t="shared" si="10"/>
        <v>12268050155</v>
      </c>
      <c r="D97" t="str">
        <f t="shared" si="11"/>
        <v>04785851009</v>
      </c>
      <c r="E97" t="s">
        <v>52</v>
      </c>
      <c r="F97">
        <v>2015</v>
      </c>
      <c r="G97" t="str">
        <f>"          1010878430"</f>
        <v xml:space="preserve">          1010878430</v>
      </c>
      <c r="H97" s="3">
        <v>42123</v>
      </c>
      <c r="I97" s="3">
        <v>42164</v>
      </c>
      <c r="J97" s="3">
        <v>42163</v>
      </c>
      <c r="K97" s="3">
        <v>42223</v>
      </c>
      <c r="L97"/>
      <c r="N97"/>
      <c r="O97">
        <v>913.6</v>
      </c>
      <c r="P97">
        <v>230</v>
      </c>
      <c r="Q97" s="4">
        <v>210128</v>
      </c>
      <c r="R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 s="3">
        <v>42562</v>
      </c>
      <c r="AC97" t="s">
        <v>53</v>
      </c>
      <c r="AD97" t="s">
        <v>53</v>
      </c>
      <c r="AK97">
        <v>0</v>
      </c>
      <c r="AU97" s="3">
        <v>42453</v>
      </c>
      <c r="AV97" s="3">
        <v>42453</v>
      </c>
      <c r="AW97" t="s">
        <v>54</v>
      </c>
      <c r="AX97" t="str">
        <f t="shared" si="9"/>
        <v>FOR</v>
      </c>
      <c r="AY97" t="s">
        <v>55</v>
      </c>
    </row>
    <row r="98" spans="1:51" hidden="1">
      <c r="A98">
        <v>100066</v>
      </c>
      <c r="B98" t="s">
        <v>64</v>
      </c>
      <c r="C98" t="str">
        <f t="shared" si="10"/>
        <v>12268050155</v>
      </c>
      <c r="D98" t="str">
        <f t="shared" si="11"/>
        <v>04785851009</v>
      </c>
      <c r="E98" t="s">
        <v>52</v>
      </c>
      <c r="F98">
        <v>2015</v>
      </c>
      <c r="G98" t="str">
        <f>"          1010878431"</f>
        <v xml:space="preserve">          1010878431</v>
      </c>
      <c r="H98" s="3">
        <v>42123</v>
      </c>
      <c r="I98" s="3">
        <v>42164</v>
      </c>
      <c r="J98" s="3">
        <v>42163</v>
      </c>
      <c r="K98" s="3">
        <v>42223</v>
      </c>
      <c r="L98"/>
      <c r="N98"/>
      <c r="O98" s="4">
        <v>3214.8</v>
      </c>
      <c r="P98">
        <v>230</v>
      </c>
      <c r="Q98" s="4">
        <v>739404</v>
      </c>
      <c r="R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 s="3">
        <v>42562</v>
      </c>
      <c r="AC98" t="s">
        <v>53</v>
      </c>
      <c r="AD98" t="s">
        <v>53</v>
      </c>
      <c r="AK98">
        <v>0</v>
      </c>
      <c r="AU98" s="3">
        <v>42453</v>
      </c>
      <c r="AV98" s="3">
        <v>42453</v>
      </c>
      <c r="AW98" t="s">
        <v>54</v>
      </c>
      <c r="AX98" t="str">
        <f t="shared" si="9"/>
        <v>FOR</v>
      </c>
      <c r="AY98" t="s">
        <v>55</v>
      </c>
    </row>
    <row r="99" spans="1:51" hidden="1">
      <c r="A99">
        <v>100066</v>
      </c>
      <c r="B99" t="s">
        <v>64</v>
      </c>
      <c r="C99" t="str">
        <f t="shared" si="10"/>
        <v>12268050155</v>
      </c>
      <c r="D99" t="str">
        <f t="shared" si="11"/>
        <v>04785851009</v>
      </c>
      <c r="E99" t="s">
        <v>52</v>
      </c>
      <c r="F99">
        <v>2015</v>
      </c>
      <c r="G99" t="str">
        <f>"          1010881265"</f>
        <v xml:space="preserve">          1010881265</v>
      </c>
      <c r="H99" s="3">
        <v>42128</v>
      </c>
      <c r="I99" s="3">
        <v>42160</v>
      </c>
      <c r="J99" s="3">
        <v>42145</v>
      </c>
      <c r="K99" s="3">
        <v>42205</v>
      </c>
      <c r="L99"/>
      <c r="N99"/>
      <c r="O99" s="4">
        <v>6800</v>
      </c>
      <c r="P99">
        <v>248</v>
      </c>
      <c r="Q99" s="4">
        <v>1686400</v>
      </c>
      <c r="R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 s="3">
        <v>42562</v>
      </c>
      <c r="AC99" t="s">
        <v>53</v>
      </c>
      <c r="AD99" t="s">
        <v>53</v>
      </c>
      <c r="AK99">
        <v>0</v>
      </c>
      <c r="AU99" s="3">
        <v>42453</v>
      </c>
      <c r="AV99" s="3">
        <v>42453</v>
      </c>
      <c r="AW99" t="s">
        <v>54</v>
      </c>
      <c r="AX99" t="str">
        <f t="shared" ref="AX99:AX130" si="12">"FOR"</f>
        <v>FOR</v>
      </c>
      <c r="AY99" t="s">
        <v>55</v>
      </c>
    </row>
    <row r="100" spans="1:51" hidden="1">
      <c r="A100">
        <v>100066</v>
      </c>
      <c r="B100" t="s">
        <v>64</v>
      </c>
      <c r="C100" t="str">
        <f t="shared" si="10"/>
        <v>12268050155</v>
      </c>
      <c r="D100" t="str">
        <f t="shared" si="11"/>
        <v>04785851009</v>
      </c>
      <c r="E100" t="s">
        <v>52</v>
      </c>
      <c r="F100">
        <v>2015</v>
      </c>
      <c r="G100" t="str">
        <f>"          1010881500"</f>
        <v xml:space="preserve">          1010881500</v>
      </c>
      <c r="H100" s="3">
        <v>42129</v>
      </c>
      <c r="I100" s="3">
        <v>42160</v>
      </c>
      <c r="J100" s="3">
        <v>42145</v>
      </c>
      <c r="K100" s="3">
        <v>42205</v>
      </c>
      <c r="L100"/>
      <c r="N100"/>
      <c r="O100">
        <v>948</v>
      </c>
      <c r="P100">
        <v>248</v>
      </c>
      <c r="Q100" s="4">
        <v>235104</v>
      </c>
      <c r="R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 s="3">
        <v>42562</v>
      </c>
      <c r="AC100" t="s">
        <v>53</v>
      </c>
      <c r="AD100" t="s">
        <v>53</v>
      </c>
      <c r="AK100">
        <v>0</v>
      </c>
      <c r="AU100" s="3">
        <v>42453</v>
      </c>
      <c r="AV100" s="3">
        <v>42453</v>
      </c>
      <c r="AW100" t="s">
        <v>54</v>
      </c>
      <c r="AX100" t="str">
        <f t="shared" si="12"/>
        <v>FOR</v>
      </c>
      <c r="AY100" t="s">
        <v>55</v>
      </c>
    </row>
    <row r="101" spans="1:51" hidden="1">
      <c r="A101">
        <v>100066</v>
      </c>
      <c r="B101" t="s">
        <v>64</v>
      </c>
      <c r="C101" t="str">
        <f t="shared" si="10"/>
        <v>12268050155</v>
      </c>
      <c r="D101" t="str">
        <f t="shared" si="11"/>
        <v>04785851009</v>
      </c>
      <c r="E101" t="s">
        <v>52</v>
      </c>
      <c r="F101">
        <v>2015</v>
      </c>
      <c r="G101" t="str">
        <f>"          1010881732"</f>
        <v xml:space="preserve">          1010881732</v>
      </c>
      <c r="H101" s="3">
        <v>42131</v>
      </c>
      <c r="I101" s="3">
        <v>42158</v>
      </c>
      <c r="J101" s="3">
        <v>42145</v>
      </c>
      <c r="K101" s="3">
        <v>42205</v>
      </c>
      <c r="L101"/>
      <c r="N101"/>
      <c r="O101" s="4">
        <v>1827.2</v>
      </c>
      <c r="P101">
        <v>248</v>
      </c>
      <c r="Q101" s="4">
        <v>453145.59999999998</v>
      </c>
      <c r="R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 s="3">
        <v>42562</v>
      </c>
      <c r="AC101" t="s">
        <v>53</v>
      </c>
      <c r="AD101" t="s">
        <v>53</v>
      </c>
      <c r="AK101">
        <v>0</v>
      </c>
      <c r="AU101" s="3">
        <v>42453</v>
      </c>
      <c r="AV101" s="3">
        <v>42453</v>
      </c>
      <c r="AW101" t="s">
        <v>54</v>
      </c>
      <c r="AX101" t="str">
        <f t="shared" si="12"/>
        <v>FOR</v>
      </c>
      <c r="AY101" t="s">
        <v>55</v>
      </c>
    </row>
    <row r="102" spans="1:51" hidden="1">
      <c r="A102">
        <v>100066</v>
      </c>
      <c r="B102" t="s">
        <v>64</v>
      </c>
      <c r="C102" t="str">
        <f t="shared" si="10"/>
        <v>12268050155</v>
      </c>
      <c r="D102" t="str">
        <f t="shared" si="11"/>
        <v>04785851009</v>
      </c>
      <c r="E102" t="s">
        <v>52</v>
      </c>
      <c r="F102">
        <v>2015</v>
      </c>
      <c r="G102" t="str">
        <f>"          1010881824"</f>
        <v xml:space="preserve">          1010881824</v>
      </c>
      <c r="H102" s="3">
        <v>42131</v>
      </c>
      <c r="I102" s="3">
        <v>42158</v>
      </c>
      <c r="J102" s="3">
        <v>42145</v>
      </c>
      <c r="K102" s="3">
        <v>42205</v>
      </c>
      <c r="L102"/>
      <c r="N102"/>
      <c r="O102" s="4">
        <v>3249.2</v>
      </c>
      <c r="P102">
        <v>248</v>
      </c>
      <c r="Q102" s="4">
        <v>805801.6</v>
      </c>
      <c r="R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 s="3">
        <v>42562</v>
      </c>
      <c r="AC102" t="s">
        <v>53</v>
      </c>
      <c r="AD102" t="s">
        <v>53</v>
      </c>
      <c r="AK102">
        <v>0</v>
      </c>
      <c r="AU102" s="3">
        <v>42453</v>
      </c>
      <c r="AV102" s="3">
        <v>42453</v>
      </c>
      <c r="AW102" t="s">
        <v>54</v>
      </c>
      <c r="AX102" t="str">
        <f t="shared" si="12"/>
        <v>FOR</v>
      </c>
      <c r="AY102" t="s">
        <v>55</v>
      </c>
    </row>
    <row r="103" spans="1:51" hidden="1">
      <c r="A103">
        <v>100066</v>
      </c>
      <c r="B103" t="s">
        <v>64</v>
      </c>
      <c r="C103" t="str">
        <f t="shared" si="10"/>
        <v>12268050155</v>
      </c>
      <c r="D103" t="str">
        <f t="shared" si="11"/>
        <v>04785851009</v>
      </c>
      <c r="E103" t="s">
        <v>52</v>
      </c>
      <c r="F103">
        <v>2015</v>
      </c>
      <c r="G103" t="str">
        <f>"          1010882442"</f>
        <v xml:space="preserve">          1010882442</v>
      </c>
      <c r="H103" s="3">
        <v>42136</v>
      </c>
      <c r="I103" s="3">
        <v>42160</v>
      </c>
      <c r="J103" s="3">
        <v>42146</v>
      </c>
      <c r="K103" s="3">
        <v>42206</v>
      </c>
      <c r="L103"/>
      <c r="N103"/>
      <c r="O103" s="4">
        <v>10560.1</v>
      </c>
      <c r="P103">
        <v>247</v>
      </c>
      <c r="Q103" s="4">
        <v>2608344.7000000002</v>
      </c>
      <c r="R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 s="3">
        <v>42562</v>
      </c>
      <c r="AC103" t="s">
        <v>53</v>
      </c>
      <c r="AD103" t="s">
        <v>53</v>
      </c>
      <c r="AK103">
        <v>0</v>
      </c>
      <c r="AU103" s="3">
        <v>42453</v>
      </c>
      <c r="AV103" s="3">
        <v>42453</v>
      </c>
      <c r="AW103" t="s">
        <v>54</v>
      </c>
      <c r="AX103" t="str">
        <f t="shared" si="12"/>
        <v>FOR</v>
      </c>
      <c r="AY103" t="s">
        <v>55</v>
      </c>
    </row>
    <row r="104" spans="1:51" hidden="1">
      <c r="A104">
        <v>100066</v>
      </c>
      <c r="B104" t="s">
        <v>64</v>
      </c>
      <c r="C104" t="str">
        <f t="shared" si="10"/>
        <v>12268050155</v>
      </c>
      <c r="D104" t="str">
        <f t="shared" si="11"/>
        <v>04785851009</v>
      </c>
      <c r="E104" t="s">
        <v>52</v>
      </c>
      <c r="F104">
        <v>2015</v>
      </c>
      <c r="G104" t="str">
        <f>"          1010882443"</f>
        <v xml:space="preserve">          1010882443</v>
      </c>
      <c r="H104" s="3">
        <v>42136</v>
      </c>
      <c r="I104" s="3">
        <v>42158</v>
      </c>
      <c r="J104" s="3">
        <v>42146</v>
      </c>
      <c r="K104" s="3">
        <v>42206</v>
      </c>
      <c r="L104"/>
      <c r="N104"/>
      <c r="O104" s="4">
        <v>8150.05</v>
      </c>
      <c r="P104">
        <v>247</v>
      </c>
      <c r="Q104" s="4">
        <v>2013062.35</v>
      </c>
      <c r="R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 s="3">
        <v>42562</v>
      </c>
      <c r="AC104" t="s">
        <v>53</v>
      </c>
      <c r="AD104" t="s">
        <v>53</v>
      </c>
      <c r="AK104">
        <v>0</v>
      </c>
      <c r="AU104" s="3">
        <v>42453</v>
      </c>
      <c r="AV104" s="3">
        <v>42453</v>
      </c>
      <c r="AW104" t="s">
        <v>54</v>
      </c>
      <c r="AX104" t="str">
        <f t="shared" si="12"/>
        <v>FOR</v>
      </c>
      <c r="AY104" t="s">
        <v>55</v>
      </c>
    </row>
    <row r="105" spans="1:51" hidden="1">
      <c r="A105">
        <v>100066</v>
      </c>
      <c r="B105" t="s">
        <v>64</v>
      </c>
      <c r="C105" t="str">
        <f t="shared" si="10"/>
        <v>12268050155</v>
      </c>
      <c r="D105" t="str">
        <f t="shared" si="11"/>
        <v>04785851009</v>
      </c>
      <c r="E105" t="s">
        <v>52</v>
      </c>
      <c r="F105">
        <v>2015</v>
      </c>
      <c r="G105" t="str">
        <f>"          1010882444"</f>
        <v xml:space="preserve">          1010882444</v>
      </c>
      <c r="H105" s="3">
        <v>42136</v>
      </c>
      <c r="I105" s="3">
        <v>42160</v>
      </c>
      <c r="J105" s="3">
        <v>42146</v>
      </c>
      <c r="K105" s="3">
        <v>42206</v>
      </c>
      <c r="L105"/>
      <c r="N105"/>
      <c r="O105">
        <v>230</v>
      </c>
      <c r="P105">
        <v>247</v>
      </c>
      <c r="Q105" s="4">
        <v>56810</v>
      </c>
      <c r="R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 s="3">
        <v>42562</v>
      </c>
      <c r="AC105" t="s">
        <v>53</v>
      </c>
      <c r="AD105" t="s">
        <v>53</v>
      </c>
      <c r="AK105">
        <v>0</v>
      </c>
      <c r="AU105" s="3">
        <v>42453</v>
      </c>
      <c r="AV105" s="3">
        <v>42453</v>
      </c>
      <c r="AW105" t="s">
        <v>54</v>
      </c>
      <c r="AX105" t="str">
        <f t="shared" si="12"/>
        <v>FOR</v>
      </c>
      <c r="AY105" t="s">
        <v>55</v>
      </c>
    </row>
    <row r="106" spans="1:51" hidden="1">
      <c r="A106">
        <v>100066</v>
      </c>
      <c r="B106" t="s">
        <v>64</v>
      </c>
      <c r="C106" t="str">
        <f t="shared" si="10"/>
        <v>12268050155</v>
      </c>
      <c r="D106" t="str">
        <f t="shared" si="11"/>
        <v>04785851009</v>
      </c>
      <c r="E106" t="s">
        <v>52</v>
      </c>
      <c r="F106">
        <v>2015</v>
      </c>
      <c r="G106" t="str">
        <f>"          1010882445"</f>
        <v xml:space="preserve">          1010882445</v>
      </c>
      <c r="H106" s="3">
        <v>42136</v>
      </c>
      <c r="I106" s="3">
        <v>42160</v>
      </c>
      <c r="J106" s="3">
        <v>42146</v>
      </c>
      <c r="K106" s="3">
        <v>42206</v>
      </c>
      <c r="L106"/>
      <c r="N106"/>
      <c r="O106" s="4">
        <v>6960</v>
      </c>
      <c r="P106">
        <v>247</v>
      </c>
      <c r="Q106" s="4">
        <v>1719120</v>
      </c>
      <c r="R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 s="3">
        <v>42562</v>
      </c>
      <c r="AC106" t="s">
        <v>53</v>
      </c>
      <c r="AD106" t="s">
        <v>53</v>
      </c>
      <c r="AK106">
        <v>0</v>
      </c>
      <c r="AU106" s="3">
        <v>42453</v>
      </c>
      <c r="AV106" s="3">
        <v>42453</v>
      </c>
      <c r="AW106" t="s">
        <v>54</v>
      </c>
      <c r="AX106" t="str">
        <f t="shared" si="12"/>
        <v>FOR</v>
      </c>
      <c r="AY106" t="s">
        <v>55</v>
      </c>
    </row>
    <row r="107" spans="1:51" hidden="1">
      <c r="A107">
        <v>100066</v>
      </c>
      <c r="B107" t="s">
        <v>64</v>
      </c>
      <c r="C107" t="str">
        <f t="shared" si="10"/>
        <v>12268050155</v>
      </c>
      <c r="D107" t="str">
        <f t="shared" si="11"/>
        <v>04785851009</v>
      </c>
      <c r="E107" t="s">
        <v>52</v>
      </c>
      <c r="F107">
        <v>2015</v>
      </c>
      <c r="G107" t="str">
        <f>"          1010882446"</f>
        <v xml:space="preserve">          1010882446</v>
      </c>
      <c r="H107" s="3">
        <v>42136</v>
      </c>
      <c r="I107" s="3">
        <v>42160</v>
      </c>
      <c r="J107" s="3">
        <v>42146</v>
      </c>
      <c r="K107" s="3">
        <v>42206</v>
      </c>
      <c r="L107"/>
      <c r="N107"/>
      <c r="O107" s="4">
        <v>3091.2</v>
      </c>
      <c r="P107">
        <v>247</v>
      </c>
      <c r="Q107" s="4">
        <v>763526.4</v>
      </c>
      <c r="R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 s="3">
        <v>42562</v>
      </c>
      <c r="AC107" t="s">
        <v>53</v>
      </c>
      <c r="AD107" t="s">
        <v>53</v>
      </c>
      <c r="AK107">
        <v>0</v>
      </c>
      <c r="AU107" s="3">
        <v>42453</v>
      </c>
      <c r="AV107" s="3">
        <v>42453</v>
      </c>
      <c r="AW107" t="s">
        <v>54</v>
      </c>
      <c r="AX107" t="str">
        <f t="shared" si="12"/>
        <v>FOR</v>
      </c>
      <c r="AY107" t="s">
        <v>55</v>
      </c>
    </row>
    <row r="108" spans="1:51" hidden="1">
      <c r="A108">
        <v>100066</v>
      </c>
      <c r="B108" t="s">
        <v>64</v>
      </c>
      <c r="C108" t="str">
        <f t="shared" ref="C108:C126" si="13">"12268050155"</f>
        <v>12268050155</v>
      </c>
      <c r="D108" t="str">
        <f t="shared" ref="D108:D126" si="14">"04785851009"</f>
        <v>04785851009</v>
      </c>
      <c r="E108" t="s">
        <v>52</v>
      </c>
      <c r="F108">
        <v>2015</v>
      </c>
      <c r="G108" t="str">
        <f>"          1010883698"</f>
        <v xml:space="preserve">          1010883698</v>
      </c>
      <c r="H108" s="3">
        <v>42142</v>
      </c>
      <c r="I108" s="3">
        <v>42160</v>
      </c>
      <c r="J108" s="3">
        <v>42145</v>
      </c>
      <c r="K108" s="3">
        <v>42205</v>
      </c>
      <c r="L108"/>
      <c r="N108"/>
      <c r="O108">
        <v>124.32</v>
      </c>
      <c r="P108">
        <v>248</v>
      </c>
      <c r="Q108" s="4">
        <v>30831.360000000001</v>
      </c>
      <c r="R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 s="3">
        <v>42562</v>
      </c>
      <c r="AC108" t="s">
        <v>53</v>
      </c>
      <c r="AD108" t="s">
        <v>53</v>
      </c>
      <c r="AK108">
        <v>0</v>
      </c>
      <c r="AU108" s="3">
        <v>42453</v>
      </c>
      <c r="AV108" s="3">
        <v>42453</v>
      </c>
      <c r="AW108" t="s">
        <v>54</v>
      </c>
      <c r="AX108" t="str">
        <f t="shared" si="12"/>
        <v>FOR</v>
      </c>
      <c r="AY108" t="s">
        <v>55</v>
      </c>
    </row>
    <row r="109" spans="1:51" hidden="1">
      <c r="A109">
        <v>100066</v>
      </c>
      <c r="B109" t="s">
        <v>64</v>
      </c>
      <c r="C109" t="str">
        <f t="shared" si="13"/>
        <v>12268050155</v>
      </c>
      <c r="D109" t="str">
        <f t="shared" si="14"/>
        <v>04785851009</v>
      </c>
      <c r="E109" t="s">
        <v>52</v>
      </c>
      <c r="F109">
        <v>2015</v>
      </c>
      <c r="G109" t="str">
        <f>"          1010884913"</f>
        <v xml:space="preserve">          1010884913</v>
      </c>
      <c r="H109" s="3">
        <v>42151</v>
      </c>
      <c r="I109" s="3">
        <v>42160</v>
      </c>
      <c r="J109" s="3">
        <v>42156</v>
      </c>
      <c r="K109" s="3">
        <v>42216</v>
      </c>
      <c r="L109"/>
      <c r="N109"/>
      <c r="O109" s="4">
        <v>1827.2</v>
      </c>
      <c r="P109">
        <v>237</v>
      </c>
      <c r="Q109" s="4">
        <v>433046.4</v>
      </c>
      <c r="R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 s="3">
        <v>42562</v>
      </c>
      <c r="AC109" t="s">
        <v>53</v>
      </c>
      <c r="AD109" t="s">
        <v>53</v>
      </c>
      <c r="AK109">
        <v>0</v>
      </c>
      <c r="AU109" s="3">
        <v>42453</v>
      </c>
      <c r="AV109" s="3">
        <v>42453</v>
      </c>
      <c r="AW109" t="s">
        <v>54</v>
      </c>
      <c r="AX109" t="str">
        <f t="shared" si="12"/>
        <v>FOR</v>
      </c>
      <c r="AY109" t="s">
        <v>55</v>
      </c>
    </row>
    <row r="110" spans="1:51">
      <c r="A110">
        <v>100066</v>
      </c>
      <c r="B110" t="s">
        <v>64</v>
      </c>
      <c r="C110" t="str">
        <f t="shared" si="13"/>
        <v>12268050155</v>
      </c>
      <c r="D110" t="str">
        <f t="shared" si="14"/>
        <v>04785851009</v>
      </c>
      <c r="E110" t="s">
        <v>52</v>
      </c>
      <c r="F110">
        <v>2015</v>
      </c>
      <c r="G110" t="str">
        <f>"          1010886535"</f>
        <v xml:space="preserve">          1010886535</v>
      </c>
      <c r="H110" s="3">
        <v>42163</v>
      </c>
      <c r="I110" s="3">
        <v>42174</v>
      </c>
      <c r="J110" s="3">
        <v>42173</v>
      </c>
      <c r="K110" s="3">
        <v>42233</v>
      </c>
      <c r="L110" s="5">
        <v>11628.66</v>
      </c>
      <c r="M110">
        <v>287</v>
      </c>
      <c r="N110" s="5">
        <v>3337425.42</v>
      </c>
      <c r="O110" s="4">
        <v>11628.66</v>
      </c>
      <c r="P110">
        <v>287</v>
      </c>
      <c r="Q110" s="4">
        <v>3337425.42</v>
      </c>
      <c r="R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 s="3">
        <v>42562</v>
      </c>
      <c r="AC110" t="s">
        <v>53</v>
      </c>
      <c r="AD110" t="s">
        <v>53</v>
      </c>
      <c r="AK110">
        <v>0</v>
      </c>
      <c r="AU110" s="3">
        <v>42520</v>
      </c>
      <c r="AV110" s="3">
        <v>42520</v>
      </c>
      <c r="AW110" t="s">
        <v>54</v>
      </c>
      <c r="AX110" t="str">
        <f t="shared" si="12"/>
        <v>FOR</v>
      </c>
      <c r="AY110" t="s">
        <v>55</v>
      </c>
    </row>
    <row r="111" spans="1:51">
      <c r="A111">
        <v>100066</v>
      </c>
      <c r="B111" t="s">
        <v>64</v>
      </c>
      <c r="C111" t="str">
        <f t="shared" si="13"/>
        <v>12268050155</v>
      </c>
      <c r="D111" t="str">
        <f t="shared" si="14"/>
        <v>04785851009</v>
      </c>
      <c r="E111" t="s">
        <v>52</v>
      </c>
      <c r="F111">
        <v>2015</v>
      </c>
      <c r="G111" t="str">
        <f>"          1010886820"</f>
        <v xml:space="preserve">          1010886820</v>
      </c>
      <c r="H111" s="3">
        <v>42164</v>
      </c>
      <c r="I111" s="3">
        <v>42174</v>
      </c>
      <c r="J111" s="3">
        <v>42173</v>
      </c>
      <c r="K111" s="3">
        <v>42233</v>
      </c>
      <c r="L111" s="5">
        <v>9500</v>
      </c>
      <c r="M111">
        <v>259</v>
      </c>
      <c r="N111" s="5">
        <v>2460500</v>
      </c>
      <c r="O111" s="4">
        <v>9500</v>
      </c>
      <c r="P111">
        <v>259</v>
      </c>
      <c r="Q111" s="4">
        <v>2460500</v>
      </c>
      <c r="R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 s="3">
        <v>42562</v>
      </c>
      <c r="AC111" t="s">
        <v>53</v>
      </c>
      <c r="AD111" t="s">
        <v>53</v>
      </c>
      <c r="AK111">
        <v>0</v>
      </c>
      <c r="AU111" s="3">
        <v>42492</v>
      </c>
      <c r="AV111" s="3">
        <v>42492</v>
      </c>
      <c r="AW111" t="s">
        <v>54</v>
      </c>
      <c r="AX111" t="str">
        <f t="shared" si="12"/>
        <v>FOR</v>
      </c>
      <c r="AY111" t="s">
        <v>55</v>
      </c>
    </row>
    <row r="112" spans="1:51">
      <c r="A112">
        <v>100066</v>
      </c>
      <c r="B112" t="s">
        <v>64</v>
      </c>
      <c r="C112" t="str">
        <f t="shared" si="13"/>
        <v>12268050155</v>
      </c>
      <c r="D112" t="str">
        <f t="shared" si="14"/>
        <v>04785851009</v>
      </c>
      <c r="E112" t="s">
        <v>52</v>
      </c>
      <c r="F112">
        <v>2015</v>
      </c>
      <c r="G112" t="str">
        <f>"          1010886821"</f>
        <v xml:space="preserve">          1010886821</v>
      </c>
      <c r="H112" s="3">
        <v>42164</v>
      </c>
      <c r="I112" s="3">
        <v>42174</v>
      </c>
      <c r="J112" s="3">
        <v>42173</v>
      </c>
      <c r="K112" s="3">
        <v>42233</v>
      </c>
      <c r="L112" s="5">
        <v>5360</v>
      </c>
      <c r="M112">
        <v>259</v>
      </c>
      <c r="N112" s="5">
        <v>1388240</v>
      </c>
      <c r="O112" s="4">
        <v>5360</v>
      </c>
      <c r="P112">
        <v>259</v>
      </c>
      <c r="Q112" s="4">
        <v>1388240</v>
      </c>
      <c r="R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s="3">
        <v>42562</v>
      </c>
      <c r="AC112" t="s">
        <v>53</v>
      </c>
      <c r="AD112" t="s">
        <v>53</v>
      </c>
      <c r="AK112">
        <v>0</v>
      </c>
      <c r="AU112" s="3">
        <v>42492</v>
      </c>
      <c r="AV112" s="3">
        <v>42492</v>
      </c>
      <c r="AW112" t="s">
        <v>54</v>
      </c>
      <c r="AX112" t="str">
        <f t="shared" si="12"/>
        <v>FOR</v>
      </c>
      <c r="AY112" t="s">
        <v>55</v>
      </c>
    </row>
    <row r="113" spans="1:51">
      <c r="A113">
        <v>100066</v>
      </c>
      <c r="B113" t="s">
        <v>64</v>
      </c>
      <c r="C113" t="str">
        <f t="shared" si="13"/>
        <v>12268050155</v>
      </c>
      <c r="D113" t="str">
        <f t="shared" si="14"/>
        <v>04785851009</v>
      </c>
      <c r="E113" t="s">
        <v>52</v>
      </c>
      <c r="F113">
        <v>2015</v>
      </c>
      <c r="G113" t="str">
        <f>"          1010886822"</f>
        <v xml:space="preserve">          1010886822</v>
      </c>
      <c r="H113" s="3">
        <v>42164</v>
      </c>
      <c r="I113" s="3">
        <v>42174</v>
      </c>
      <c r="J113" s="3">
        <v>42173</v>
      </c>
      <c r="K113" s="3">
        <v>42233</v>
      </c>
      <c r="L113" s="5">
        <v>7243.73</v>
      </c>
      <c r="M113">
        <v>259</v>
      </c>
      <c r="N113" s="5">
        <v>1876126.07</v>
      </c>
      <c r="O113" s="4">
        <v>7243.73</v>
      </c>
      <c r="P113">
        <v>259</v>
      </c>
      <c r="Q113" s="4">
        <v>1876126.07</v>
      </c>
      <c r="R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 s="3">
        <v>42562</v>
      </c>
      <c r="AC113" t="s">
        <v>53</v>
      </c>
      <c r="AD113" t="s">
        <v>53</v>
      </c>
      <c r="AK113">
        <v>0</v>
      </c>
      <c r="AU113" s="3">
        <v>42492</v>
      </c>
      <c r="AV113" s="3">
        <v>42492</v>
      </c>
      <c r="AW113" t="s">
        <v>54</v>
      </c>
      <c r="AX113" t="str">
        <f t="shared" si="12"/>
        <v>FOR</v>
      </c>
      <c r="AY113" t="s">
        <v>55</v>
      </c>
    </row>
    <row r="114" spans="1:51">
      <c r="A114">
        <v>100066</v>
      </c>
      <c r="B114" t="s">
        <v>64</v>
      </c>
      <c r="C114" t="str">
        <f t="shared" si="13"/>
        <v>12268050155</v>
      </c>
      <c r="D114" t="str">
        <f t="shared" si="14"/>
        <v>04785851009</v>
      </c>
      <c r="E114" t="s">
        <v>52</v>
      </c>
      <c r="F114">
        <v>2015</v>
      </c>
      <c r="G114" t="str">
        <f>"          1010886823"</f>
        <v xml:space="preserve">          1010886823</v>
      </c>
      <c r="H114" s="3">
        <v>42164</v>
      </c>
      <c r="I114" s="3">
        <v>42174</v>
      </c>
      <c r="J114" s="3">
        <v>42173</v>
      </c>
      <c r="K114" s="3">
        <v>42233</v>
      </c>
      <c r="L114" s="5">
        <v>10498</v>
      </c>
      <c r="M114">
        <v>259</v>
      </c>
      <c r="N114" s="5">
        <v>2718982</v>
      </c>
      <c r="O114" s="4">
        <v>10498</v>
      </c>
      <c r="P114">
        <v>259</v>
      </c>
      <c r="Q114" s="4">
        <v>2718982</v>
      </c>
      <c r="R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 s="3">
        <v>42562</v>
      </c>
      <c r="AC114" t="s">
        <v>53</v>
      </c>
      <c r="AD114" t="s">
        <v>53</v>
      </c>
      <c r="AK114">
        <v>0</v>
      </c>
      <c r="AU114" s="3">
        <v>42492</v>
      </c>
      <c r="AV114" s="3">
        <v>42492</v>
      </c>
      <c r="AW114" t="s">
        <v>54</v>
      </c>
      <c r="AX114" t="str">
        <f t="shared" si="12"/>
        <v>FOR</v>
      </c>
      <c r="AY114" t="s">
        <v>55</v>
      </c>
    </row>
    <row r="115" spans="1:51">
      <c r="A115">
        <v>100066</v>
      </c>
      <c r="B115" t="s">
        <v>64</v>
      </c>
      <c r="C115" t="str">
        <f t="shared" si="13"/>
        <v>12268050155</v>
      </c>
      <c r="D115" t="str">
        <f t="shared" si="14"/>
        <v>04785851009</v>
      </c>
      <c r="E115" t="s">
        <v>52</v>
      </c>
      <c r="F115">
        <v>2015</v>
      </c>
      <c r="G115" t="str">
        <f>"          1010886824"</f>
        <v xml:space="preserve">          1010886824</v>
      </c>
      <c r="H115" s="3">
        <v>42164</v>
      </c>
      <c r="I115" s="3">
        <v>42174</v>
      </c>
      <c r="J115" s="3">
        <v>42173</v>
      </c>
      <c r="K115" s="3">
        <v>42233</v>
      </c>
      <c r="L115" s="5">
        <v>1350.5</v>
      </c>
      <c r="M115">
        <v>259</v>
      </c>
      <c r="N115" s="5">
        <v>349779.5</v>
      </c>
      <c r="O115" s="4">
        <v>1350.5</v>
      </c>
      <c r="P115">
        <v>259</v>
      </c>
      <c r="Q115" s="4">
        <v>349779.5</v>
      </c>
      <c r="R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 s="3">
        <v>42562</v>
      </c>
      <c r="AC115" t="s">
        <v>53</v>
      </c>
      <c r="AD115" t="s">
        <v>53</v>
      </c>
      <c r="AK115">
        <v>0</v>
      </c>
      <c r="AU115" s="3">
        <v>42492</v>
      </c>
      <c r="AV115" s="3">
        <v>42492</v>
      </c>
      <c r="AW115" t="s">
        <v>54</v>
      </c>
      <c r="AX115" t="str">
        <f t="shared" si="12"/>
        <v>FOR</v>
      </c>
      <c r="AY115" t="s">
        <v>55</v>
      </c>
    </row>
    <row r="116" spans="1:51">
      <c r="A116">
        <v>100066</v>
      </c>
      <c r="B116" t="s">
        <v>64</v>
      </c>
      <c r="C116" t="str">
        <f t="shared" si="13"/>
        <v>12268050155</v>
      </c>
      <c r="D116" t="str">
        <f t="shared" si="14"/>
        <v>04785851009</v>
      </c>
      <c r="E116" t="s">
        <v>52</v>
      </c>
      <c r="F116">
        <v>2015</v>
      </c>
      <c r="G116" t="str">
        <f>"          1010886825"</f>
        <v xml:space="preserve">          1010886825</v>
      </c>
      <c r="H116" s="3">
        <v>42164</v>
      </c>
      <c r="I116" s="3">
        <v>42174</v>
      </c>
      <c r="J116" s="3">
        <v>42173</v>
      </c>
      <c r="K116" s="3">
        <v>42233</v>
      </c>
      <c r="L116" s="5">
        <v>2740.8</v>
      </c>
      <c r="M116">
        <v>259</v>
      </c>
      <c r="N116" s="5">
        <v>709867.2</v>
      </c>
      <c r="O116" s="4">
        <v>2740.8</v>
      </c>
      <c r="P116">
        <v>259</v>
      </c>
      <c r="Q116" s="4">
        <v>709867.2</v>
      </c>
      <c r="R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 s="3">
        <v>42562</v>
      </c>
      <c r="AC116" t="s">
        <v>53</v>
      </c>
      <c r="AD116" t="s">
        <v>53</v>
      </c>
      <c r="AK116">
        <v>0</v>
      </c>
      <c r="AU116" s="3">
        <v>42492</v>
      </c>
      <c r="AV116" s="3">
        <v>42492</v>
      </c>
      <c r="AW116" t="s">
        <v>54</v>
      </c>
      <c r="AX116" t="str">
        <f t="shared" si="12"/>
        <v>FOR</v>
      </c>
      <c r="AY116" t="s">
        <v>55</v>
      </c>
    </row>
    <row r="117" spans="1:51">
      <c r="A117">
        <v>100066</v>
      </c>
      <c r="B117" t="s">
        <v>64</v>
      </c>
      <c r="C117" t="str">
        <f t="shared" si="13"/>
        <v>12268050155</v>
      </c>
      <c r="D117" t="str">
        <f t="shared" si="14"/>
        <v>04785851009</v>
      </c>
      <c r="E117" t="s">
        <v>52</v>
      </c>
      <c r="F117">
        <v>2015</v>
      </c>
      <c r="G117" t="str">
        <f>"          1010886826"</f>
        <v xml:space="preserve">          1010886826</v>
      </c>
      <c r="H117" s="3">
        <v>42164</v>
      </c>
      <c r="I117" s="3">
        <v>42174</v>
      </c>
      <c r="J117" s="3">
        <v>42173</v>
      </c>
      <c r="K117" s="3">
        <v>42233</v>
      </c>
      <c r="L117" s="1">
        <v>27</v>
      </c>
      <c r="M117">
        <v>259</v>
      </c>
      <c r="N117" s="5">
        <v>6993</v>
      </c>
      <c r="O117">
        <v>27</v>
      </c>
      <c r="P117">
        <v>259</v>
      </c>
      <c r="Q117" s="4">
        <v>6993</v>
      </c>
      <c r="R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 s="3">
        <v>42562</v>
      </c>
      <c r="AC117" t="s">
        <v>53</v>
      </c>
      <c r="AD117" t="s">
        <v>53</v>
      </c>
      <c r="AK117">
        <v>0</v>
      </c>
      <c r="AU117" s="3">
        <v>42492</v>
      </c>
      <c r="AV117" s="3">
        <v>42492</v>
      </c>
      <c r="AW117" t="s">
        <v>54</v>
      </c>
      <c r="AX117" t="str">
        <f t="shared" si="12"/>
        <v>FOR</v>
      </c>
      <c r="AY117" t="s">
        <v>55</v>
      </c>
    </row>
    <row r="118" spans="1:51">
      <c r="A118">
        <v>100066</v>
      </c>
      <c r="B118" t="s">
        <v>64</v>
      </c>
      <c r="C118" t="str">
        <f t="shared" si="13"/>
        <v>12268050155</v>
      </c>
      <c r="D118" t="str">
        <f t="shared" si="14"/>
        <v>04785851009</v>
      </c>
      <c r="E118" t="s">
        <v>52</v>
      </c>
      <c r="F118">
        <v>2015</v>
      </c>
      <c r="G118" t="str">
        <f>"          1010886827"</f>
        <v xml:space="preserve">          1010886827</v>
      </c>
      <c r="H118" s="3">
        <v>42164</v>
      </c>
      <c r="I118" s="3">
        <v>42174</v>
      </c>
      <c r="J118" s="3">
        <v>42173</v>
      </c>
      <c r="K118" s="3">
        <v>42233</v>
      </c>
      <c r="L118" s="5">
        <v>10693</v>
      </c>
      <c r="M118">
        <v>287</v>
      </c>
      <c r="N118" s="5">
        <v>3068891</v>
      </c>
      <c r="O118" s="4">
        <v>10693</v>
      </c>
      <c r="P118">
        <v>287</v>
      </c>
      <c r="Q118" s="4">
        <v>3068891</v>
      </c>
      <c r="R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 s="3">
        <v>42562</v>
      </c>
      <c r="AC118" t="s">
        <v>53</v>
      </c>
      <c r="AD118" t="s">
        <v>53</v>
      </c>
      <c r="AK118">
        <v>0</v>
      </c>
      <c r="AU118" s="3">
        <v>42520</v>
      </c>
      <c r="AV118" s="3">
        <v>42520</v>
      </c>
      <c r="AW118" t="s">
        <v>54</v>
      </c>
      <c r="AX118" t="str">
        <f t="shared" si="12"/>
        <v>FOR</v>
      </c>
      <c r="AY118" t="s">
        <v>55</v>
      </c>
    </row>
    <row r="119" spans="1:51">
      <c r="A119">
        <v>100066</v>
      </c>
      <c r="B119" t="s">
        <v>64</v>
      </c>
      <c r="C119" t="str">
        <f t="shared" si="13"/>
        <v>12268050155</v>
      </c>
      <c r="D119" t="str">
        <f t="shared" si="14"/>
        <v>04785851009</v>
      </c>
      <c r="E119" t="s">
        <v>52</v>
      </c>
      <c r="F119">
        <v>2015</v>
      </c>
      <c r="G119" t="str">
        <f>"          1010887046"</f>
        <v xml:space="preserve">          1010887046</v>
      </c>
      <c r="H119" s="3">
        <v>42165</v>
      </c>
      <c r="I119" s="3">
        <v>42174</v>
      </c>
      <c r="J119" s="3">
        <v>42173</v>
      </c>
      <c r="K119" s="3">
        <v>42233</v>
      </c>
      <c r="L119" s="5">
        <v>1440</v>
      </c>
      <c r="M119">
        <v>259</v>
      </c>
      <c r="N119" s="5">
        <v>372960</v>
      </c>
      <c r="O119" s="4">
        <v>1440</v>
      </c>
      <c r="P119">
        <v>259</v>
      </c>
      <c r="Q119" s="4">
        <v>372960</v>
      </c>
      <c r="R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 s="3">
        <v>42562</v>
      </c>
      <c r="AC119" t="s">
        <v>53</v>
      </c>
      <c r="AD119" t="s">
        <v>53</v>
      </c>
      <c r="AK119">
        <v>0</v>
      </c>
      <c r="AU119" s="3">
        <v>42492</v>
      </c>
      <c r="AV119" s="3">
        <v>42492</v>
      </c>
      <c r="AW119" t="s">
        <v>54</v>
      </c>
      <c r="AX119" t="str">
        <f t="shared" si="12"/>
        <v>FOR</v>
      </c>
      <c r="AY119" t="s">
        <v>55</v>
      </c>
    </row>
    <row r="120" spans="1:51">
      <c r="A120">
        <v>100066</v>
      </c>
      <c r="B120" t="s">
        <v>64</v>
      </c>
      <c r="C120" t="str">
        <f t="shared" si="13"/>
        <v>12268050155</v>
      </c>
      <c r="D120" t="str">
        <f t="shared" si="14"/>
        <v>04785851009</v>
      </c>
      <c r="E120" t="s">
        <v>52</v>
      </c>
      <c r="F120">
        <v>2015</v>
      </c>
      <c r="G120" t="str">
        <f>"          1010887047"</f>
        <v xml:space="preserve">          1010887047</v>
      </c>
      <c r="H120" s="3">
        <v>42165</v>
      </c>
      <c r="I120" s="3">
        <v>42174</v>
      </c>
      <c r="J120" s="3">
        <v>42173</v>
      </c>
      <c r="K120" s="3">
        <v>42233</v>
      </c>
      <c r="L120" s="1">
        <v>321.20999999999998</v>
      </c>
      <c r="M120">
        <v>259</v>
      </c>
      <c r="N120" s="5">
        <v>83193.39</v>
      </c>
      <c r="O120">
        <v>321.20999999999998</v>
      </c>
      <c r="P120">
        <v>259</v>
      </c>
      <c r="Q120" s="4">
        <v>83193.39</v>
      </c>
      <c r="R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 s="3">
        <v>42562</v>
      </c>
      <c r="AC120" t="s">
        <v>53</v>
      </c>
      <c r="AD120" t="s">
        <v>53</v>
      </c>
      <c r="AK120">
        <v>0</v>
      </c>
      <c r="AU120" s="3">
        <v>42492</v>
      </c>
      <c r="AV120" s="3">
        <v>42492</v>
      </c>
      <c r="AW120" t="s">
        <v>54</v>
      </c>
      <c r="AX120" t="str">
        <f t="shared" si="12"/>
        <v>FOR</v>
      </c>
      <c r="AY120" t="s">
        <v>55</v>
      </c>
    </row>
    <row r="121" spans="1:51">
      <c r="A121">
        <v>100066</v>
      </c>
      <c r="B121" t="s">
        <v>64</v>
      </c>
      <c r="C121" t="str">
        <f t="shared" si="13"/>
        <v>12268050155</v>
      </c>
      <c r="D121" t="str">
        <f t="shared" si="14"/>
        <v>04785851009</v>
      </c>
      <c r="E121" t="s">
        <v>52</v>
      </c>
      <c r="F121">
        <v>2015</v>
      </c>
      <c r="G121" t="str">
        <f>"          1010888177"</f>
        <v xml:space="preserve">          1010888177</v>
      </c>
      <c r="H121" s="3">
        <v>42172</v>
      </c>
      <c r="I121" s="3">
        <v>42174</v>
      </c>
      <c r="J121" s="3">
        <v>42173</v>
      </c>
      <c r="K121" s="3">
        <v>42233</v>
      </c>
      <c r="L121" s="5">
        <v>2775.2</v>
      </c>
      <c r="M121">
        <v>259</v>
      </c>
      <c r="N121" s="5">
        <v>718776.8</v>
      </c>
      <c r="O121" s="4">
        <v>2775.2</v>
      </c>
      <c r="P121">
        <v>259</v>
      </c>
      <c r="Q121" s="4">
        <v>718776.8</v>
      </c>
      <c r="R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 s="3">
        <v>42562</v>
      </c>
      <c r="AC121" t="s">
        <v>53</v>
      </c>
      <c r="AD121" t="s">
        <v>53</v>
      </c>
      <c r="AK121">
        <v>0</v>
      </c>
      <c r="AU121" s="3">
        <v>42492</v>
      </c>
      <c r="AV121" s="3">
        <v>42492</v>
      </c>
      <c r="AW121" t="s">
        <v>54</v>
      </c>
      <c r="AX121" t="str">
        <f t="shared" si="12"/>
        <v>FOR</v>
      </c>
      <c r="AY121" t="s">
        <v>55</v>
      </c>
    </row>
    <row r="122" spans="1:51">
      <c r="A122">
        <v>100066</v>
      </c>
      <c r="B122" t="s">
        <v>64</v>
      </c>
      <c r="C122" t="str">
        <f t="shared" si="13"/>
        <v>12268050155</v>
      </c>
      <c r="D122" t="str">
        <f t="shared" si="14"/>
        <v>04785851009</v>
      </c>
      <c r="E122" t="s">
        <v>52</v>
      </c>
      <c r="F122">
        <v>2015</v>
      </c>
      <c r="G122" t="str">
        <f>"          1010888491"</f>
        <v xml:space="preserve">          1010888491</v>
      </c>
      <c r="H122" s="3">
        <v>42175</v>
      </c>
      <c r="I122" s="3">
        <v>42181</v>
      </c>
      <c r="J122" s="3">
        <v>42178</v>
      </c>
      <c r="K122" s="3">
        <v>42238</v>
      </c>
      <c r="L122" s="5">
        <v>5110.8</v>
      </c>
      <c r="M122">
        <v>254</v>
      </c>
      <c r="N122" s="5">
        <v>1298143.2</v>
      </c>
      <c r="O122" s="4">
        <v>5110.8</v>
      </c>
      <c r="P122">
        <v>254</v>
      </c>
      <c r="Q122" s="4">
        <v>1298143.2</v>
      </c>
      <c r="R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 s="3">
        <v>42562</v>
      </c>
      <c r="AC122" t="s">
        <v>53</v>
      </c>
      <c r="AD122" t="s">
        <v>53</v>
      </c>
      <c r="AK122">
        <v>0</v>
      </c>
      <c r="AU122" s="3">
        <v>42492</v>
      </c>
      <c r="AV122" s="3">
        <v>42492</v>
      </c>
      <c r="AW122" t="s">
        <v>54</v>
      </c>
      <c r="AX122" t="str">
        <f t="shared" si="12"/>
        <v>FOR</v>
      </c>
      <c r="AY122" t="s">
        <v>55</v>
      </c>
    </row>
    <row r="123" spans="1:51">
      <c r="A123">
        <v>100066</v>
      </c>
      <c r="B123" t="s">
        <v>64</v>
      </c>
      <c r="C123" t="str">
        <f t="shared" si="13"/>
        <v>12268050155</v>
      </c>
      <c r="D123" t="str">
        <f t="shared" si="14"/>
        <v>04785851009</v>
      </c>
      <c r="E123" t="s">
        <v>52</v>
      </c>
      <c r="F123">
        <v>2015</v>
      </c>
      <c r="G123" t="str">
        <f>"          1010890363"</f>
        <v xml:space="preserve">          1010890363</v>
      </c>
      <c r="H123" s="3">
        <v>42179</v>
      </c>
      <c r="I123" s="3">
        <v>42186</v>
      </c>
      <c r="J123" s="3">
        <v>42181</v>
      </c>
      <c r="K123" s="3">
        <v>42241</v>
      </c>
      <c r="L123" s="5">
        <v>1827.2</v>
      </c>
      <c r="M123">
        <v>251</v>
      </c>
      <c r="N123" s="5">
        <v>458627.2</v>
      </c>
      <c r="O123" s="4">
        <v>1827.2</v>
      </c>
      <c r="P123">
        <v>251</v>
      </c>
      <c r="Q123" s="4">
        <v>458627.2</v>
      </c>
      <c r="R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 s="3">
        <v>42562</v>
      </c>
      <c r="AC123" t="s">
        <v>53</v>
      </c>
      <c r="AD123" t="s">
        <v>53</v>
      </c>
      <c r="AK123">
        <v>0</v>
      </c>
      <c r="AU123" s="3">
        <v>42492</v>
      </c>
      <c r="AV123" s="3">
        <v>42492</v>
      </c>
      <c r="AW123" t="s">
        <v>54</v>
      </c>
      <c r="AX123" t="str">
        <f t="shared" si="12"/>
        <v>FOR</v>
      </c>
      <c r="AY123" t="s">
        <v>55</v>
      </c>
    </row>
    <row r="124" spans="1:51">
      <c r="A124">
        <v>100066</v>
      </c>
      <c r="B124" t="s">
        <v>64</v>
      </c>
      <c r="C124" t="str">
        <f t="shared" si="13"/>
        <v>12268050155</v>
      </c>
      <c r="D124" t="str">
        <f t="shared" si="14"/>
        <v>04785851009</v>
      </c>
      <c r="E124" t="s">
        <v>52</v>
      </c>
      <c r="F124">
        <v>2015</v>
      </c>
      <c r="G124" t="str">
        <f>"          1010890364"</f>
        <v xml:space="preserve">          1010890364</v>
      </c>
      <c r="H124" s="3">
        <v>42179</v>
      </c>
      <c r="I124" s="3">
        <v>42186</v>
      </c>
      <c r="J124" s="3">
        <v>42181</v>
      </c>
      <c r="K124" s="3">
        <v>42241</v>
      </c>
      <c r="L124" s="5">
        <v>11839.92</v>
      </c>
      <c r="M124">
        <v>251</v>
      </c>
      <c r="N124" s="5">
        <v>2971819.92</v>
      </c>
      <c r="O124" s="4">
        <v>11839.92</v>
      </c>
      <c r="P124">
        <v>251</v>
      </c>
      <c r="Q124" s="4">
        <v>2971819.92</v>
      </c>
      <c r="R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 s="3">
        <v>42562</v>
      </c>
      <c r="AC124" t="s">
        <v>53</v>
      </c>
      <c r="AD124" t="s">
        <v>53</v>
      </c>
      <c r="AK124">
        <v>0</v>
      </c>
      <c r="AU124" s="3">
        <v>42492</v>
      </c>
      <c r="AV124" s="3">
        <v>42492</v>
      </c>
      <c r="AW124" t="s">
        <v>54</v>
      </c>
      <c r="AX124" t="str">
        <f t="shared" si="12"/>
        <v>FOR</v>
      </c>
      <c r="AY124" t="s">
        <v>55</v>
      </c>
    </row>
    <row r="125" spans="1:51">
      <c r="A125">
        <v>100066</v>
      </c>
      <c r="B125" t="s">
        <v>64</v>
      </c>
      <c r="C125" t="str">
        <f t="shared" si="13"/>
        <v>12268050155</v>
      </c>
      <c r="D125" t="str">
        <f t="shared" si="14"/>
        <v>04785851009</v>
      </c>
      <c r="E125" t="s">
        <v>52</v>
      </c>
      <c r="F125">
        <v>2015</v>
      </c>
      <c r="G125" t="str">
        <f>"          1010890580"</f>
        <v xml:space="preserve">          1010890580</v>
      </c>
      <c r="H125" s="3">
        <v>42180</v>
      </c>
      <c r="I125" s="3">
        <v>42186</v>
      </c>
      <c r="J125" s="3">
        <v>42181</v>
      </c>
      <c r="K125" s="3">
        <v>42241</v>
      </c>
      <c r="L125" s="1">
        <v>474</v>
      </c>
      <c r="M125">
        <v>251</v>
      </c>
      <c r="N125" s="5">
        <v>118974</v>
      </c>
      <c r="O125">
        <v>474</v>
      </c>
      <c r="P125">
        <v>251</v>
      </c>
      <c r="Q125" s="4">
        <v>118974</v>
      </c>
      <c r="R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 s="3">
        <v>42562</v>
      </c>
      <c r="AC125" t="s">
        <v>53</v>
      </c>
      <c r="AD125" t="s">
        <v>53</v>
      </c>
      <c r="AK125">
        <v>0</v>
      </c>
      <c r="AU125" s="3">
        <v>42492</v>
      </c>
      <c r="AV125" s="3">
        <v>42492</v>
      </c>
      <c r="AW125" t="s">
        <v>54</v>
      </c>
      <c r="AX125" t="str">
        <f t="shared" si="12"/>
        <v>FOR</v>
      </c>
      <c r="AY125" t="s">
        <v>55</v>
      </c>
    </row>
    <row r="126" spans="1:51">
      <c r="A126">
        <v>100066</v>
      </c>
      <c r="B126" t="s">
        <v>64</v>
      </c>
      <c r="C126" t="str">
        <f t="shared" si="13"/>
        <v>12268050155</v>
      </c>
      <c r="D126" t="str">
        <f t="shared" si="14"/>
        <v>04785851009</v>
      </c>
      <c r="E126" t="s">
        <v>52</v>
      </c>
      <c r="F126">
        <v>2015</v>
      </c>
      <c r="G126" t="str">
        <f>"          1010895890"</f>
        <v xml:space="preserve">          1010895890</v>
      </c>
      <c r="H126" s="3">
        <v>42212</v>
      </c>
      <c r="I126" s="3">
        <v>42216</v>
      </c>
      <c r="J126" s="3">
        <v>42215</v>
      </c>
      <c r="K126" s="3">
        <v>42275</v>
      </c>
      <c r="L126" s="5">
        <v>2143.1999999999998</v>
      </c>
      <c r="M126">
        <v>245</v>
      </c>
      <c r="N126" s="5">
        <v>525084</v>
      </c>
      <c r="O126" s="4">
        <v>2143.1999999999998</v>
      </c>
      <c r="P126">
        <v>245</v>
      </c>
      <c r="Q126" s="4">
        <v>525084</v>
      </c>
      <c r="R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 s="3">
        <v>42562</v>
      </c>
      <c r="AC126" t="s">
        <v>53</v>
      </c>
      <c r="AD126" t="s">
        <v>53</v>
      </c>
      <c r="AK126">
        <v>0</v>
      </c>
      <c r="AU126" s="3">
        <v>42520</v>
      </c>
      <c r="AV126" s="3">
        <v>42520</v>
      </c>
      <c r="AW126" t="s">
        <v>54</v>
      </c>
      <c r="AX126" t="str">
        <f t="shared" si="12"/>
        <v>FOR</v>
      </c>
      <c r="AY126" t="s">
        <v>55</v>
      </c>
    </row>
    <row r="127" spans="1:51" hidden="1">
      <c r="A127">
        <v>100073</v>
      </c>
      <c r="B127" t="s">
        <v>65</v>
      </c>
      <c r="C127" t="str">
        <f t="shared" ref="C127:C135" si="15">"11496970150"</f>
        <v>11496970150</v>
      </c>
      <c r="D127" t="str">
        <f t="shared" ref="D127:D135" si="16">"01778520302"</f>
        <v>01778520302</v>
      </c>
      <c r="E127" t="s">
        <v>52</v>
      </c>
      <c r="F127">
        <v>2015</v>
      </c>
      <c r="G127" t="str">
        <f>"                1239"</f>
        <v xml:space="preserve">                1239</v>
      </c>
      <c r="H127" s="3">
        <v>42023</v>
      </c>
      <c r="I127" s="3">
        <v>42040</v>
      </c>
      <c r="J127" s="3">
        <v>42040</v>
      </c>
      <c r="K127" s="3">
        <v>42100</v>
      </c>
      <c r="L127"/>
      <c r="N127"/>
      <c r="O127" s="4">
        <v>3880.4</v>
      </c>
      <c r="P127">
        <v>305</v>
      </c>
      <c r="Q127" s="4">
        <v>1183522</v>
      </c>
      <c r="R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 s="3">
        <v>42562</v>
      </c>
      <c r="AC127" t="s">
        <v>53</v>
      </c>
      <c r="AD127" t="s">
        <v>53</v>
      </c>
      <c r="AK127">
        <v>0</v>
      </c>
      <c r="AU127" s="3">
        <v>42405</v>
      </c>
      <c r="AV127" s="3">
        <v>42405</v>
      </c>
      <c r="AW127" t="s">
        <v>54</v>
      </c>
      <c r="AX127" t="str">
        <f t="shared" si="12"/>
        <v>FOR</v>
      </c>
      <c r="AY127" t="s">
        <v>55</v>
      </c>
    </row>
    <row r="128" spans="1:51" hidden="1">
      <c r="A128">
        <v>100073</v>
      </c>
      <c r="B128" t="s">
        <v>65</v>
      </c>
      <c r="C128" t="str">
        <f t="shared" si="15"/>
        <v>11496970150</v>
      </c>
      <c r="D128" t="str">
        <f t="shared" si="16"/>
        <v>01778520302</v>
      </c>
      <c r="E128" t="s">
        <v>52</v>
      </c>
      <c r="F128">
        <v>2015</v>
      </c>
      <c r="G128" t="str">
        <f>"                4320"</f>
        <v xml:space="preserve">                4320</v>
      </c>
      <c r="H128" s="3">
        <v>42051</v>
      </c>
      <c r="I128" s="3">
        <v>42089</v>
      </c>
      <c r="J128" s="3">
        <v>42089</v>
      </c>
      <c r="K128" s="3">
        <v>42149</v>
      </c>
      <c r="L128"/>
      <c r="N128"/>
      <c r="O128" s="4">
        <v>4142</v>
      </c>
      <c r="P128">
        <v>256</v>
      </c>
      <c r="Q128" s="4">
        <v>1060352</v>
      </c>
      <c r="R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 s="3">
        <v>42562</v>
      </c>
      <c r="AC128" t="s">
        <v>53</v>
      </c>
      <c r="AD128" t="s">
        <v>53</v>
      </c>
      <c r="AK128">
        <v>0</v>
      </c>
      <c r="AU128" s="3">
        <v>42405</v>
      </c>
      <c r="AV128" s="3">
        <v>42405</v>
      </c>
      <c r="AW128" t="s">
        <v>54</v>
      </c>
      <c r="AX128" t="str">
        <f t="shared" si="12"/>
        <v>FOR</v>
      </c>
      <c r="AY128" t="s">
        <v>55</v>
      </c>
    </row>
    <row r="129" spans="1:51" hidden="1">
      <c r="A129">
        <v>100073</v>
      </c>
      <c r="B129" t="s">
        <v>65</v>
      </c>
      <c r="C129" t="str">
        <f t="shared" si="15"/>
        <v>11496970150</v>
      </c>
      <c r="D129" t="str">
        <f t="shared" si="16"/>
        <v>01778520302</v>
      </c>
      <c r="E129" t="s">
        <v>52</v>
      </c>
      <c r="F129">
        <v>2015</v>
      </c>
      <c r="G129" t="str">
        <f>"                7268"</f>
        <v xml:space="preserve">                7268</v>
      </c>
      <c r="H129" s="3">
        <v>42079</v>
      </c>
      <c r="I129" s="3">
        <v>42102</v>
      </c>
      <c r="J129" s="3">
        <v>42102</v>
      </c>
      <c r="K129" s="3">
        <v>42162</v>
      </c>
      <c r="L129"/>
      <c r="N129"/>
      <c r="O129" s="4">
        <v>3270</v>
      </c>
      <c r="P129">
        <v>290</v>
      </c>
      <c r="Q129" s="4">
        <v>948300</v>
      </c>
      <c r="R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 s="3">
        <v>42562</v>
      </c>
      <c r="AC129" t="s">
        <v>53</v>
      </c>
      <c r="AD129" t="s">
        <v>53</v>
      </c>
      <c r="AK129">
        <v>0</v>
      </c>
      <c r="AU129" s="3">
        <v>42452</v>
      </c>
      <c r="AV129" s="3">
        <v>42452</v>
      </c>
      <c r="AW129" t="s">
        <v>54</v>
      </c>
      <c r="AX129" t="str">
        <f t="shared" si="12"/>
        <v>FOR</v>
      </c>
      <c r="AY129" t="s">
        <v>55</v>
      </c>
    </row>
    <row r="130" spans="1:51" hidden="1">
      <c r="A130">
        <v>100073</v>
      </c>
      <c r="B130" t="s">
        <v>65</v>
      </c>
      <c r="C130" t="str">
        <f t="shared" si="15"/>
        <v>11496970150</v>
      </c>
      <c r="D130" t="str">
        <f t="shared" si="16"/>
        <v>01778520302</v>
      </c>
      <c r="E130" t="s">
        <v>52</v>
      </c>
      <c r="F130">
        <v>2015</v>
      </c>
      <c r="G130" t="str">
        <f>"             V3-9427"</f>
        <v xml:space="preserve">             V3-9427</v>
      </c>
      <c r="H130" s="3">
        <v>42103</v>
      </c>
      <c r="I130" s="3">
        <v>42115</v>
      </c>
      <c r="J130" s="3">
        <v>42110</v>
      </c>
      <c r="K130" s="3">
        <v>42170</v>
      </c>
      <c r="L130"/>
      <c r="N130"/>
      <c r="O130" s="4">
        <v>1090</v>
      </c>
      <c r="P130">
        <v>282</v>
      </c>
      <c r="Q130" s="4">
        <v>307380</v>
      </c>
      <c r="R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 s="3">
        <v>42562</v>
      </c>
      <c r="AC130" t="s">
        <v>53</v>
      </c>
      <c r="AD130" t="s">
        <v>53</v>
      </c>
      <c r="AK130">
        <v>0</v>
      </c>
      <c r="AU130" s="3">
        <v>42452</v>
      </c>
      <c r="AV130" s="3">
        <v>42452</v>
      </c>
      <c r="AW130" t="s">
        <v>54</v>
      </c>
      <c r="AX130" t="str">
        <f t="shared" si="12"/>
        <v>FOR</v>
      </c>
      <c r="AY130" t="s">
        <v>55</v>
      </c>
    </row>
    <row r="131" spans="1:51" hidden="1">
      <c r="A131">
        <v>100073</v>
      </c>
      <c r="B131" t="s">
        <v>65</v>
      </c>
      <c r="C131" t="str">
        <f t="shared" si="15"/>
        <v>11496970150</v>
      </c>
      <c r="D131" t="str">
        <f t="shared" si="16"/>
        <v>01778520302</v>
      </c>
      <c r="E131" t="s">
        <v>52</v>
      </c>
      <c r="F131">
        <v>2015</v>
      </c>
      <c r="G131" t="str">
        <f>"             V3-9428"</f>
        <v xml:space="preserve">             V3-9428</v>
      </c>
      <c r="H131" s="3">
        <v>42103</v>
      </c>
      <c r="I131" s="3">
        <v>42115</v>
      </c>
      <c r="J131" s="3">
        <v>42110</v>
      </c>
      <c r="K131" s="3">
        <v>42170</v>
      </c>
      <c r="L131"/>
      <c r="N131"/>
      <c r="O131" s="4">
        <v>1090</v>
      </c>
      <c r="P131">
        <v>282</v>
      </c>
      <c r="Q131" s="4">
        <v>307380</v>
      </c>
      <c r="R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 s="3">
        <v>42562</v>
      </c>
      <c r="AC131" t="s">
        <v>53</v>
      </c>
      <c r="AD131" t="s">
        <v>53</v>
      </c>
      <c r="AK131">
        <v>0</v>
      </c>
      <c r="AU131" s="3">
        <v>42452</v>
      </c>
      <c r="AV131" s="3">
        <v>42452</v>
      </c>
      <c r="AW131" t="s">
        <v>54</v>
      </c>
      <c r="AX131" t="str">
        <f t="shared" ref="AX131:AX148" si="17">"FOR"</f>
        <v>FOR</v>
      </c>
      <c r="AY131" t="s">
        <v>55</v>
      </c>
    </row>
    <row r="132" spans="1:51" hidden="1">
      <c r="A132">
        <v>100073</v>
      </c>
      <c r="B132" t="s">
        <v>65</v>
      </c>
      <c r="C132" t="str">
        <f t="shared" si="15"/>
        <v>11496970150</v>
      </c>
      <c r="D132" t="str">
        <f t="shared" si="16"/>
        <v>01778520302</v>
      </c>
      <c r="E132" t="s">
        <v>52</v>
      </c>
      <c r="F132">
        <v>2015</v>
      </c>
      <c r="G132" t="str">
        <f>"            V3-11745"</f>
        <v xml:space="preserve">            V3-11745</v>
      </c>
      <c r="H132" s="3">
        <v>42124</v>
      </c>
      <c r="I132" s="3">
        <v>42139</v>
      </c>
      <c r="J132" s="3">
        <v>42137</v>
      </c>
      <c r="K132" s="3">
        <v>42197</v>
      </c>
      <c r="L132"/>
      <c r="N132"/>
      <c r="O132" s="4">
        <v>1526</v>
      </c>
      <c r="P132">
        <v>255</v>
      </c>
      <c r="Q132" s="4">
        <v>389130</v>
      </c>
      <c r="R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 s="3">
        <v>42562</v>
      </c>
      <c r="AC132" t="s">
        <v>53</v>
      </c>
      <c r="AD132" t="s">
        <v>53</v>
      </c>
      <c r="AK132">
        <v>0</v>
      </c>
      <c r="AU132" s="3">
        <v>42452</v>
      </c>
      <c r="AV132" s="3">
        <v>42452</v>
      </c>
      <c r="AW132" t="s">
        <v>54</v>
      </c>
      <c r="AX132" t="str">
        <f t="shared" si="17"/>
        <v>FOR</v>
      </c>
      <c r="AY132" t="s">
        <v>55</v>
      </c>
    </row>
    <row r="133" spans="1:51" hidden="1">
      <c r="A133">
        <v>100073</v>
      </c>
      <c r="B133" t="s">
        <v>65</v>
      </c>
      <c r="C133" t="str">
        <f t="shared" si="15"/>
        <v>11496970150</v>
      </c>
      <c r="D133" t="str">
        <f t="shared" si="16"/>
        <v>01778520302</v>
      </c>
      <c r="E133" t="s">
        <v>52</v>
      </c>
      <c r="F133">
        <v>2015</v>
      </c>
      <c r="G133" t="str">
        <f>"            V3-14350"</f>
        <v xml:space="preserve">            V3-14350</v>
      </c>
      <c r="H133" s="3">
        <v>42151</v>
      </c>
      <c r="I133" s="3">
        <v>42160</v>
      </c>
      <c r="J133" s="3">
        <v>42152</v>
      </c>
      <c r="K133" s="3">
        <v>42212</v>
      </c>
      <c r="L133"/>
      <c r="N133"/>
      <c r="O133" s="4">
        <v>2616</v>
      </c>
      <c r="P133">
        <v>240</v>
      </c>
      <c r="Q133" s="4">
        <v>627840</v>
      </c>
      <c r="R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 s="3">
        <v>42562</v>
      </c>
      <c r="AC133" t="s">
        <v>53</v>
      </c>
      <c r="AD133" t="s">
        <v>53</v>
      </c>
      <c r="AK133">
        <v>0</v>
      </c>
      <c r="AU133" s="3">
        <v>42452</v>
      </c>
      <c r="AV133" s="3">
        <v>42452</v>
      </c>
      <c r="AW133" t="s">
        <v>54</v>
      </c>
      <c r="AX133" t="str">
        <f t="shared" si="17"/>
        <v>FOR</v>
      </c>
      <c r="AY133" t="s">
        <v>55</v>
      </c>
    </row>
    <row r="134" spans="1:51">
      <c r="A134">
        <v>100073</v>
      </c>
      <c r="B134" t="s">
        <v>65</v>
      </c>
      <c r="C134" t="str">
        <f t="shared" si="15"/>
        <v>11496970150</v>
      </c>
      <c r="D134" t="str">
        <f t="shared" si="16"/>
        <v>01778520302</v>
      </c>
      <c r="E134" t="s">
        <v>52</v>
      </c>
      <c r="F134">
        <v>2015</v>
      </c>
      <c r="G134" t="str">
        <f>"       6012215001134"</f>
        <v xml:space="preserve">       6012215001134</v>
      </c>
      <c r="H134" s="3">
        <v>42170</v>
      </c>
      <c r="I134" s="3">
        <v>42172</v>
      </c>
      <c r="J134" s="3">
        <v>42171</v>
      </c>
      <c r="K134" s="3">
        <v>42231</v>
      </c>
      <c r="L134" s="5">
        <v>10500</v>
      </c>
      <c r="M134">
        <v>289</v>
      </c>
      <c r="N134" s="5">
        <v>3034500</v>
      </c>
      <c r="O134" s="4">
        <v>10500</v>
      </c>
      <c r="P134">
        <v>289</v>
      </c>
      <c r="Q134" s="4">
        <v>3034500</v>
      </c>
      <c r="R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 s="3">
        <v>42562</v>
      </c>
      <c r="AC134" t="s">
        <v>53</v>
      </c>
      <c r="AD134" t="s">
        <v>53</v>
      </c>
      <c r="AK134">
        <v>0</v>
      </c>
      <c r="AU134" s="3">
        <v>42520</v>
      </c>
      <c r="AV134" s="3">
        <v>42520</v>
      </c>
      <c r="AW134" t="s">
        <v>54</v>
      </c>
      <c r="AX134" t="str">
        <f t="shared" si="17"/>
        <v>FOR</v>
      </c>
      <c r="AY134" t="s">
        <v>55</v>
      </c>
    </row>
    <row r="135" spans="1:51">
      <c r="A135">
        <v>100073</v>
      </c>
      <c r="B135" t="s">
        <v>65</v>
      </c>
      <c r="C135" t="str">
        <f t="shared" si="15"/>
        <v>11496970150</v>
      </c>
      <c r="D135" t="str">
        <f t="shared" si="16"/>
        <v>01778520302</v>
      </c>
      <c r="E135" t="s">
        <v>52</v>
      </c>
      <c r="F135">
        <v>2015</v>
      </c>
      <c r="G135" t="str">
        <f>"       6012215001729"</f>
        <v xml:space="preserve">       6012215001729</v>
      </c>
      <c r="H135" s="3">
        <v>42178</v>
      </c>
      <c r="I135" s="3">
        <v>42185</v>
      </c>
      <c r="J135" s="3">
        <v>42181</v>
      </c>
      <c r="K135" s="3">
        <v>42241</v>
      </c>
      <c r="L135" s="1">
        <v>654</v>
      </c>
      <c r="M135">
        <v>279</v>
      </c>
      <c r="N135" s="5">
        <v>182466</v>
      </c>
      <c r="O135">
        <v>654</v>
      </c>
      <c r="P135">
        <v>279</v>
      </c>
      <c r="Q135" s="4">
        <v>182466</v>
      </c>
      <c r="R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 s="3">
        <v>42562</v>
      </c>
      <c r="AC135" t="s">
        <v>53</v>
      </c>
      <c r="AD135" t="s">
        <v>53</v>
      </c>
      <c r="AK135">
        <v>0</v>
      </c>
      <c r="AU135" s="3">
        <v>42520</v>
      </c>
      <c r="AV135" s="3">
        <v>42520</v>
      </c>
      <c r="AW135" t="s">
        <v>54</v>
      </c>
      <c r="AX135" t="str">
        <f t="shared" si="17"/>
        <v>FOR</v>
      </c>
      <c r="AY135" t="s">
        <v>55</v>
      </c>
    </row>
    <row r="136" spans="1:51" hidden="1">
      <c r="A136">
        <v>100075</v>
      </c>
      <c r="B136" t="s">
        <v>66</v>
      </c>
      <c r="C136" t="str">
        <f t="shared" ref="C136:D139" si="18">"01679130060"</f>
        <v>01679130060</v>
      </c>
      <c r="D136" t="str">
        <f t="shared" si="18"/>
        <v>01679130060</v>
      </c>
      <c r="E136" t="s">
        <v>52</v>
      </c>
      <c r="F136">
        <v>2015</v>
      </c>
      <c r="G136" t="str">
        <f>"        201506022049"</f>
        <v xml:space="preserve">        201506022049</v>
      </c>
      <c r="H136" s="3">
        <v>42153</v>
      </c>
      <c r="I136" s="3">
        <v>42171</v>
      </c>
      <c r="J136" s="3">
        <v>42170</v>
      </c>
      <c r="K136" s="3">
        <v>42230</v>
      </c>
      <c r="L136"/>
      <c r="N136"/>
      <c r="O136" s="4">
        <v>1340</v>
      </c>
      <c r="P136">
        <v>222</v>
      </c>
      <c r="Q136" s="4">
        <v>297480</v>
      </c>
      <c r="R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 s="3">
        <v>42562</v>
      </c>
      <c r="AC136" t="s">
        <v>53</v>
      </c>
      <c r="AD136" t="s">
        <v>53</v>
      </c>
      <c r="AK136">
        <v>0</v>
      </c>
      <c r="AU136" s="3">
        <v>42452</v>
      </c>
      <c r="AV136" s="3">
        <v>42452</v>
      </c>
      <c r="AW136" t="s">
        <v>54</v>
      </c>
      <c r="AX136" t="str">
        <f t="shared" si="17"/>
        <v>FOR</v>
      </c>
      <c r="AY136" t="s">
        <v>55</v>
      </c>
    </row>
    <row r="137" spans="1:51">
      <c r="A137">
        <v>100075</v>
      </c>
      <c r="B137" t="s">
        <v>66</v>
      </c>
      <c r="C137" t="str">
        <f t="shared" si="18"/>
        <v>01679130060</v>
      </c>
      <c r="D137" t="str">
        <f t="shared" si="18"/>
        <v>01679130060</v>
      </c>
      <c r="E137" t="s">
        <v>52</v>
      </c>
      <c r="F137">
        <v>2015</v>
      </c>
      <c r="G137" t="str">
        <f>"        201506022535"</f>
        <v xml:space="preserve">        201506022535</v>
      </c>
      <c r="H137" s="3">
        <v>42167</v>
      </c>
      <c r="I137" s="3">
        <v>42172</v>
      </c>
      <c r="J137" s="3">
        <v>42171</v>
      </c>
      <c r="K137" s="3">
        <v>42231</v>
      </c>
      <c r="L137" s="1">
        <v>540</v>
      </c>
      <c r="M137">
        <v>296</v>
      </c>
      <c r="N137" s="5">
        <v>159840</v>
      </c>
      <c r="O137">
        <v>540</v>
      </c>
      <c r="P137">
        <v>296</v>
      </c>
      <c r="Q137" s="4">
        <v>159840</v>
      </c>
      <c r="R137">
        <v>54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 s="3">
        <v>42562</v>
      </c>
      <c r="AC137" t="s">
        <v>53</v>
      </c>
      <c r="AD137" t="s">
        <v>53</v>
      </c>
      <c r="AK137">
        <v>54</v>
      </c>
      <c r="AU137" s="3">
        <v>42527</v>
      </c>
      <c r="AV137" s="3">
        <v>42527</v>
      </c>
      <c r="AW137" t="s">
        <v>54</v>
      </c>
      <c r="AX137" t="str">
        <f t="shared" si="17"/>
        <v>FOR</v>
      </c>
      <c r="AY137" t="s">
        <v>55</v>
      </c>
    </row>
    <row r="138" spans="1:51">
      <c r="A138">
        <v>100075</v>
      </c>
      <c r="B138" t="s">
        <v>66</v>
      </c>
      <c r="C138" t="str">
        <f t="shared" si="18"/>
        <v>01679130060</v>
      </c>
      <c r="D138" t="str">
        <f t="shared" si="18"/>
        <v>01679130060</v>
      </c>
      <c r="E138" t="s">
        <v>52</v>
      </c>
      <c r="F138">
        <v>2015</v>
      </c>
      <c r="G138" t="str">
        <f>"        201506023113"</f>
        <v xml:space="preserve">        201506023113</v>
      </c>
      <c r="H138" s="3">
        <v>42181</v>
      </c>
      <c r="I138" s="3">
        <v>42191</v>
      </c>
      <c r="J138" s="3">
        <v>42185</v>
      </c>
      <c r="K138" s="3">
        <v>42245</v>
      </c>
      <c r="L138" s="1">
        <v>528</v>
      </c>
      <c r="M138">
        <v>282</v>
      </c>
      <c r="N138" s="5">
        <v>148896</v>
      </c>
      <c r="O138">
        <v>528</v>
      </c>
      <c r="P138">
        <v>282</v>
      </c>
      <c r="Q138" s="4">
        <v>148896</v>
      </c>
      <c r="R138">
        <v>52.8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 s="3">
        <v>42562</v>
      </c>
      <c r="AC138" t="s">
        <v>53</v>
      </c>
      <c r="AD138" t="s">
        <v>53</v>
      </c>
      <c r="AK138">
        <v>52.8</v>
      </c>
      <c r="AU138" s="3">
        <v>42527</v>
      </c>
      <c r="AV138" s="3">
        <v>42527</v>
      </c>
      <c r="AW138" t="s">
        <v>54</v>
      </c>
      <c r="AX138" t="str">
        <f t="shared" si="17"/>
        <v>FOR</v>
      </c>
      <c r="AY138" t="s">
        <v>55</v>
      </c>
    </row>
    <row r="139" spans="1:51">
      <c r="A139">
        <v>100075</v>
      </c>
      <c r="B139" t="s">
        <v>66</v>
      </c>
      <c r="C139" t="str">
        <f t="shared" si="18"/>
        <v>01679130060</v>
      </c>
      <c r="D139" t="str">
        <f t="shared" si="18"/>
        <v>01679130060</v>
      </c>
      <c r="E139" t="s">
        <v>52</v>
      </c>
      <c r="F139">
        <v>2015</v>
      </c>
      <c r="G139" t="str">
        <f>"        201506023311"</f>
        <v xml:space="preserve">        201506023311</v>
      </c>
      <c r="H139" s="3">
        <v>42185</v>
      </c>
      <c r="I139" s="3">
        <v>42191</v>
      </c>
      <c r="J139" s="3">
        <v>42188</v>
      </c>
      <c r="K139" s="3">
        <v>42248</v>
      </c>
      <c r="L139" s="5">
        <v>1160</v>
      </c>
      <c r="M139">
        <v>279</v>
      </c>
      <c r="N139" s="5">
        <v>323640</v>
      </c>
      <c r="O139" s="4">
        <v>1160</v>
      </c>
      <c r="P139">
        <v>279</v>
      </c>
      <c r="Q139" s="4">
        <v>323640</v>
      </c>
      <c r="R139">
        <v>116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 s="3">
        <v>42562</v>
      </c>
      <c r="AC139" t="s">
        <v>53</v>
      </c>
      <c r="AD139" t="s">
        <v>53</v>
      </c>
      <c r="AK139">
        <v>116</v>
      </c>
      <c r="AU139" s="3">
        <v>42527</v>
      </c>
      <c r="AV139" s="3">
        <v>42527</v>
      </c>
      <c r="AW139" t="s">
        <v>54</v>
      </c>
      <c r="AX139" t="str">
        <f t="shared" si="17"/>
        <v>FOR</v>
      </c>
      <c r="AY139" t="s">
        <v>55</v>
      </c>
    </row>
    <row r="140" spans="1:51" hidden="1">
      <c r="A140">
        <v>100077</v>
      </c>
      <c r="B140" t="s">
        <v>67</v>
      </c>
      <c r="C140" t="str">
        <f>"00729220624"</f>
        <v>00729220624</v>
      </c>
      <c r="D140" t="str">
        <f>"00729220624"</f>
        <v>00729220624</v>
      </c>
      <c r="E140" t="s">
        <v>52</v>
      </c>
      <c r="F140">
        <v>2015</v>
      </c>
      <c r="G140" t="str">
        <f>"                17PA"</f>
        <v xml:space="preserve">                17PA</v>
      </c>
      <c r="H140" s="3">
        <v>42278</v>
      </c>
      <c r="I140" s="3">
        <v>42278</v>
      </c>
      <c r="J140" s="3">
        <v>42278</v>
      </c>
      <c r="K140" s="3">
        <v>42338</v>
      </c>
      <c r="L140"/>
      <c r="N140"/>
      <c r="O140">
        <v>90</v>
      </c>
      <c r="P140">
        <v>65</v>
      </c>
      <c r="Q140" s="4">
        <v>5850</v>
      </c>
      <c r="R140">
        <v>19.8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 s="3">
        <v>42562</v>
      </c>
      <c r="AC140" t="s">
        <v>53</v>
      </c>
      <c r="AD140" t="s">
        <v>53</v>
      </c>
      <c r="AK140">
        <v>19.8</v>
      </c>
      <c r="AU140" s="3">
        <v>42403</v>
      </c>
      <c r="AV140" s="3">
        <v>42403</v>
      </c>
      <c r="AW140" t="s">
        <v>54</v>
      </c>
      <c r="AX140" t="str">
        <f t="shared" si="17"/>
        <v>FOR</v>
      </c>
      <c r="AY140" t="s">
        <v>55</v>
      </c>
    </row>
    <row r="141" spans="1:51" hidden="1">
      <c r="A141">
        <v>100079</v>
      </c>
      <c r="B141" t="s">
        <v>68</v>
      </c>
      <c r="C141" t="str">
        <f>"00889160156"</f>
        <v>00889160156</v>
      </c>
      <c r="D141" t="str">
        <f>"00889160156"</f>
        <v>00889160156</v>
      </c>
      <c r="E141" t="s">
        <v>52</v>
      </c>
      <c r="F141">
        <v>2015</v>
      </c>
      <c r="G141" t="str">
        <f>"          2015006920"</f>
        <v xml:space="preserve">          2015006920</v>
      </c>
      <c r="H141" s="3">
        <v>42086</v>
      </c>
      <c r="I141" s="3">
        <v>42102</v>
      </c>
      <c r="J141" s="3">
        <v>42102</v>
      </c>
      <c r="K141" s="3">
        <v>42162</v>
      </c>
      <c r="L141"/>
      <c r="N141"/>
      <c r="O141">
        <v>754.1</v>
      </c>
      <c r="P141">
        <v>253</v>
      </c>
      <c r="Q141" s="4">
        <v>190787.3</v>
      </c>
      <c r="R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 s="3">
        <v>42562</v>
      </c>
      <c r="AC141" t="s">
        <v>53</v>
      </c>
      <c r="AD141" t="s">
        <v>53</v>
      </c>
      <c r="AK141">
        <v>0</v>
      </c>
      <c r="AU141" s="3">
        <v>42415</v>
      </c>
      <c r="AV141" s="3">
        <v>42415</v>
      </c>
      <c r="AW141" t="s">
        <v>54</v>
      </c>
      <c r="AX141" t="str">
        <f t="shared" si="17"/>
        <v>FOR</v>
      </c>
      <c r="AY141" t="s">
        <v>55</v>
      </c>
    </row>
    <row r="142" spans="1:51" hidden="1">
      <c r="A142">
        <v>100079</v>
      </c>
      <c r="B142" t="s">
        <v>68</v>
      </c>
      <c r="C142" t="str">
        <f>"00889160156"</f>
        <v>00889160156</v>
      </c>
      <c r="D142" t="str">
        <f>"00889160156"</f>
        <v>00889160156</v>
      </c>
      <c r="E142" t="s">
        <v>52</v>
      </c>
      <c r="F142">
        <v>2015</v>
      </c>
      <c r="G142" t="str">
        <f>"          2015021692"</f>
        <v xml:space="preserve">          2015021692</v>
      </c>
      <c r="H142" s="3">
        <v>42254</v>
      </c>
      <c r="I142" s="3">
        <v>42255</v>
      </c>
      <c r="J142" s="3">
        <v>42254</v>
      </c>
      <c r="K142" s="3">
        <v>42314</v>
      </c>
      <c r="L142"/>
      <c r="N142"/>
      <c r="O142">
        <v>897.34</v>
      </c>
      <c r="P142">
        <v>101</v>
      </c>
      <c r="Q142" s="4">
        <v>90631.34</v>
      </c>
      <c r="R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 s="3">
        <v>42562</v>
      </c>
      <c r="AC142" t="s">
        <v>53</v>
      </c>
      <c r="AD142" t="s">
        <v>53</v>
      </c>
      <c r="AK142">
        <v>0</v>
      </c>
      <c r="AU142" s="3">
        <v>42415</v>
      </c>
      <c r="AV142" s="3">
        <v>42415</v>
      </c>
      <c r="AW142" t="s">
        <v>54</v>
      </c>
      <c r="AX142" t="str">
        <f t="shared" si="17"/>
        <v>FOR</v>
      </c>
      <c r="AY142" t="s">
        <v>55</v>
      </c>
    </row>
    <row r="143" spans="1:51">
      <c r="A143">
        <v>100082</v>
      </c>
      <c r="B143" t="s">
        <v>69</v>
      </c>
      <c r="C143" t="str">
        <f>"01130960626"</f>
        <v>01130960626</v>
      </c>
      <c r="D143" t="str">
        <f>"01130960626"</f>
        <v>01130960626</v>
      </c>
      <c r="E143" t="s">
        <v>52</v>
      </c>
      <c r="F143">
        <v>2015</v>
      </c>
      <c r="G143" t="str">
        <f>"              480/15"</f>
        <v xml:space="preserve">              480/15</v>
      </c>
      <c r="H143" s="3">
        <v>42289</v>
      </c>
      <c r="I143" s="3">
        <v>42289</v>
      </c>
      <c r="J143" s="3">
        <v>42289</v>
      </c>
      <c r="K143" s="3">
        <v>42349</v>
      </c>
      <c r="L143" s="5">
        <v>6272</v>
      </c>
      <c r="M143">
        <v>179</v>
      </c>
      <c r="N143" s="5">
        <v>1122688</v>
      </c>
      <c r="O143" s="4">
        <v>6272</v>
      </c>
      <c r="P143">
        <v>179</v>
      </c>
      <c r="Q143" s="4">
        <v>1122688</v>
      </c>
      <c r="R143" s="4">
        <v>1379.84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 s="3">
        <v>42562</v>
      </c>
      <c r="AC143" t="s">
        <v>53</v>
      </c>
      <c r="AD143" t="s">
        <v>53</v>
      </c>
      <c r="AK143" s="4">
        <v>1379.84</v>
      </c>
      <c r="AU143" s="3">
        <v>42528</v>
      </c>
      <c r="AV143" s="3">
        <v>42528</v>
      </c>
      <c r="AW143" t="s">
        <v>54</v>
      </c>
      <c r="AX143" t="str">
        <f t="shared" si="17"/>
        <v>FOR</v>
      </c>
      <c r="AY143" t="s">
        <v>55</v>
      </c>
    </row>
    <row r="144" spans="1:51" hidden="1">
      <c r="A144">
        <v>100082</v>
      </c>
      <c r="B144" t="s">
        <v>69</v>
      </c>
      <c r="C144" t="str">
        <f>"01130960626"</f>
        <v>01130960626</v>
      </c>
      <c r="D144" t="str">
        <f>"01130960626"</f>
        <v>01130960626</v>
      </c>
      <c r="E144" t="s">
        <v>52</v>
      </c>
      <c r="F144">
        <v>2015</v>
      </c>
      <c r="G144" t="str">
        <f>"              567/15"</f>
        <v xml:space="preserve">              567/15</v>
      </c>
      <c r="H144" s="3">
        <v>42334</v>
      </c>
      <c r="I144" s="3">
        <v>42340</v>
      </c>
      <c r="J144" s="3">
        <v>42334</v>
      </c>
      <c r="K144" s="3">
        <v>42394</v>
      </c>
      <c r="L144"/>
      <c r="N144"/>
      <c r="O144">
        <v>75</v>
      </c>
      <c r="P144">
        <v>9</v>
      </c>
      <c r="Q144">
        <v>675</v>
      </c>
      <c r="R144">
        <v>16.5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 s="3">
        <v>42562</v>
      </c>
      <c r="AC144" t="s">
        <v>53</v>
      </c>
      <c r="AD144" t="s">
        <v>53</v>
      </c>
      <c r="AJ144">
        <v>16.5</v>
      </c>
      <c r="AK144">
        <v>0</v>
      </c>
      <c r="AU144" s="3">
        <v>42403</v>
      </c>
      <c r="AV144" s="3">
        <v>42403</v>
      </c>
      <c r="AW144" t="s">
        <v>54</v>
      </c>
      <c r="AX144" t="str">
        <f t="shared" si="17"/>
        <v>FOR</v>
      </c>
      <c r="AY144" t="s">
        <v>55</v>
      </c>
    </row>
    <row r="145" spans="1:51" hidden="1">
      <c r="A145">
        <v>100086</v>
      </c>
      <c r="B145" t="s">
        <v>70</v>
      </c>
      <c r="C145" t="str">
        <f t="shared" ref="C145:D148" si="19">"00458450012"</f>
        <v>00458450012</v>
      </c>
      <c r="D145" t="str">
        <f t="shared" si="19"/>
        <v>00458450012</v>
      </c>
      <c r="E145" t="s">
        <v>52</v>
      </c>
      <c r="F145">
        <v>2015</v>
      </c>
      <c r="G145" t="str">
        <f>"                 247"</f>
        <v xml:space="preserve">                 247</v>
      </c>
      <c r="H145" s="3">
        <v>42041</v>
      </c>
      <c r="I145" s="3">
        <v>42068</v>
      </c>
      <c r="J145" s="3">
        <v>42068</v>
      </c>
      <c r="K145" s="3">
        <v>42128</v>
      </c>
      <c r="L145"/>
      <c r="N145"/>
      <c r="O145" s="4">
        <v>1920</v>
      </c>
      <c r="P145">
        <v>280</v>
      </c>
      <c r="Q145" s="4">
        <v>537600</v>
      </c>
      <c r="R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 s="3">
        <v>42562</v>
      </c>
      <c r="AC145" t="s">
        <v>53</v>
      </c>
      <c r="AD145" t="s">
        <v>53</v>
      </c>
      <c r="AK145">
        <v>0</v>
      </c>
      <c r="AU145" s="3">
        <v>42408</v>
      </c>
      <c r="AV145" s="3">
        <v>42408</v>
      </c>
      <c r="AW145" t="s">
        <v>54</v>
      </c>
      <c r="AX145" t="str">
        <f t="shared" si="17"/>
        <v>FOR</v>
      </c>
      <c r="AY145" t="s">
        <v>55</v>
      </c>
    </row>
    <row r="146" spans="1:51" hidden="1">
      <c r="A146">
        <v>100086</v>
      </c>
      <c r="B146" t="s">
        <v>70</v>
      </c>
      <c r="C146" t="str">
        <f t="shared" si="19"/>
        <v>00458450012</v>
      </c>
      <c r="D146" t="str">
        <f t="shared" si="19"/>
        <v>00458450012</v>
      </c>
      <c r="E146" t="s">
        <v>52</v>
      </c>
      <c r="F146">
        <v>2015</v>
      </c>
      <c r="G146" t="str">
        <f>"              V4-938"</f>
        <v xml:space="preserve">              V4-938</v>
      </c>
      <c r="H146" s="3">
        <v>42111</v>
      </c>
      <c r="I146" s="3">
        <v>42138</v>
      </c>
      <c r="J146" s="3">
        <v>42137</v>
      </c>
      <c r="K146" s="3">
        <v>42197</v>
      </c>
      <c r="L146"/>
      <c r="N146"/>
      <c r="O146">
        <v>608</v>
      </c>
      <c r="P146">
        <v>255</v>
      </c>
      <c r="Q146" s="4">
        <v>155040</v>
      </c>
      <c r="R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 s="3">
        <v>42562</v>
      </c>
      <c r="AC146" t="s">
        <v>53</v>
      </c>
      <c r="AD146" t="s">
        <v>53</v>
      </c>
      <c r="AK146">
        <v>0</v>
      </c>
      <c r="AU146" s="3">
        <v>42452</v>
      </c>
      <c r="AV146" s="3">
        <v>42452</v>
      </c>
      <c r="AW146" t="s">
        <v>54</v>
      </c>
      <c r="AX146" t="str">
        <f t="shared" si="17"/>
        <v>FOR</v>
      </c>
      <c r="AY146" t="s">
        <v>55</v>
      </c>
    </row>
    <row r="147" spans="1:51" hidden="1">
      <c r="A147">
        <v>100086</v>
      </c>
      <c r="B147" t="s">
        <v>70</v>
      </c>
      <c r="C147" t="str">
        <f t="shared" si="19"/>
        <v>00458450012</v>
      </c>
      <c r="D147" t="str">
        <f t="shared" si="19"/>
        <v>00458450012</v>
      </c>
      <c r="E147" t="s">
        <v>52</v>
      </c>
      <c r="F147">
        <v>2015</v>
      </c>
      <c r="G147" t="str">
        <f>"             V4-1328"</f>
        <v xml:space="preserve">             V4-1328</v>
      </c>
      <c r="H147" s="3">
        <v>42153</v>
      </c>
      <c r="I147" s="3">
        <v>42167</v>
      </c>
      <c r="J147" s="3">
        <v>42165</v>
      </c>
      <c r="K147" s="3">
        <v>42225</v>
      </c>
      <c r="L147"/>
      <c r="N147"/>
      <c r="O147" s="4">
        <v>4506</v>
      </c>
      <c r="P147">
        <v>227</v>
      </c>
      <c r="Q147" s="4">
        <v>1022862</v>
      </c>
      <c r="R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 s="3">
        <v>42562</v>
      </c>
      <c r="AC147" t="s">
        <v>53</v>
      </c>
      <c r="AD147" t="s">
        <v>53</v>
      </c>
      <c r="AK147">
        <v>0</v>
      </c>
      <c r="AU147" s="3">
        <v>42452</v>
      </c>
      <c r="AV147" s="3">
        <v>42452</v>
      </c>
      <c r="AW147" t="s">
        <v>54</v>
      </c>
      <c r="AX147" t="str">
        <f t="shared" si="17"/>
        <v>FOR</v>
      </c>
      <c r="AY147" t="s">
        <v>55</v>
      </c>
    </row>
    <row r="148" spans="1:51">
      <c r="A148">
        <v>100086</v>
      </c>
      <c r="B148" t="s">
        <v>70</v>
      </c>
      <c r="C148" t="str">
        <f t="shared" si="19"/>
        <v>00458450012</v>
      </c>
      <c r="D148" t="str">
        <f t="shared" si="19"/>
        <v>00458450012</v>
      </c>
      <c r="E148" t="s">
        <v>52</v>
      </c>
      <c r="F148">
        <v>2015</v>
      </c>
      <c r="G148" t="str">
        <f>"             V4-1437"</f>
        <v xml:space="preserve">             V4-1437</v>
      </c>
      <c r="H148" s="3">
        <v>42167</v>
      </c>
      <c r="I148" s="3">
        <v>42177</v>
      </c>
      <c r="J148" s="3">
        <v>42174</v>
      </c>
      <c r="K148" s="3">
        <v>42234</v>
      </c>
      <c r="L148" s="5">
        <v>1296</v>
      </c>
      <c r="M148">
        <v>286</v>
      </c>
      <c r="N148" s="5">
        <v>370656</v>
      </c>
      <c r="O148" s="4">
        <v>1296</v>
      </c>
      <c r="P148">
        <v>286</v>
      </c>
      <c r="Q148" s="4">
        <v>370656</v>
      </c>
      <c r="R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 s="3">
        <v>42562</v>
      </c>
      <c r="AC148" t="s">
        <v>53</v>
      </c>
      <c r="AD148" t="s">
        <v>53</v>
      </c>
      <c r="AK148">
        <v>0</v>
      </c>
      <c r="AU148" s="3">
        <v>42520</v>
      </c>
      <c r="AV148" s="3">
        <v>42520</v>
      </c>
      <c r="AW148" t="s">
        <v>54</v>
      </c>
      <c r="AX148" t="str">
        <f t="shared" si="17"/>
        <v>FOR</v>
      </c>
      <c r="AY148" t="s">
        <v>55</v>
      </c>
    </row>
    <row r="149" spans="1:51" hidden="1">
      <c r="A149">
        <v>100090</v>
      </c>
      <c r="B149" t="s">
        <v>71</v>
      </c>
      <c r="C149" t="str">
        <f>""</f>
        <v/>
      </c>
      <c r="D149" t="str">
        <f>"92017650620"</f>
        <v>92017650620</v>
      </c>
      <c r="E149" t="s">
        <v>52</v>
      </c>
      <c r="F149">
        <v>2016</v>
      </c>
      <c r="G149" t="str">
        <f>"                0120"</f>
        <v xml:space="preserve">                0120</v>
      </c>
      <c r="H149" s="3">
        <v>42389</v>
      </c>
      <c r="I149" s="3">
        <v>42390</v>
      </c>
      <c r="J149" s="3">
        <v>42390</v>
      </c>
      <c r="K149" s="3">
        <v>42450</v>
      </c>
      <c r="L149"/>
      <c r="N149"/>
      <c r="O149" s="4">
        <v>1764</v>
      </c>
      <c r="P149">
        <v>-60</v>
      </c>
      <c r="Q149" s="4">
        <v>-105840</v>
      </c>
      <c r="R149">
        <v>0</v>
      </c>
      <c r="V149">
        <v>0</v>
      </c>
      <c r="W149">
        <v>0</v>
      </c>
      <c r="X149">
        <v>0</v>
      </c>
      <c r="Y149" s="4">
        <v>1764</v>
      </c>
      <c r="Z149" s="4">
        <v>1764</v>
      </c>
      <c r="AA149" s="4">
        <v>1764</v>
      </c>
      <c r="AB149" s="3">
        <v>42562</v>
      </c>
      <c r="AC149" t="s">
        <v>53</v>
      </c>
      <c r="AD149" t="s">
        <v>53</v>
      </c>
      <c r="AK149">
        <v>0</v>
      </c>
      <c r="AU149" s="3">
        <v>42390</v>
      </c>
      <c r="AV149" s="3">
        <v>42390</v>
      </c>
      <c r="AW149" t="s">
        <v>54</v>
      </c>
      <c r="AX149" t="str">
        <f>"ALT"</f>
        <v>ALT</v>
      </c>
      <c r="AY149" t="s">
        <v>72</v>
      </c>
    </row>
    <row r="150" spans="1:51" hidden="1">
      <c r="A150">
        <v>100090</v>
      </c>
      <c r="B150" t="s">
        <v>71</v>
      </c>
      <c r="C150" t="str">
        <f>""</f>
        <v/>
      </c>
      <c r="D150" t="str">
        <f>"92017650620"</f>
        <v>92017650620</v>
      </c>
      <c r="E150" t="s">
        <v>52</v>
      </c>
      <c r="F150">
        <v>2016</v>
      </c>
      <c r="G150" t="str">
        <f>"                0222"</f>
        <v xml:space="preserve">                0222</v>
      </c>
      <c r="H150" s="3">
        <v>42422</v>
      </c>
      <c r="I150" s="3">
        <v>42422</v>
      </c>
      <c r="J150" s="3">
        <v>42422</v>
      </c>
      <c r="K150" s="3">
        <v>42482</v>
      </c>
      <c r="L150"/>
      <c r="N150"/>
      <c r="O150" s="4">
        <v>1795</v>
      </c>
      <c r="P150">
        <v>-58</v>
      </c>
      <c r="Q150" s="4">
        <v>-104110</v>
      </c>
      <c r="R150">
        <v>0</v>
      </c>
      <c r="V150">
        <v>0</v>
      </c>
      <c r="W150">
        <v>0</v>
      </c>
      <c r="X150">
        <v>0</v>
      </c>
      <c r="Y150" s="4">
        <v>1795</v>
      </c>
      <c r="Z150" s="4">
        <v>1795</v>
      </c>
      <c r="AA150" s="4">
        <v>1795</v>
      </c>
      <c r="AB150" s="3">
        <v>42562</v>
      </c>
      <c r="AC150" t="s">
        <v>53</v>
      </c>
      <c r="AD150" t="s">
        <v>53</v>
      </c>
      <c r="AK150">
        <v>0</v>
      </c>
      <c r="AU150" s="3">
        <v>42424</v>
      </c>
      <c r="AV150" s="3">
        <v>42424</v>
      </c>
      <c r="AW150" t="s">
        <v>54</v>
      </c>
      <c r="AX150" t="str">
        <f>"ALT"</f>
        <v>ALT</v>
      </c>
      <c r="AY150" t="s">
        <v>72</v>
      </c>
    </row>
    <row r="151" spans="1:51" hidden="1">
      <c r="A151">
        <v>100090</v>
      </c>
      <c r="B151" t="s">
        <v>71</v>
      </c>
      <c r="C151" t="str">
        <f>""</f>
        <v/>
      </c>
      <c r="D151" t="str">
        <f>"92017650620"</f>
        <v>92017650620</v>
      </c>
      <c r="E151" t="s">
        <v>52</v>
      </c>
      <c r="F151">
        <v>2016</v>
      </c>
      <c r="G151" t="str">
        <f>"                0321"</f>
        <v xml:space="preserve">                0321</v>
      </c>
      <c r="H151" s="3">
        <v>42450</v>
      </c>
      <c r="I151" s="3">
        <v>42450</v>
      </c>
      <c r="J151" s="3">
        <v>42450</v>
      </c>
      <c r="K151" s="3">
        <v>42510</v>
      </c>
      <c r="L151"/>
      <c r="N151"/>
      <c r="O151" s="4">
        <v>1396</v>
      </c>
      <c r="P151">
        <v>-57</v>
      </c>
      <c r="Q151" s="4">
        <v>-79572</v>
      </c>
      <c r="R151">
        <v>0</v>
      </c>
      <c r="V151">
        <v>0</v>
      </c>
      <c r="W151">
        <v>0</v>
      </c>
      <c r="X151">
        <v>0</v>
      </c>
      <c r="Y151" s="4">
        <v>1396</v>
      </c>
      <c r="Z151" s="4">
        <v>1396</v>
      </c>
      <c r="AA151" s="4">
        <v>1396</v>
      </c>
      <c r="AB151" s="3">
        <v>42562</v>
      </c>
      <c r="AC151" t="s">
        <v>53</v>
      </c>
      <c r="AD151" t="s">
        <v>53</v>
      </c>
      <c r="AK151">
        <v>0</v>
      </c>
      <c r="AU151" s="3">
        <v>42453</v>
      </c>
      <c r="AV151" s="3">
        <v>42453</v>
      </c>
      <c r="AW151" t="s">
        <v>54</v>
      </c>
      <c r="AX151" t="str">
        <f>"ALT"</f>
        <v>ALT</v>
      </c>
      <c r="AY151" t="s">
        <v>72</v>
      </c>
    </row>
    <row r="152" spans="1:51" hidden="1">
      <c r="A152">
        <v>100090</v>
      </c>
      <c r="B152" t="s">
        <v>71</v>
      </c>
      <c r="C152" t="str">
        <f>""</f>
        <v/>
      </c>
      <c r="D152" t="str">
        <f>"92017650620"</f>
        <v>92017650620</v>
      </c>
      <c r="E152" t="s">
        <v>52</v>
      </c>
      <c r="F152">
        <v>2016</v>
      </c>
      <c r="G152" t="str">
        <f>"                0421"</f>
        <v xml:space="preserve">                0421</v>
      </c>
      <c r="H152" s="3">
        <v>42481</v>
      </c>
      <c r="I152" s="3">
        <v>42481</v>
      </c>
      <c r="J152" s="3">
        <v>42481</v>
      </c>
      <c r="K152" s="3">
        <v>42541</v>
      </c>
      <c r="L152" s="4">
        <v>1386</v>
      </c>
      <c r="M152">
        <v>-60</v>
      </c>
      <c r="N152" s="4">
        <v>-83160</v>
      </c>
      <c r="O152" s="4">
        <v>1386</v>
      </c>
      <c r="P152">
        <v>-60</v>
      </c>
      <c r="Q152" s="4">
        <v>-83160</v>
      </c>
      <c r="R152">
        <v>0</v>
      </c>
      <c r="V152" s="4">
        <v>1386</v>
      </c>
      <c r="W152" s="4">
        <v>1386</v>
      </c>
      <c r="X152" s="4">
        <v>1386</v>
      </c>
      <c r="Y152" s="4">
        <v>1386</v>
      </c>
      <c r="Z152" s="4">
        <v>1386</v>
      </c>
      <c r="AA152" s="4">
        <v>1386</v>
      </c>
      <c r="AB152" s="3">
        <v>42562</v>
      </c>
      <c r="AC152" t="s">
        <v>53</v>
      </c>
      <c r="AD152" t="s">
        <v>53</v>
      </c>
      <c r="AK152">
        <v>0</v>
      </c>
      <c r="AU152" s="3">
        <v>42481</v>
      </c>
      <c r="AV152" s="3">
        <v>42481</v>
      </c>
      <c r="AW152" t="s">
        <v>54</v>
      </c>
      <c r="AX152" t="str">
        <f>"ALT"</f>
        <v>ALT</v>
      </c>
      <c r="AY152" t="s">
        <v>72</v>
      </c>
    </row>
    <row r="153" spans="1:51" hidden="1">
      <c r="A153">
        <v>100090</v>
      </c>
      <c r="B153" t="s">
        <v>71</v>
      </c>
      <c r="C153" t="str">
        <f>""</f>
        <v/>
      </c>
      <c r="D153" t="str">
        <f>"92017650620"</f>
        <v>92017650620</v>
      </c>
      <c r="E153" t="s">
        <v>52</v>
      </c>
      <c r="F153">
        <v>2016</v>
      </c>
      <c r="G153" t="str">
        <f>"                0518"</f>
        <v xml:space="preserve">                0518</v>
      </c>
      <c r="H153" s="3">
        <v>42508</v>
      </c>
      <c r="I153" s="3">
        <v>42510</v>
      </c>
      <c r="J153" s="3">
        <v>42510</v>
      </c>
      <c r="K153" s="3">
        <v>42570</v>
      </c>
      <c r="L153" s="4">
        <v>2038</v>
      </c>
      <c r="M153">
        <v>-57</v>
      </c>
      <c r="N153" s="4">
        <v>-116166</v>
      </c>
      <c r="O153" s="4">
        <v>2038</v>
      </c>
      <c r="P153">
        <v>-57</v>
      </c>
      <c r="Q153" s="4">
        <v>-116166</v>
      </c>
      <c r="R153">
        <v>0</v>
      </c>
      <c r="V153" s="4">
        <v>2038</v>
      </c>
      <c r="W153" s="4">
        <v>2038</v>
      </c>
      <c r="X153" s="4">
        <v>2038</v>
      </c>
      <c r="Y153" s="4">
        <v>2038</v>
      </c>
      <c r="Z153" s="4">
        <v>2038</v>
      </c>
      <c r="AA153" s="4">
        <v>2038</v>
      </c>
      <c r="AB153" s="3">
        <v>42562</v>
      </c>
      <c r="AC153" t="s">
        <v>53</v>
      </c>
      <c r="AD153" t="s">
        <v>53</v>
      </c>
      <c r="AK153">
        <v>0</v>
      </c>
      <c r="AU153" s="3">
        <v>42513</v>
      </c>
      <c r="AV153" s="3">
        <v>42513</v>
      </c>
      <c r="AW153" t="s">
        <v>54</v>
      </c>
      <c r="AX153" t="str">
        <f>"ALT"</f>
        <v>ALT</v>
      </c>
      <c r="AY153" t="s">
        <v>72</v>
      </c>
    </row>
    <row r="154" spans="1:51" hidden="1">
      <c r="A154">
        <v>100092</v>
      </c>
      <c r="B154" t="s">
        <v>73</v>
      </c>
      <c r="C154" t="str">
        <f t="shared" ref="C154:D160" si="20">"02600160648"</f>
        <v>02600160648</v>
      </c>
      <c r="D154" t="str">
        <f t="shared" si="20"/>
        <v>02600160648</v>
      </c>
      <c r="E154" t="s">
        <v>52</v>
      </c>
      <c r="F154">
        <v>2015</v>
      </c>
      <c r="G154" t="str">
        <f>"          A8/2015/17"</f>
        <v xml:space="preserve">          A8/2015/17</v>
      </c>
      <c r="H154" s="3">
        <v>42135</v>
      </c>
      <c r="I154" s="3">
        <v>42171</v>
      </c>
      <c r="J154" s="3">
        <v>42166</v>
      </c>
      <c r="K154" s="3">
        <v>42226</v>
      </c>
      <c r="L154"/>
      <c r="N154"/>
      <c r="O154" s="4">
        <v>-4281.7700000000004</v>
      </c>
      <c r="P154">
        <v>176</v>
      </c>
      <c r="Q154" s="4">
        <v>-753591.52</v>
      </c>
      <c r="R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 s="3">
        <v>42562</v>
      </c>
      <c r="AC154" t="s">
        <v>53</v>
      </c>
      <c r="AD154" t="s">
        <v>53</v>
      </c>
      <c r="AK154">
        <v>0</v>
      </c>
      <c r="AU154" s="3">
        <v>42402</v>
      </c>
      <c r="AV154" s="3">
        <v>42402</v>
      </c>
      <c r="AW154" t="s">
        <v>54</v>
      </c>
      <c r="AX154" t="str">
        <f t="shared" ref="AX154:AX160" si="21">"AZ1"</f>
        <v>AZ1</v>
      </c>
      <c r="AY154" t="s">
        <v>74</v>
      </c>
    </row>
    <row r="155" spans="1:51" hidden="1">
      <c r="A155">
        <v>100092</v>
      </c>
      <c r="B155" t="s">
        <v>73</v>
      </c>
      <c r="C155" t="str">
        <f t="shared" si="20"/>
        <v>02600160648</v>
      </c>
      <c r="D155" t="str">
        <f t="shared" si="20"/>
        <v>02600160648</v>
      </c>
      <c r="E155" t="s">
        <v>52</v>
      </c>
      <c r="F155">
        <v>2015</v>
      </c>
      <c r="G155" t="str">
        <f>"          A8/2015/73"</f>
        <v xml:space="preserve">          A8/2015/73</v>
      </c>
      <c r="H155" s="3">
        <v>42207</v>
      </c>
      <c r="I155" s="3">
        <v>42233</v>
      </c>
      <c r="J155" s="3">
        <v>42207</v>
      </c>
      <c r="K155" s="3">
        <v>42267</v>
      </c>
      <c r="L155"/>
      <c r="N155"/>
      <c r="O155" s="4">
        <v>5470.4</v>
      </c>
      <c r="P155">
        <v>135</v>
      </c>
      <c r="Q155" s="4">
        <v>738504</v>
      </c>
      <c r="R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 s="3">
        <v>42562</v>
      </c>
      <c r="AC155" t="s">
        <v>53</v>
      </c>
      <c r="AD155" t="s">
        <v>53</v>
      </c>
      <c r="AK155">
        <v>0</v>
      </c>
      <c r="AU155" s="3">
        <v>42402</v>
      </c>
      <c r="AV155" s="3">
        <v>42402</v>
      </c>
      <c r="AW155" t="s">
        <v>54</v>
      </c>
      <c r="AX155" t="str">
        <f t="shared" si="21"/>
        <v>AZ1</v>
      </c>
      <c r="AY155" t="s">
        <v>74</v>
      </c>
    </row>
    <row r="156" spans="1:51" hidden="1">
      <c r="A156">
        <v>100092</v>
      </c>
      <c r="B156" t="s">
        <v>73</v>
      </c>
      <c r="C156" t="str">
        <f t="shared" si="20"/>
        <v>02600160648</v>
      </c>
      <c r="D156" t="str">
        <f t="shared" si="20"/>
        <v>02600160648</v>
      </c>
      <c r="E156" t="s">
        <v>52</v>
      </c>
      <c r="F156">
        <v>2015</v>
      </c>
      <c r="G156" t="str">
        <f>"          A8/2015/76"</f>
        <v xml:space="preserve">          A8/2015/76</v>
      </c>
      <c r="H156" s="3">
        <v>42265</v>
      </c>
      <c r="I156" s="3">
        <v>42268</v>
      </c>
      <c r="J156" s="3">
        <v>42268</v>
      </c>
      <c r="K156" s="3">
        <v>42328</v>
      </c>
      <c r="L156"/>
      <c r="N156"/>
      <c r="O156" s="4">
        <v>25781.599999999999</v>
      </c>
      <c r="P156">
        <v>74</v>
      </c>
      <c r="Q156" s="4">
        <v>1907838.4</v>
      </c>
      <c r="R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 s="3">
        <v>42562</v>
      </c>
      <c r="AC156" t="s">
        <v>53</v>
      </c>
      <c r="AD156" t="s">
        <v>53</v>
      </c>
      <c r="AK156">
        <v>0</v>
      </c>
      <c r="AU156" s="3">
        <v>42402</v>
      </c>
      <c r="AV156" s="3">
        <v>42402</v>
      </c>
      <c r="AW156" t="s">
        <v>54</v>
      </c>
      <c r="AX156" t="str">
        <f t="shared" si="21"/>
        <v>AZ1</v>
      </c>
      <c r="AY156" t="s">
        <v>74</v>
      </c>
    </row>
    <row r="157" spans="1:51" hidden="1">
      <c r="A157">
        <v>100092</v>
      </c>
      <c r="B157" t="s">
        <v>73</v>
      </c>
      <c r="C157" t="str">
        <f t="shared" si="20"/>
        <v>02600160648</v>
      </c>
      <c r="D157" t="str">
        <f t="shared" si="20"/>
        <v>02600160648</v>
      </c>
      <c r="E157" t="s">
        <v>52</v>
      </c>
      <c r="F157">
        <v>2015</v>
      </c>
      <c r="G157" t="str">
        <f>"          A8/2015/77"</f>
        <v xml:space="preserve">          A8/2015/77</v>
      </c>
      <c r="H157" s="3">
        <v>42265</v>
      </c>
      <c r="I157" s="3">
        <v>42268</v>
      </c>
      <c r="J157" s="3">
        <v>42268</v>
      </c>
      <c r="K157" s="3">
        <v>42328</v>
      </c>
      <c r="L157"/>
      <c r="N157"/>
      <c r="O157" s="4">
        <v>20313.2</v>
      </c>
      <c r="P157">
        <v>74</v>
      </c>
      <c r="Q157" s="4">
        <v>1503176.8</v>
      </c>
      <c r="R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 s="3">
        <v>42562</v>
      </c>
      <c r="AC157" t="s">
        <v>53</v>
      </c>
      <c r="AD157" t="s">
        <v>53</v>
      </c>
      <c r="AK157">
        <v>0</v>
      </c>
      <c r="AU157" s="3">
        <v>42402</v>
      </c>
      <c r="AV157" s="3">
        <v>42402</v>
      </c>
      <c r="AW157" t="s">
        <v>54</v>
      </c>
      <c r="AX157" t="str">
        <f t="shared" si="21"/>
        <v>AZ1</v>
      </c>
      <c r="AY157" t="s">
        <v>74</v>
      </c>
    </row>
    <row r="158" spans="1:51" hidden="1">
      <c r="A158">
        <v>100092</v>
      </c>
      <c r="B158" t="s">
        <v>73</v>
      </c>
      <c r="C158" t="str">
        <f t="shared" si="20"/>
        <v>02600160648</v>
      </c>
      <c r="D158" t="str">
        <f t="shared" si="20"/>
        <v>02600160648</v>
      </c>
      <c r="E158" t="s">
        <v>52</v>
      </c>
      <c r="F158">
        <v>2015</v>
      </c>
      <c r="G158" t="str">
        <f>"          A8/2015/90"</f>
        <v xml:space="preserve">          A8/2015/90</v>
      </c>
      <c r="H158" s="3">
        <v>42335</v>
      </c>
      <c r="I158" s="3">
        <v>42338</v>
      </c>
      <c r="J158" s="3">
        <v>42335</v>
      </c>
      <c r="K158" s="3">
        <v>42395</v>
      </c>
      <c r="L158"/>
      <c r="N158"/>
      <c r="O158" s="4">
        <v>36722</v>
      </c>
      <c r="P158">
        <v>36</v>
      </c>
      <c r="Q158" s="4">
        <v>1321992</v>
      </c>
      <c r="R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 s="3">
        <v>42562</v>
      </c>
      <c r="AC158" t="s">
        <v>53</v>
      </c>
      <c r="AD158" t="s">
        <v>53</v>
      </c>
      <c r="AK158">
        <v>0</v>
      </c>
      <c r="AU158" s="3">
        <v>42431</v>
      </c>
      <c r="AV158" s="3">
        <v>42431</v>
      </c>
      <c r="AW158" t="s">
        <v>54</v>
      </c>
      <c r="AX158" t="str">
        <f t="shared" si="21"/>
        <v>AZ1</v>
      </c>
      <c r="AY158" t="s">
        <v>74</v>
      </c>
    </row>
    <row r="159" spans="1:51">
      <c r="A159">
        <v>100092</v>
      </c>
      <c r="B159" t="s">
        <v>73</v>
      </c>
      <c r="C159" t="str">
        <f t="shared" si="20"/>
        <v>02600160648</v>
      </c>
      <c r="D159" t="str">
        <f t="shared" si="20"/>
        <v>02600160648</v>
      </c>
      <c r="E159" t="s">
        <v>52</v>
      </c>
      <c r="F159">
        <v>2015</v>
      </c>
      <c r="G159" t="str">
        <f>"          A8/2015/98"</f>
        <v xml:space="preserve">          A8/2015/98</v>
      </c>
      <c r="H159" s="3">
        <v>42352</v>
      </c>
      <c r="I159" s="3">
        <v>42353</v>
      </c>
      <c r="J159" s="3">
        <v>42352</v>
      </c>
      <c r="K159" s="3">
        <v>42412</v>
      </c>
      <c r="L159" s="5">
        <v>8074.4</v>
      </c>
      <c r="M159">
        <v>117</v>
      </c>
      <c r="N159" s="5">
        <v>944704.8</v>
      </c>
      <c r="O159" s="4">
        <v>8074.4</v>
      </c>
      <c r="P159">
        <v>117</v>
      </c>
      <c r="Q159" s="4">
        <v>944704.8</v>
      </c>
      <c r="R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 s="3">
        <v>42562</v>
      </c>
      <c r="AC159" t="s">
        <v>53</v>
      </c>
      <c r="AD159" t="s">
        <v>53</v>
      </c>
      <c r="AK159">
        <v>0</v>
      </c>
      <c r="AU159" s="3">
        <v>42529</v>
      </c>
      <c r="AV159" s="3">
        <v>42529</v>
      </c>
      <c r="AW159" t="s">
        <v>54</v>
      </c>
      <c r="AX159" t="str">
        <f t="shared" si="21"/>
        <v>AZ1</v>
      </c>
      <c r="AY159" t="s">
        <v>74</v>
      </c>
    </row>
    <row r="160" spans="1:51">
      <c r="A160">
        <v>100092</v>
      </c>
      <c r="B160" t="s">
        <v>73</v>
      </c>
      <c r="C160" t="str">
        <f t="shared" si="20"/>
        <v>02600160648</v>
      </c>
      <c r="D160" t="str">
        <f t="shared" si="20"/>
        <v>02600160648</v>
      </c>
      <c r="E160" t="s">
        <v>52</v>
      </c>
      <c r="F160">
        <v>2016</v>
      </c>
      <c r="G160" t="str">
        <f>"            A/2016/7"</f>
        <v xml:space="preserve">            A/2016/7</v>
      </c>
      <c r="H160" s="3">
        <v>42408</v>
      </c>
      <c r="I160" s="3">
        <v>42410</v>
      </c>
      <c r="J160" s="3">
        <v>42410</v>
      </c>
      <c r="K160" s="3">
        <v>42470</v>
      </c>
      <c r="L160" s="5">
        <v>4916</v>
      </c>
      <c r="M160">
        <v>59</v>
      </c>
      <c r="N160" s="5">
        <v>290044</v>
      </c>
      <c r="O160" s="4">
        <v>4916</v>
      </c>
      <c r="P160">
        <v>59</v>
      </c>
      <c r="Q160" s="4">
        <v>290044</v>
      </c>
      <c r="R160">
        <v>0</v>
      </c>
      <c r="V160">
        <v>0</v>
      </c>
      <c r="W160">
        <v>0</v>
      </c>
      <c r="X160">
        <v>0</v>
      </c>
      <c r="Y160" s="4">
        <v>4916</v>
      </c>
      <c r="Z160" s="4">
        <v>4916</v>
      </c>
      <c r="AA160" s="4">
        <v>4916</v>
      </c>
      <c r="AB160" s="3">
        <v>42562</v>
      </c>
      <c r="AC160" t="s">
        <v>53</v>
      </c>
      <c r="AD160" t="s">
        <v>53</v>
      </c>
      <c r="AK160">
        <v>0</v>
      </c>
      <c r="AU160" s="3">
        <v>42529</v>
      </c>
      <c r="AV160" s="3">
        <v>42529</v>
      </c>
      <c r="AW160" t="s">
        <v>54</v>
      </c>
      <c r="AX160" t="str">
        <f t="shared" si="21"/>
        <v>AZ1</v>
      </c>
      <c r="AY160" t="s">
        <v>74</v>
      </c>
    </row>
    <row r="161" spans="1:51" hidden="1">
      <c r="A161">
        <v>100099</v>
      </c>
      <c r="B161" t="s">
        <v>75</v>
      </c>
      <c r="C161" t="str">
        <f>"06713240635"</f>
        <v>06713240635</v>
      </c>
      <c r="D161" t="str">
        <f>"06713240635"</f>
        <v>06713240635</v>
      </c>
      <c r="E161" t="s">
        <v>52</v>
      </c>
      <c r="F161">
        <v>2015</v>
      </c>
      <c r="G161" t="str">
        <f>"                 360"</f>
        <v xml:space="preserve">                 360</v>
      </c>
      <c r="H161" s="3">
        <v>42090</v>
      </c>
      <c r="I161" s="3">
        <v>42095</v>
      </c>
      <c r="J161" s="3">
        <v>42095</v>
      </c>
      <c r="K161" s="3">
        <v>42155</v>
      </c>
      <c r="L161"/>
      <c r="N161"/>
      <c r="O161">
        <v>620.02</v>
      </c>
      <c r="P161">
        <v>249</v>
      </c>
      <c r="Q161" s="4">
        <v>154384.98000000001</v>
      </c>
      <c r="R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 s="3">
        <v>42562</v>
      </c>
      <c r="AC161" t="s">
        <v>53</v>
      </c>
      <c r="AD161" t="s">
        <v>53</v>
      </c>
      <c r="AK161">
        <v>0</v>
      </c>
      <c r="AU161" s="3">
        <v>42404</v>
      </c>
      <c r="AV161" s="3">
        <v>42404</v>
      </c>
      <c r="AW161" t="s">
        <v>54</v>
      </c>
      <c r="AX161" t="str">
        <f>"FOR"</f>
        <v>FOR</v>
      </c>
      <c r="AY161" t="s">
        <v>55</v>
      </c>
    </row>
    <row r="162" spans="1:51" hidden="1">
      <c r="A162">
        <v>100099</v>
      </c>
      <c r="B162" t="s">
        <v>75</v>
      </c>
      <c r="C162" t="str">
        <f>"06713240635"</f>
        <v>06713240635</v>
      </c>
      <c r="D162" t="str">
        <f>"06713240635"</f>
        <v>06713240635</v>
      </c>
      <c r="E162" t="s">
        <v>52</v>
      </c>
      <c r="F162">
        <v>2015</v>
      </c>
      <c r="G162" t="str">
        <f>"                 380"</f>
        <v xml:space="preserve">                 380</v>
      </c>
      <c r="H162" s="3">
        <v>42093</v>
      </c>
      <c r="I162" s="3">
        <v>42102</v>
      </c>
      <c r="J162" s="3">
        <v>42102</v>
      </c>
      <c r="K162" s="3">
        <v>42162</v>
      </c>
      <c r="L162"/>
      <c r="N162"/>
      <c r="O162">
        <v>450</v>
      </c>
      <c r="P162">
        <v>242</v>
      </c>
      <c r="Q162" s="4">
        <v>108900</v>
      </c>
      <c r="R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 s="3">
        <v>42562</v>
      </c>
      <c r="AC162" t="s">
        <v>53</v>
      </c>
      <c r="AD162" t="s">
        <v>53</v>
      </c>
      <c r="AK162">
        <v>0</v>
      </c>
      <c r="AU162" s="3">
        <v>42404</v>
      </c>
      <c r="AV162" s="3">
        <v>42404</v>
      </c>
      <c r="AW162" t="s">
        <v>54</v>
      </c>
      <c r="AX162" t="str">
        <f>"FOR"</f>
        <v>FOR</v>
      </c>
      <c r="AY162" t="s">
        <v>55</v>
      </c>
    </row>
    <row r="163" spans="1:51">
      <c r="A163">
        <v>100107</v>
      </c>
      <c r="B163" t="s">
        <v>76</v>
      </c>
      <c r="C163" t="str">
        <f>"00876220633"</f>
        <v>00876220633</v>
      </c>
      <c r="D163" t="str">
        <f>""</f>
        <v/>
      </c>
      <c r="E163" t="s">
        <v>52</v>
      </c>
      <c r="F163">
        <v>2012</v>
      </c>
      <c r="G163" t="str">
        <f>"                 428"</f>
        <v xml:space="preserve">                 428</v>
      </c>
      <c r="H163" s="3">
        <v>41166</v>
      </c>
      <c r="I163" s="3">
        <v>41184</v>
      </c>
      <c r="J163" s="3">
        <v>41184</v>
      </c>
      <c r="K163" s="3">
        <v>41184</v>
      </c>
      <c r="L163" s="5">
        <v>23019.48</v>
      </c>
      <c r="M163">
        <v>1280</v>
      </c>
      <c r="N163" s="5">
        <v>29464934.399999999</v>
      </c>
      <c r="O163" s="4">
        <v>23019.48</v>
      </c>
      <c r="P163">
        <v>1280</v>
      </c>
      <c r="Q163" s="4">
        <v>29464934.399999999</v>
      </c>
      <c r="R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 s="3">
        <v>42562</v>
      </c>
      <c r="AC163" t="s">
        <v>53</v>
      </c>
      <c r="AD163" t="s">
        <v>53</v>
      </c>
      <c r="AK163">
        <v>0</v>
      </c>
      <c r="AU163" s="3">
        <v>42464</v>
      </c>
      <c r="AV163" s="3">
        <v>42464</v>
      </c>
      <c r="AW163" t="s">
        <v>54</v>
      </c>
      <c r="AX163" t="str">
        <f>"ALTEP"</f>
        <v>ALTEP</v>
      </c>
      <c r="AY163" t="s">
        <v>77</v>
      </c>
    </row>
    <row r="164" spans="1:51" hidden="1">
      <c r="A164">
        <v>100115</v>
      </c>
      <c r="B164" t="s">
        <v>78</v>
      </c>
      <c r="C164" t="str">
        <f t="shared" ref="C164:D183" si="22">"97095380586"</f>
        <v>97095380586</v>
      </c>
      <c r="D164" t="str">
        <f t="shared" si="22"/>
        <v>97095380586</v>
      </c>
      <c r="E164" t="s">
        <v>52</v>
      </c>
      <c r="F164">
        <v>2016</v>
      </c>
      <c r="G164" t="str">
        <f>"                0120"</f>
        <v xml:space="preserve">                0120</v>
      </c>
      <c r="H164" s="3">
        <v>42389</v>
      </c>
      <c r="I164" s="3">
        <v>42390</v>
      </c>
      <c r="J164" s="3">
        <v>42390</v>
      </c>
      <c r="K164" s="3">
        <v>42450</v>
      </c>
      <c r="L164"/>
      <c r="N164"/>
      <c r="O164" s="4">
        <v>16158.79</v>
      </c>
      <c r="P164">
        <v>-60</v>
      </c>
      <c r="Q164" s="4">
        <v>-969527.4</v>
      </c>
      <c r="R164">
        <v>0</v>
      </c>
      <c r="V164">
        <v>0</v>
      </c>
      <c r="W164">
        <v>0</v>
      </c>
      <c r="X164">
        <v>0</v>
      </c>
      <c r="Y164" s="4">
        <v>16158.79</v>
      </c>
      <c r="Z164" s="4">
        <v>16158.79</v>
      </c>
      <c r="AA164" s="4">
        <v>16158.79</v>
      </c>
      <c r="AB164" s="3">
        <v>42562</v>
      </c>
      <c r="AC164" t="s">
        <v>53</v>
      </c>
      <c r="AD164" t="s">
        <v>53</v>
      </c>
      <c r="AK164">
        <v>0</v>
      </c>
      <c r="AU164" s="3">
        <v>42390</v>
      </c>
      <c r="AV164" s="3">
        <v>42390</v>
      </c>
      <c r="AW164" t="s">
        <v>54</v>
      </c>
      <c r="AX164" t="str">
        <f t="shared" ref="AX164:AX183" si="23">"ALT"</f>
        <v>ALT</v>
      </c>
      <c r="AY164" t="s">
        <v>72</v>
      </c>
    </row>
    <row r="165" spans="1:51" hidden="1">
      <c r="A165">
        <v>100115</v>
      </c>
      <c r="B165" t="s">
        <v>78</v>
      </c>
      <c r="C165" t="str">
        <f t="shared" si="22"/>
        <v>97095380586</v>
      </c>
      <c r="D165" t="str">
        <f t="shared" si="22"/>
        <v>97095380586</v>
      </c>
      <c r="E165" t="s">
        <v>52</v>
      </c>
      <c r="F165">
        <v>2016</v>
      </c>
      <c r="G165" t="str">
        <f>"                0222"</f>
        <v xml:space="preserve">                0222</v>
      </c>
      <c r="H165" s="3">
        <v>42422</v>
      </c>
      <c r="I165" s="3">
        <v>42422</v>
      </c>
      <c r="J165" s="3">
        <v>42422</v>
      </c>
      <c r="K165" s="3">
        <v>42482</v>
      </c>
      <c r="L165"/>
      <c r="N165"/>
      <c r="O165" s="4">
        <v>16158.79</v>
      </c>
      <c r="P165">
        <v>-58</v>
      </c>
      <c r="Q165" s="4">
        <v>-937209.82</v>
      </c>
      <c r="R165">
        <v>0</v>
      </c>
      <c r="V165">
        <v>0</v>
      </c>
      <c r="W165">
        <v>0</v>
      </c>
      <c r="X165">
        <v>0</v>
      </c>
      <c r="Y165" s="4">
        <v>16158.79</v>
      </c>
      <c r="Z165" s="4">
        <v>16158.79</v>
      </c>
      <c r="AA165" s="4">
        <v>16158.79</v>
      </c>
      <c r="AB165" s="3">
        <v>42562</v>
      </c>
      <c r="AC165" t="s">
        <v>53</v>
      </c>
      <c r="AD165" t="s">
        <v>53</v>
      </c>
      <c r="AK165">
        <v>0</v>
      </c>
      <c r="AU165" s="3">
        <v>42424</v>
      </c>
      <c r="AV165" s="3">
        <v>42424</v>
      </c>
      <c r="AW165" t="s">
        <v>54</v>
      </c>
      <c r="AX165" t="str">
        <f t="shared" si="23"/>
        <v>ALT</v>
      </c>
      <c r="AY165" t="s">
        <v>72</v>
      </c>
    </row>
    <row r="166" spans="1:51" hidden="1">
      <c r="A166">
        <v>100115</v>
      </c>
      <c r="B166" t="s">
        <v>78</v>
      </c>
      <c r="C166" t="str">
        <f t="shared" si="22"/>
        <v>97095380586</v>
      </c>
      <c r="D166" t="str">
        <f t="shared" si="22"/>
        <v>97095380586</v>
      </c>
      <c r="E166" t="s">
        <v>52</v>
      </c>
      <c r="F166">
        <v>2016</v>
      </c>
      <c r="G166" t="str">
        <f>"                0321"</f>
        <v xml:space="preserve">                0321</v>
      </c>
      <c r="H166" s="3">
        <v>42450</v>
      </c>
      <c r="I166" s="3">
        <v>42450</v>
      </c>
      <c r="J166" s="3">
        <v>42450</v>
      </c>
      <c r="K166" s="3">
        <v>42510</v>
      </c>
      <c r="L166"/>
      <c r="N166"/>
      <c r="O166" s="4">
        <v>15795.45</v>
      </c>
      <c r="P166">
        <v>-57</v>
      </c>
      <c r="Q166" s="4">
        <v>-900340.65</v>
      </c>
      <c r="R166">
        <v>0</v>
      </c>
      <c r="V166">
        <v>0</v>
      </c>
      <c r="W166">
        <v>0</v>
      </c>
      <c r="X166">
        <v>0</v>
      </c>
      <c r="Y166" s="4">
        <v>15795.45</v>
      </c>
      <c r="Z166" s="4">
        <v>15795.45</v>
      </c>
      <c r="AA166" s="4">
        <v>15795.45</v>
      </c>
      <c r="AB166" s="3">
        <v>42562</v>
      </c>
      <c r="AC166" t="s">
        <v>53</v>
      </c>
      <c r="AD166" t="s">
        <v>53</v>
      </c>
      <c r="AK166">
        <v>0</v>
      </c>
      <c r="AU166" s="3">
        <v>42453</v>
      </c>
      <c r="AV166" s="3">
        <v>42453</v>
      </c>
      <c r="AW166" t="s">
        <v>54</v>
      </c>
      <c r="AX166" t="str">
        <f t="shared" si="23"/>
        <v>ALT</v>
      </c>
      <c r="AY166" t="s">
        <v>72</v>
      </c>
    </row>
    <row r="167" spans="1:51" hidden="1">
      <c r="A167">
        <v>100115</v>
      </c>
      <c r="B167" t="s">
        <v>78</v>
      </c>
      <c r="C167" t="str">
        <f t="shared" si="22"/>
        <v>97095380586</v>
      </c>
      <c r="D167" t="str">
        <f t="shared" si="22"/>
        <v>97095380586</v>
      </c>
      <c r="E167" t="s">
        <v>52</v>
      </c>
      <c r="F167">
        <v>2016</v>
      </c>
      <c r="G167" t="str">
        <f>"                0421"</f>
        <v xml:space="preserve">                0421</v>
      </c>
      <c r="H167" s="3">
        <v>42481</v>
      </c>
      <c r="I167" s="3">
        <v>42481</v>
      </c>
      <c r="J167" s="3">
        <v>42481</v>
      </c>
      <c r="K167" s="3">
        <v>42541</v>
      </c>
      <c r="L167" s="4">
        <v>15795.45</v>
      </c>
      <c r="M167">
        <v>-60</v>
      </c>
      <c r="N167" s="4">
        <v>-947727</v>
      </c>
      <c r="O167" s="4">
        <v>15795.45</v>
      </c>
      <c r="P167">
        <v>-60</v>
      </c>
      <c r="Q167" s="4">
        <v>-947727</v>
      </c>
      <c r="R167">
        <v>0</v>
      </c>
      <c r="V167" s="4">
        <v>15795.45</v>
      </c>
      <c r="W167" s="4">
        <v>15795.45</v>
      </c>
      <c r="X167" s="4">
        <v>15795.45</v>
      </c>
      <c r="Y167" s="4">
        <v>15795.45</v>
      </c>
      <c r="Z167" s="4">
        <v>15795.45</v>
      </c>
      <c r="AA167" s="4">
        <v>15795.45</v>
      </c>
      <c r="AB167" s="3">
        <v>42562</v>
      </c>
      <c r="AC167" t="s">
        <v>53</v>
      </c>
      <c r="AD167" t="s">
        <v>53</v>
      </c>
      <c r="AK167">
        <v>0</v>
      </c>
      <c r="AU167" s="3">
        <v>42481</v>
      </c>
      <c r="AV167" s="3">
        <v>42481</v>
      </c>
      <c r="AW167" t="s">
        <v>54</v>
      </c>
      <c r="AX167" t="str">
        <f t="shared" si="23"/>
        <v>ALT</v>
      </c>
      <c r="AY167" t="s">
        <v>72</v>
      </c>
    </row>
    <row r="168" spans="1:51" hidden="1">
      <c r="A168">
        <v>100115</v>
      </c>
      <c r="B168" t="s">
        <v>78</v>
      </c>
      <c r="C168" t="str">
        <f t="shared" si="22"/>
        <v>97095380586</v>
      </c>
      <c r="D168" t="str">
        <f t="shared" si="22"/>
        <v>97095380586</v>
      </c>
      <c r="E168" t="s">
        <v>52</v>
      </c>
      <c r="F168">
        <v>2016</v>
      </c>
      <c r="G168" t="str">
        <f>"                0518"</f>
        <v xml:space="preserve">                0518</v>
      </c>
      <c r="H168" s="3">
        <v>42508</v>
      </c>
      <c r="I168" s="3">
        <v>42510</v>
      </c>
      <c r="J168" s="3">
        <v>42510</v>
      </c>
      <c r="K168" s="3">
        <v>42570</v>
      </c>
      <c r="L168" s="4">
        <v>15795.45</v>
      </c>
      <c r="M168">
        <v>-57</v>
      </c>
      <c r="N168" s="4">
        <v>-900340.65</v>
      </c>
      <c r="O168" s="4">
        <v>15795.45</v>
      </c>
      <c r="P168">
        <v>-57</v>
      </c>
      <c r="Q168" s="4">
        <v>-900340.65</v>
      </c>
      <c r="R168">
        <v>0</v>
      </c>
      <c r="V168" s="4">
        <v>15795.45</v>
      </c>
      <c r="W168" s="4">
        <v>15795.45</v>
      </c>
      <c r="X168" s="4">
        <v>15795.45</v>
      </c>
      <c r="Y168" s="4">
        <v>15795.45</v>
      </c>
      <c r="Z168" s="4">
        <v>15795.45</v>
      </c>
      <c r="AA168" s="4">
        <v>15795.45</v>
      </c>
      <c r="AB168" s="3">
        <v>42562</v>
      </c>
      <c r="AC168" t="s">
        <v>53</v>
      </c>
      <c r="AD168" t="s">
        <v>53</v>
      </c>
      <c r="AK168">
        <v>0</v>
      </c>
      <c r="AU168" s="3">
        <v>42513</v>
      </c>
      <c r="AV168" s="3">
        <v>42513</v>
      </c>
      <c r="AW168" t="s">
        <v>54</v>
      </c>
      <c r="AX168" t="str">
        <f t="shared" si="23"/>
        <v>ALT</v>
      </c>
      <c r="AY168" t="s">
        <v>72</v>
      </c>
    </row>
    <row r="169" spans="1:51" hidden="1">
      <c r="A169">
        <v>100116</v>
      </c>
      <c r="B169" t="s">
        <v>79</v>
      </c>
      <c r="C169" t="str">
        <f t="shared" si="22"/>
        <v>97095380586</v>
      </c>
      <c r="D169" t="str">
        <f t="shared" si="22"/>
        <v>97095380586</v>
      </c>
      <c r="E169" t="s">
        <v>52</v>
      </c>
      <c r="F169">
        <v>2016</v>
      </c>
      <c r="G169" t="str">
        <f>"                0120"</f>
        <v xml:space="preserve">                0120</v>
      </c>
      <c r="H169" s="3">
        <v>42389</v>
      </c>
      <c r="I169" s="3">
        <v>42390</v>
      </c>
      <c r="J169" s="3">
        <v>42390</v>
      </c>
      <c r="K169" s="3">
        <v>42450</v>
      </c>
      <c r="L169"/>
      <c r="N169"/>
      <c r="O169" s="4">
        <v>30689.27</v>
      </c>
      <c r="P169">
        <v>-60</v>
      </c>
      <c r="Q169" s="4">
        <v>-1841356.2</v>
      </c>
      <c r="R169">
        <v>0</v>
      </c>
      <c r="V169">
        <v>0</v>
      </c>
      <c r="W169">
        <v>0</v>
      </c>
      <c r="X169">
        <v>0</v>
      </c>
      <c r="Y169" s="4">
        <v>30689.27</v>
      </c>
      <c r="Z169" s="4">
        <v>30689.27</v>
      </c>
      <c r="AA169" s="4">
        <v>30689.27</v>
      </c>
      <c r="AB169" s="3">
        <v>42562</v>
      </c>
      <c r="AC169" t="s">
        <v>53</v>
      </c>
      <c r="AD169" t="s">
        <v>53</v>
      </c>
      <c r="AK169">
        <v>0</v>
      </c>
      <c r="AU169" s="3">
        <v>42390</v>
      </c>
      <c r="AV169" s="3">
        <v>42390</v>
      </c>
      <c r="AW169" t="s">
        <v>54</v>
      </c>
      <c r="AX169" t="str">
        <f t="shared" si="23"/>
        <v>ALT</v>
      </c>
      <c r="AY169" t="s">
        <v>72</v>
      </c>
    </row>
    <row r="170" spans="1:51" hidden="1">
      <c r="A170">
        <v>100116</v>
      </c>
      <c r="B170" t="s">
        <v>79</v>
      </c>
      <c r="C170" t="str">
        <f t="shared" si="22"/>
        <v>97095380586</v>
      </c>
      <c r="D170" t="str">
        <f t="shared" si="22"/>
        <v>97095380586</v>
      </c>
      <c r="E170" t="s">
        <v>52</v>
      </c>
      <c r="F170">
        <v>2016</v>
      </c>
      <c r="G170" t="str">
        <f>"                0222"</f>
        <v xml:space="preserve">                0222</v>
      </c>
      <c r="H170" s="3">
        <v>42422</v>
      </c>
      <c r="I170" s="3">
        <v>42422</v>
      </c>
      <c r="J170" s="3">
        <v>42422</v>
      </c>
      <c r="K170" s="3">
        <v>42482</v>
      </c>
      <c r="L170"/>
      <c r="N170"/>
      <c r="O170" s="4">
        <v>30049.9</v>
      </c>
      <c r="P170">
        <v>-58</v>
      </c>
      <c r="Q170" s="4">
        <v>-1742894.2</v>
      </c>
      <c r="R170">
        <v>0</v>
      </c>
      <c r="V170">
        <v>0</v>
      </c>
      <c r="W170">
        <v>0</v>
      </c>
      <c r="X170">
        <v>0</v>
      </c>
      <c r="Y170" s="4">
        <v>30049.9</v>
      </c>
      <c r="Z170" s="4">
        <v>30049.9</v>
      </c>
      <c r="AA170" s="4">
        <v>30049.9</v>
      </c>
      <c r="AB170" s="3">
        <v>42562</v>
      </c>
      <c r="AC170" t="s">
        <v>53</v>
      </c>
      <c r="AD170" t="s">
        <v>53</v>
      </c>
      <c r="AK170">
        <v>0</v>
      </c>
      <c r="AU170" s="3">
        <v>42424</v>
      </c>
      <c r="AV170" s="3">
        <v>42424</v>
      </c>
      <c r="AW170" t="s">
        <v>54</v>
      </c>
      <c r="AX170" t="str">
        <f t="shared" si="23"/>
        <v>ALT</v>
      </c>
      <c r="AY170" t="s">
        <v>72</v>
      </c>
    </row>
    <row r="171" spans="1:51" hidden="1">
      <c r="A171">
        <v>100116</v>
      </c>
      <c r="B171" t="s">
        <v>79</v>
      </c>
      <c r="C171" t="str">
        <f t="shared" si="22"/>
        <v>97095380586</v>
      </c>
      <c r="D171" t="str">
        <f t="shared" si="22"/>
        <v>97095380586</v>
      </c>
      <c r="E171" t="s">
        <v>52</v>
      </c>
      <c r="F171">
        <v>2016</v>
      </c>
      <c r="G171" t="str">
        <f>"                0321"</f>
        <v xml:space="preserve">                0321</v>
      </c>
      <c r="H171" s="3">
        <v>42450</v>
      </c>
      <c r="I171" s="3">
        <v>42450</v>
      </c>
      <c r="J171" s="3">
        <v>42450</v>
      </c>
      <c r="K171" s="3">
        <v>42510</v>
      </c>
      <c r="L171"/>
      <c r="N171"/>
      <c r="O171" s="4">
        <v>29894.26</v>
      </c>
      <c r="P171">
        <v>-57</v>
      </c>
      <c r="Q171" s="4">
        <v>-1703972.82</v>
      </c>
      <c r="R171">
        <v>0</v>
      </c>
      <c r="V171">
        <v>0</v>
      </c>
      <c r="W171">
        <v>0</v>
      </c>
      <c r="X171">
        <v>0</v>
      </c>
      <c r="Y171" s="4">
        <v>29894.26</v>
      </c>
      <c r="Z171" s="4">
        <v>29894.26</v>
      </c>
      <c r="AA171" s="4">
        <v>29894.26</v>
      </c>
      <c r="AB171" s="3">
        <v>42562</v>
      </c>
      <c r="AC171" t="s">
        <v>53</v>
      </c>
      <c r="AD171" t="s">
        <v>53</v>
      </c>
      <c r="AK171">
        <v>0</v>
      </c>
      <c r="AU171" s="3">
        <v>42453</v>
      </c>
      <c r="AV171" s="3">
        <v>42453</v>
      </c>
      <c r="AW171" t="s">
        <v>54</v>
      </c>
      <c r="AX171" t="str">
        <f t="shared" si="23"/>
        <v>ALT</v>
      </c>
      <c r="AY171" t="s">
        <v>72</v>
      </c>
    </row>
    <row r="172" spans="1:51" hidden="1">
      <c r="A172">
        <v>100116</v>
      </c>
      <c r="B172" t="s">
        <v>79</v>
      </c>
      <c r="C172" t="str">
        <f t="shared" si="22"/>
        <v>97095380586</v>
      </c>
      <c r="D172" t="str">
        <f t="shared" si="22"/>
        <v>97095380586</v>
      </c>
      <c r="E172" t="s">
        <v>52</v>
      </c>
      <c r="F172">
        <v>2016</v>
      </c>
      <c r="G172" t="str">
        <f>"                0421"</f>
        <v xml:space="preserve">                0421</v>
      </c>
      <c r="H172" s="3">
        <v>42481</v>
      </c>
      <c r="I172" s="3">
        <v>42481</v>
      </c>
      <c r="J172" s="3">
        <v>42481</v>
      </c>
      <c r="K172" s="3">
        <v>42541</v>
      </c>
      <c r="L172" s="4">
        <v>29894.26</v>
      </c>
      <c r="M172">
        <v>-60</v>
      </c>
      <c r="N172" s="4">
        <v>-1793655.6</v>
      </c>
      <c r="O172" s="4">
        <v>29894.26</v>
      </c>
      <c r="P172">
        <v>-60</v>
      </c>
      <c r="Q172" s="4">
        <v>-1793655.6</v>
      </c>
      <c r="R172">
        <v>0</v>
      </c>
      <c r="V172" s="4">
        <v>29894.26</v>
      </c>
      <c r="W172" s="4">
        <v>29894.26</v>
      </c>
      <c r="X172" s="4">
        <v>29894.26</v>
      </c>
      <c r="Y172" s="4">
        <v>29894.26</v>
      </c>
      <c r="Z172" s="4">
        <v>29894.26</v>
      </c>
      <c r="AA172" s="4">
        <v>29894.26</v>
      </c>
      <c r="AB172" s="3">
        <v>42562</v>
      </c>
      <c r="AC172" t="s">
        <v>53</v>
      </c>
      <c r="AD172" t="s">
        <v>53</v>
      </c>
      <c r="AK172">
        <v>0</v>
      </c>
      <c r="AU172" s="3">
        <v>42481</v>
      </c>
      <c r="AV172" s="3">
        <v>42481</v>
      </c>
      <c r="AW172" t="s">
        <v>54</v>
      </c>
      <c r="AX172" t="str">
        <f t="shared" si="23"/>
        <v>ALT</v>
      </c>
      <c r="AY172" t="s">
        <v>72</v>
      </c>
    </row>
    <row r="173" spans="1:51" hidden="1">
      <c r="A173">
        <v>100116</v>
      </c>
      <c r="B173" t="s">
        <v>79</v>
      </c>
      <c r="C173" t="str">
        <f t="shared" si="22"/>
        <v>97095380586</v>
      </c>
      <c r="D173" t="str">
        <f t="shared" si="22"/>
        <v>97095380586</v>
      </c>
      <c r="E173" t="s">
        <v>52</v>
      </c>
      <c r="F173">
        <v>2016</v>
      </c>
      <c r="G173" t="str">
        <f>"                0518"</f>
        <v xml:space="preserve">                0518</v>
      </c>
      <c r="H173" s="3">
        <v>42508</v>
      </c>
      <c r="I173" s="3">
        <v>42510</v>
      </c>
      <c r="J173" s="3">
        <v>42510</v>
      </c>
      <c r="K173" s="3">
        <v>42570</v>
      </c>
      <c r="L173" s="4">
        <v>29894.26</v>
      </c>
      <c r="M173">
        <v>-57</v>
      </c>
      <c r="N173" s="4">
        <v>-1703972.82</v>
      </c>
      <c r="O173" s="4">
        <v>29894.26</v>
      </c>
      <c r="P173">
        <v>-57</v>
      </c>
      <c r="Q173" s="4">
        <v>-1703972.82</v>
      </c>
      <c r="R173">
        <v>0</v>
      </c>
      <c r="V173" s="4">
        <v>29894.26</v>
      </c>
      <c r="W173" s="4">
        <v>29894.26</v>
      </c>
      <c r="X173" s="4">
        <v>29894.26</v>
      </c>
      <c r="Y173" s="4">
        <v>29894.26</v>
      </c>
      <c r="Z173" s="4">
        <v>29894.26</v>
      </c>
      <c r="AA173" s="4">
        <v>29894.26</v>
      </c>
      <c r="AB173" s="3">
        <v>42562</v>
      </c>
      <c r="AC173" t="s">
        <v>53</v>
      </c>
      <c r="AD173" t="s">
        <v>53</v>
      </c>
      <c r="AK173">
        <v>0</v>
      </c>
      <c r="AU173" s="3">
        <v>42513</v>
      </c>
      <c r="AV173" s="3">
        <v>42513</v>
      </c>
      <c r="AW173" t="s">
        <v>54</v>
      </c>
      <c r="AX173" t="str">
        <f t="shared" si="23"/>
        <v>ALT</v>
      </c>
      <c r="AY173" t="s">
        <v>72</v>
      </c>
    </row>
    <row r="174" spans="1:51" hidden="1">
      <c r="A174">
        <v>100117</v>
      </c>
      <c r="B174" t="s">
        <v>80</v>
      </c>
      <c r="C174" t="str">
        <f t="shared" si="22"/>
        <v>97095380586</v>
      </c>
      <c r="D174" t="str">
        <f t="shared" si="22"/>
        <v>97095380586</v>
      </c>
      <c r="E174" t="s">
        <v>52</v>
      </c>
      <c r="F174">
        <v>2016</v>
      </c>
      <c r="G174" t="str">
        <f>"                0120"</f>
        <v xml:space="preserve">                0120</v>
      </c>
      <c r="H174" s="3">
        <v>42389</v>
      </c>
      <c r="I174" s="3">
        <v>42390</v>
      </c>
      <c r="J174" s="3">
        <v>42390</v>
      </c>
      <c r="K174" s="3">
        <v>42450</v>
      </c>
      <c r="L174"/>
      <c r="N174"/>
      <c r="O174" s="4">
        <v>18417.419999999998</v>
      </c>
      <c r="P174">
        <v>-60</v>
      </c>
      <c r="Q174" s="4">
        <v>-1105045.2</v>
      </c>
      <c r="R174">
        <v>0</v>
      </c>
      <c r="V174">
        <v>0</v>
      </c>
      <c r="W174">
        <v>0</v>
      </c>
      <c r="X174">
        <v>0</v>
      </c>
      <c r="Y174" s="4">
        <v>18417.419999999998</v>
      </c>
      <c r="Z174" s="4">
        <v>18417.419999999998</v>
      </c>
      <c r="AA174" s="4">
        <v>18417.419999999998</v>
      </c>
      <c r="AB174" s="3">
        <v>42562</v>
      </c>
      <c r="AC174" t="s">
        <v>53</v>
      </c>
      <c r="AD174" t="s">
        <v>53</v>
      </c>
      <c r="AK174">
        <v>0</v>
      </c>
      <c r="AU174" s="3">
        <v>42390</v>
      </c>
      <c r="AV174" s="3">
        <v>42390</v>
      </c>
      <c r="AW174" t="s">
        <v>54</v>
      </c>
      <c r="AX174" t="str">
        <f t="shared" si="23"/>
        <v>ALT</v>
      </c>
      <c r="AY174" t="s">
        <v>72</v>
      </c>
    </row>
    <row r="175" spans="1:51" hidden="1">
      <c r="A175">
        <v>100117</v>
      </c>
      <c r="B175" t="s">
        <v>80</v>
      </c>
      <c r="C175" t="str">
        <f t="shared" si="22"/>
        <v>97095380586</v>
      </c>
      <c r="D175" t="str">
        <f t="shared" si="22"/>
        <v>97095380586</v>
      </c>
      <c r="E175" t="s">
        <v>52</v>
      </c>
      <c r="F175">
        <v>2016</v>
      </c>
      <c r="G175" t="str">
        <f>"                0222"</f>
        <v xml:space="preserve">                0222</v>
      </c>
      <c r="H175" s="3">
        <v>42422</v>
      </c>
      <c r="I175" s="3">
        <v>42422</v>
      </c>
      <c r="J175" s="3">
        <v>42422</v>
      </c>
      <c r="K175" s="3">
        <v>42482</v>
      </c>
      <c r="L175"/>
      <c r="N175"/>
      <c r="O175" s="4">
        <v>18358.48</v>
      </c>
      <c r="P175">
        <v>-58</v>
      </c>
      <c r="Q175" s="4">
        <v>-1064791.8400000001</v>
      </c>
      <c r="R175">
        <v>0</v>
      </c>
      <c r="V175">
        <v>0</v>
      </c>
      <c r="W175">
        <v>0</v>
      </c>
      <c r="X175">
        <v>0</v>
      </c>
      <c r="Y175" s="4">
        <v>18358.48</v>
      </c>
      <c r="Z175" s="4">
        <v>18358.48</v>
      </c>
      <c r="AA175" s="4">
        <v>18358.48</v>
      </c>
      <c r="AB175" s="3">
        <v>42562</v>
      </c>
      <c r="AC175" t="s">
        <v>53</v>
      </c>
      <c r="AD175" t="s">
        <v>53</v>
      </c>
      <c r="AK175">
        <v>0</v>
      </c>
      <c r="AU175" s="3">
        <v>42424</v>
      </c>
      <c r="AV175" s="3">
        <v>42424</v>
      </c>
      <c r="AW175" t="s">
        <v>54</v>
      </c>
      <c r="AX175" t="str">
        <f t="shared" si="23"/>
        <v>ALT</v>
      </c>
      <c r="AY175" t="s">
        <v>72</v>
      </c>
    </row>
    <row r="176" spans="1:51" hidden="1">
      <c r="A176">
        <v>100117</v>
      </c>
      <c r="B176" t="s">
        <v>80</v>
      </c>
      <c r="C176" t="str">
        <f t="shared" si="22"/>
        <v>97095380586</v>
      </c>
      <c r="D176" t="str">
        <f t="shared" si="22"/>
        <v>97095380586</v>
      </c>
      <c r="E176" t="s">
        <v>52</v>
      </c>
      <c r="F176">
        <v>2016</v>
      </c>
      <c r="G176" t="str">
        <f>"                0321"</f>
        <v xml:space="preserve">                0321</v>
      </c>
      <c r="H176" s="3">
        <v>42450</v>
      </c>
      <c r="I176" s="3">
        <v>42450</v>
      </c>
      <c r="J176" s="3">
        <v>42450</v>
      </c>
      <c r="K176" s="3">
        <v>42510</v>
      </c>
      <c r="L176"/>
      <c r="N176"/>
      <c r="O176" s="4">
        <v>18358.48</v>
      </c>
      <c r="P176">
        <v>-57</v>
      </c>
      <c r="Q176" s="4">
        <v>-1046433.36</v>
      </c>
      <c r="R176">
        <v>0</v>
      </c>
      <c r="V176">
        <v>0</v>
      </c>
      <c r="W176">
        <v>0</v>
      </c>
      <c r="X176">
        <v>0</v>
      </c>
      <c r="Y176" s="4">
        <v>18358.48</v>
      </c>
      <c r="Z176" s="4">
        <v>18358.48</v>
      </c>
      <c r="AA176" s="4">
        <v>18358.48</v>
      </c>
      <c r="AB176" s="3">
        <v>42562</v>
      </c>
      <c r="AC176" t="s">
        <v>53</v>
      </c>
      <c r="AD176" t="s">
        <v>53</v>
      </c>
      <c r="AK176">
        <v>0</v>
      </c>
      <c r="AU176" s="3">
        <v>42453</v>
      </c>
      <c r="AV176" s="3">
        <v>42453</v>
      </c>
      <c r="AW176" t="s">
        <v>54</v>
      </c>
      <c r="AX176" t="str">
        <f t="shared" si="23"/>
        <v>ALT</v>
      </c>
      <c r="AY176" t="s">
        <v>72</v>
      </c>
    </row>
    <row r="177" spans="1:51" hidden="1">
      <c r="A177">
        <v>100117</v>
      </c>
      <c r="B177" t="s">
        <v>80</v>
      </c>
      <c r="C177" t="str">
        <f t="shared" si="22"/>
        <v>97095380586</v>
      </c>
      <c r="D177" t="str">
        <f t="shared" si="22"/>
        <v>97095380586</v>
      </c>
      <c r="E177" t="s">
        <v>52</v>
      </c>
      <c r="F177">
        <v>2016</v>
      </c>
      <c r="G177" t="str">
        <f>"                0421"</f>
        <v xml:space="preserve">                0421</v>
      </c>
      <c r="H177" s="3">
        <v>42481</v>
      </c>
      <c r="I177" s="3">
        <v>42481</v>
      </c>
      <c r="J177" s="3">
        <v>42481</v>
      </c>
      <c r="K177" s="3">
        <v>42541</v>
      </c>
      <c r="L177" s="4">
        <v>17809.23</v>
      </c>
      <c r="M177">
        <v>-60</v>
      </c>
      <c r="N177" s="4">
        <v>-1068553.8</v>
      </c>
      <c r="O177" s="4">
        <v>17809.23</v>
      </c>
      <c r="P177">
        <v>-60</v>
      </c>
      <c r="Q177" s="4">
        <v>-1068553.8</v>
      </c>
      <c r="R177">
        <v>0</v>
      </c>
      <c r="V177" s="4">
        <v>17809.23</v>
      </c>
      <c r="W177" s="4">
        <v>17809.23</v>
      </c>
      <c r="X177" s="4">
        <v>17809.23</v>
      </c>
      <c r="Y177" s="4">
        <v>17809.23</v>
      </c>
      <c r="Z177" s="4">
        <v>17809.23</v>
      </c>
      <c r="AA177" s="4">
        <v>17809.23</v>
      </c>
      <c r="AB177" s="3">
        <v>42562</v>
      </c>
      <c r="AC177" t="s">
        <v>53</v>
      </c>
      <c r="AD177" t="s">
        <v>53</v>
      </c>
      <c r="AK177">
        <v>0</v>
      </c>
      <c r="AU177" s="3">
        <v>42481</v>
      </c>
      <c r="AV177" s="3">
        <v>42481</v>
      </c>
      <c r="AW177" t="s">
        <v>54</v>
      </c>
      <c r="AX177" t="str">
        <f t="shared" si="23"/>
        <v>ALT</v>
      </c>
      <c r="AY177" t="s">
        <v>72</v>
      </c>
    </row>
    <row r="178" spans="1:51" hidden="1">
      <c r="A178">
        <v>100117</v>
      </c>
      <c r="B178" t="s">
        <v>80</v>
      </c>
      <c r="C178" t="str">
        <f t="shared" si="22"/>
        <v>97095380586</v>
      </c>
      <c r="D178" t="str">
        <f t="shared" si="22"/>
        <v>97095380586</v>
      </c>
      <c r="E178" t="s">
        <v>52</v>
      </c>
      <c r="F178">
        <v>2016</v>
      </c>
      <c r="G178" t="str">
        <f>"                0518"</f>
        <v xml:space="preserve">                0518</v>
      </c>
      <c r="H178" s="3">
        <v>42508</v>
      </c>
      <c r="I178" s="3">
        <v>42510</v>
      </c>
      <c r="J178" s="3">
        <v>42510</v>
      </c>
      <c r="K178" s="3">
        <v>42570</v>
      </c>
      <c r="L178" s="4">
        <v>16449.939999999999</v>
      </c>
      <c r="M178">
        <v>-57</v>
      </c>
      <c r="N178" s="4">
        <v>-937646.58</v>
      </c>
      <c r="O178" s="4">
        <v>16449.939999999999</v>
      </c>
      <c r="P178">
        <v>-57</v>
      </c>
      <c r="Q178" s="4">
        <v>-937646.58</v>
      </c>
      <c r="R178">
        <v>0</v>
      </c>
      <c r="V178" s="4">
        <v>16449.939999999999</v>
      </c>
      <c r="W178" s="4">
        <v>16449.939999999999</v>
      </c>
      <c r="X178" s="4">
        <v>16449.939999999999</v>
      </c>
      <c r="Y178" s="4">
        <v>16449.939999999999</v>
      </c>
      <c r="Z178" s="4">
        <v>16449.939999999999</v>
      </c>
      <c r="AA178" s="4">
        <v>16449.939999999999</v>
      </c>
      <c r="AB178" s="3">
        <v>42562</v>
      </c>
      <c r="AC178" t="s">
        <v>53</v>
      </c>
      <c r="AD178" t="s">
        <v>53</v>
      </c>
      <c r="AK178">
        <v>0</v>
      </c>
      <c r="AU178" s="3">
        <v>42513</v>
      </c>
      <c r="AV178" s="3">
        <v>42513</v>
      </c>
      <c r="AW178" t="s">
        <v>54</v>
      </c>
      <c r="AX178" t="str">
        <f t="shared" si="23"/>
        <v>ALT</v>
      </c>
      <c r="AY178" t="s">
        <v>72</v>
      </c>
    </row>
    <row r="179" spans="1:51" hidden="1">
      <c r="A179">
        <v>100118</v>
      </c>
      <c r="B179" t="s">
        <v>81</v>
      </c>
      <c r="C179" t="str">
        <f t="shared" si="22"/>
        <v>97095380586</v>
      </c>
      <c r="D179" t="str">
        <f t="shared" si="22"/>
        <v>97095380586</v>
      </c>
      <c r="E179" t="s">
        <v>52</v>
      </c>
      <c r="F179">
        <v>2016</v>
      </c>
      <c r="G179" t="str">
        <f>"                0120"</f>
        <v xml:space="preserve">                0120</v>
      </c>
      <c r="H179" s="3">
        <v>42389</v>
      </c>
      <c r="I179" s="3">
        <v>42390</v>
      </c>
      <c r="J179" s="3">
        <v>42390</v>
      </c>
      <c r="K179" s="3">
        <v>42450</v>
      </c>
      <c r="L179"/>
      <c r="N179"/>
      <c r="O179" s="4">
        <v>4893.6400000000003</v>
      </c>
      <c r="P179">
        <v>-60</v>
      </c>
      <c r="Q179" s="4">
        <v>-293618.40000000002</v>
      </c>
      <c r="R179">
        <v>0</v>
      </c>
      <c r="V179">
        <v>0</v>
      </c>
      <c r="W179">
        <v>0</v>
      </c>
      <c r="X179">
        <v>0</v>
      </c>
      <c r="Y179" s="4">
        <v>4893.6400000000003</v>
      </c>
      <c r="Z179" s="4">
        <v>4893.6400000000003</v>
      </c>
      <c r="AA179" s="4">
        <v>4893.6400000000003</v>
      </c>
      <c r="AB179" s="3">
        <v>42562</v>
      </c>
      <c r="AC179" t="s">
        <v>53</v>
      </c>
      <c r="AD179" t="s">
        <v>53</v>
      </c>
      <c r="AK179">
        <v>0</v>
      </c>
      <c r="AU179" s="3">
        <v>42390</v>
      </c>
      <c r="AV179" s="3">
        <v>42390</v>
      </c>
      <c r="AW179" t="s">
        <v>54</v>
      </c>
      <c r="AX179" t="str">
        <f t="shared" si="23"/>
        <v>ALT</v>
      </c>
      <c r="AY179" t="s">
        <v>72</v>
      </c>
    </row>
    <row r="180" spans="1:51" hidden="1">
      <c r="A180">
        <v>100118</v>
      </c>
      <c r="B180" t="s">
        <v>81</v>
      </c>
      <c r="C180" t="str">
        <f t="shared" si="22"/>
        <v>97095380586</v>
      </c>
      <c r="D180" t="str">
        <f t="shared" si="22"/>
        <v>97095380586</v>
      </c>
      <c r="E180" t="s">
        <v>52</v>
      </c>
      <c r="F180">
        <v>2016</v>
      </c>
      <c r="G180" t="str">
        <f>"                0222"</f>
        <v xml:space="preserve">                0222</v>
      </c>
      <c r="H180" s="3">
        <v>42422</v>
      </c>
      <c r="I180" s="3">
        <v>42422</v>
      </c>
      <c r="J180" s="3">
        <v>42422</v>
      </c>
      <c r="K180" s="3">
        <v>42482</v>
      </c>
      <c r="L180"/>
      <c r="N180"/>
      <c r="O180" s="4">
        <v>4893.6400000000003</v>
      </c>
      <c r="P180">
        <v>-58</v>
      </c>
      <c r="Q180" s="4">
        <v>-283831.12</v>
      </c>
      <c r="R180">
        <v>0</v>
      </c>
      <c r="V180">
        <v>0</v>
      </c>
      <c r="W180">
        <v>0</v>
      </c>
      <c r="X180">
        <v>0</v>
      </c>
      <c r="Y180" s="4">
        <v>4893.6400000000003</v>
      </c>
      <c r="Z180" s="4">
        <v>4893.6400000000003</v>
      </c>
      <c r="AA180" s="4">
        <v>4893.6400000000003</v>
      </c>
      <c r="AB180" s="3">
        <v>42562</v>
      </c>
      <c r="AC180" t="s">
        <v>53</v>
      </c>
      <c r="AD180" t="s">
        <v>53</v>
      </c>
      <c r="AK180">
        <v>0</v>
      </c>
      <c r="AU180" s="3">
        <v>42424</v>
      </c>
      <c r="AV180" s="3">
        <v>42424</v>
      </c>
      <c r="AW180" t="s">
        <v>54</v>
      </c>
      <c r="AX180" t="str">
        <f t="shared" si="23"/>
        <v>ALT</v>
      </c>
      <c r="AY180" t="s">
        <v>72</v>
      </c>
    </row>
    <row r="181" spans="1:51" hidden="1">
      <c r="A181">
        <v>100118</v>
      </c>
      <c r="B181" t="s">
        <v>81</v>
      </c>
      <c r="C181" t="str">
        <f t="shared" si="22"/>
        <v>97095380586</v>
      </c>
      <c r="D181" t="str">
        <f t="shared" si="22"/>
        <v>97095380586</v>
      </c>
      <c r="E181" t="s">
        <v>52</v>
      </c>
      <c r="F181">
        <v>2016</v>
      </c>
      <c r="G181" t="str">
        <f>"                0321"</f>
        <v xml:space="preserve">                0321</v>
      </c>
      <c r="H181" s="3">
        <v>42450</v>
      </c>
      <c r="I181" s="3">
        <v>42450</v>
      </c>
      <c r="J181" s="3">
        <v>42450</v>
      </c>
      <c r="K181" s="3">
        <v>42510</v>
      </c>
      <c r="L181"/>
      <c r="N181"/>
      <c r="O181" s="4">
        <v>4893.6400000000003</v>
      </c>
      <c r="P181">
        <v>-57</v>
      </c>
      <c r="Q181" s="4">
        <v>-278937.48</v>
      </c>
      <c r="R181">
        <v>0</v>
      </c>
      <c r="V181">
        <v>0</v>
      </c>
      <c r="W181">
        <v>0</v>
      </c>
      <c r="X181">
        <v>0</v>
      </c>
      <c r="Y181" s="4">
        <v>4893.6400000000003</v>
      </c>
      <c r="Z181" s="4">
        <v>4893.6400000000003</v>
      </c>
      <c r="AA181" s="4">
        <v>4893.6400000000003</v>
      </c>
      <c r="AB181" s="3">
        <v>42562</v>
      </c>
      <c r="AC181" t="s">
        <v>53</v>
      </c>
      <c r="AD181" t="s">
        <v>53</v>
      </c>
      <c r="AK181">
        <v>0</v>
      </c>
      <c r="AU181" s="3">
        <v>42453</v>
      </c>
      <c r="AV181" s="3">
        <v>42453</v>
      </c>
      <c r="AW181" t="s">
        <v>54</v>
      </c>
      <c r="AX181" t="str">
        <f t="shared" si="23"/>
        <v>ALT</v>
      </c>
      <c r="AY181" t="s">
        <v>72</v>
      </c>
    </row>
    <row r="182" spans="1:51" hidden="1">
      <c r="A182">
        <v>100118</v>
      </c>
      <c r="B182" t="s">
        <v>81</v>
      </c>
      <c r="C182" t="str">
        <f t="shared" si="22"/>
        <v>97095380586</v>
      </c>
      <c r="D182" t="str">
        <f t="shared" si="22"/>
        <v>97095380586</v>
      </c>
      <c r="E182" t="s">
        <v>52</v>
      </c>
      <c r="F182">
        <v>2016</v>
      </c>
      <c r="G182" t="str">
        <f>"                0421"</f>
        <v xml:space="preserve">                0421</v>
      </c>
      <c r="H182" s="3">
        <v>42481</v>
      </c>
      <c r="I182" s="3">
        <v>42481</v>
      </c>
      <c r="J182" s="3">
        <v>42481</v>
      </c>
      <c r="K182" s="3">
        <v>42541</v>
      </c>
      <c r="L182" s="4">
        <v>5086.21</v>
      </c>
      <c r="M182">
        <v>-60</v>
      </c>
      <c r="N182" s="4">
        <v>-305172.59999999998</v>
      </c>
      <c r="O182" s="4">
        <v>5086.21</v>
      </c>
      <c r="P182">
        <v>-60</v>
      </c>
      <c r="Q182" s="4">
        <v>-305172.59999999998</v>
      </c>
      <c r="R182">
        <v>0</v>
      </c>
      <c r="V182" s="4">
        <v>5086.21</v>
      </c>
      <c r="W182" s="4">
        <v>5086.21</v>
      </c>
      <c r="X182" s="4">
        <v>5086.21</v>
      </c>
      <c r="Y182" s="4">
        <v>5086.21</v>
      </c>
      <c r="Z182" s="4">
        <v>5086.21</v>
      </c>
      <c r="AA182" s="4">
        <v>5086.21</v>
      </c>
      <c r="AB182" s="3">
        <v>42562</v>
      </c>
      <c r="AC182" t="s">
        <v>53</v>
      </c>
      <c r="AD182" t="s">
        <v>53</v>
      </c>
      <c r="AK182">
        <v>0</v>
      </c>
      <c r="AU182" s="3">
        <v>42481</v>
      </c>
      <c r="AV182" s="3">
        <v>42481</v>
      </c>
      <c r="AW182" t="s">
        <v>54</v>
      </c>
      <c r="AX182" t="str">
        <f t="shared" si="23"/>
        <v>ALT</v>
      </c>
      <c r="AY182" t="s">
        <v>72</v>
      </c>
    </row>
    <row r="183" spans="1:51" hidden="1">
      <c r="A183">
        <v>100118</v>
      </c>
      <c r="B183" t="s">
        <v>81</v>
      </c>
      <c r="C183" t="str">
        <f t="shared" si="22"/>
        <v>97095380586</v>
      </c>
      <c r="D183" t="str">
        <f t="shared" si="22"/>
        <v>97095380586</v>
      </c>
      <c r="E183" t="s">
        <v>52</v>
      </c>
      <c r="F183">
        <v>2016</v>
      </c>
      <c r="G183" t="str">
        <f>"                0518"</f>
        <v xml:space="preserve">                0518</v>
      </c>
      <c r="H183" s="3">
        <v>42508</v>
      </c>
      <c r="I183" s="3">
        <v>42510</v>
      </c>
      <c r="J183" s="3">
        <v>42510</v>
      </c>
      <c r="K183" s="3">
        <v>42570</v>
      </c>
      <c r="L183" s="4">
        <v>4153.1400000000003</v>
      </c>
      <c r="M183">
        <v>-57</v>
      </c>
      <c r="N183" s="4">
        <v>-236728.98</v>
      </c>
      <c r="O183" s="4">
        <v>4153.1400000000003</v>
      </c>
      <c r="P183">
        <v>-57</v>
      </c>
      <c r="Q183" s="4">
        <v>-236728.98</v>
      </c>
      <c r="R183">
        <v>0</v>
      </c>
      <c r="V183" s="4">
        <v>4153.1400000000003</v>
      </c>
      <c r="W183" s="4">
        <v>4153.1400000000003</v>
      </c>
      <c r="X183" s="4">
        <v>4153.1400000000003</v>
      </c>
      <c r="Y183" s="4">
        <v>4153.1400000000003</v>
      </c>
      <c r="Z183" s="4">
        <v>4153.1400000000003</v>
      </c>
      <c r="AA183" s="4">
        <v>4153.1400000000003</v>
      </c>
      <c r="AB183" s="3">
        <v>42562</v>
      </c>
      <c r="AC183" t="s">
        <v>53</v>
      </c>
      <c r="AD183" t="s">
        <v>53</v>
      </c>
      <c r="AK183">
        <v>0</v>
      </c>
      <c r="AU183" s="3">
        <v>42513</v>
      </c>
      <c r="AV183" s="3">
        <v>42513</v>
      </c>
      <c r="AW183" t="s">
        <v>54</v>
      </c>
      <c r="AX183" t="str">
        <f t="shared" si="23"/>
        <v>ALT</v>
      </c>
      <c r="AY183" t="s">
        <v>72</v>
      </c>
    </row>
    <row r="184" spans="1:51" hidden="1">
      <c r="A184">
        <v>100120</v>
      </c>
      <c r="B184" t="s">
        <v>82</v>
      </c>
      <c r="C184" t="str">
        <f>""</f>
        <v/>
      </c>
      <c r="D184" t="str">
        <f>"MNCNNT62H53A783K"</f>
        <v>MNCNNT62H53A783K</v>
      </c>
      <c r="E184" t="s">
        <v>52</v>
      </c>
      <c r="F184">
        <v>2016</v>
      </c>
      <c r="G184" t="str">
        <f>"                0120"</f>
        <v xml:space="preserve">                0120</v>
      </c>
      <c r="H184" s="3">
        <v>42389</v>
      </c>
      <c r="I184" s="3">
        <v>42390</v>
      </c>
      <c r="J184" s="3">
        <v>42390</v>
      </c>
      <c r="K184" s="3">
        <v>42450</v>
      </c>
      <c r="L184"/>
      <c r="N184"/>
      <c r="O184">
        <v>350</v>
      </c>
      <c r="P184">
        <v>-60</v>
      </c>
      <c r="Q184" s="4">
        <v>-21000</v>
      </c>
      <c r="R184">
        <v>0</v>
      </c>
      <c r="V184">
        <v>0</v>
      </c>
      <c r="W184">
        <v>0</v>
      </c>
      <c r="X184">
        <v>0</v>
      </c>
      <c r="Y184">
        <v>350</v>
      </c>
      <c r="Z184">
        <v>350</v>
      </c>
      <c r="AA184">
        <v>350</v>
      </c>
      <c r="AB184" s="3">
        <v>42562</v>
      </c>
      <c r="AC184" t="s">
        <v>53</v>
      </c>
      <c r="AD184" t="s">
        <v>53</v>
      </c>
      <c r="AK184">
        <v>0</v>
      </c>
      <c r="AU184" s="3">
        <v>42390</v>
      </c>
      <c r="AV184" s="3">
        <v>42390</v>
      </c>
      <c r="AW184" t="s">
        <v>54</v>
      </c>
      <c r="AX184" t="str">
        <f t="shared" ref="AX184:AX247" si="24">"FOR"</f>
        <v>FOR</v>
      </c>
      <c r="AY184" t="s">
        <v>55</v>
      </c>
    </row>
    <row r="185" spans="1:51" hidden="1">
      <c r="A185">
        <v>100120</v>
      </c>
      <c r="B185" t="s">
        <v>82</v>
      </c>
      <c r="C185" t="str">
        <f>""</f>
        <v/>
      </c>
      <c r="D185" t="str">
        <f>"MNCNNT62H53A783K"</f>
        <v>MNCNNT62H53A783K</v>
      </c>
      <c r="E185" t="s">
        <v>52</v>
      </c>
      <c r="F185">
        <v>2016</v>
      </c>
      <c r="G185" t="str">
        <f>"                0222"</f>
        <v xml:space="preserve">                0222</v>
      </c>
      <c r="H185" s="3">
        <v>42422</v>
      </c>
      <c r="I185" s="3">
        <v>42422</v>
      </c>
      <c r="J185" s="3">
        <v>42422</v>
      </c>
      <c r="K185" s="3">
        <v>42482</v>
      </c>
      <c r="L185"/>
      <c r="N185"/>
      <c r="O185">
        <v>350</v>
      </c>
      <c r="P185">
        <v>-58</v>
      </c>
      <c r="Q185" s="4">
        <v>-20300</v>
      </c>
      <c r="R185">
        <v>0</v>
      </c>
      <c r="V185">
        <v>0</v>
      </c>
      <c r="W185">
        <v>0</v>
      </c>
      <c r="X185">
        <v>0</v>
      </c>
      <c r="Y185">
        <v>350</v>
      </c>
      <c r="Z185">
        <v>350</v>
      </c>
      <c r="AA185">
        <v>350</v>
      </c>
      <c r="AB185" s="3">
        <v>42562</v>
      </c>
      <c r="AC185" t="s">
        <v>53</v>
      </c>
      <c r="AD185" t="s">
        <v>53</v>
      </c>
      <c r="AK185">
        <v>0</v>
      </c>
      <c r="AU185" s="3">
        <v>42424</v>
      </c>
      <c r="AV185" s="3">
        <v>42424</v>
      </c>
      <c r="AW185" t="s">
        <v>54</v>
      </c>
      <c r="AX185" t="str">
        <f t="shared" si="24"/>
        <v>FOR</v>
      </c>
      <c r="AY185" t="s">
        <v>55</v>
      </c>
    </row>
    <row r="186" spans="1:51" hidden="1">
      <c r="A186">
        <v>100120</v>
      </c>
      <c r="B186" t="s">
        <v>82</v>
      </c>
      <c r="C186" t="str">
        <f>""</f>
        <v/>
      </c>
      <c r="D186" t="str">
        <f>"MNCNNT62H53A783K"</f>
        <v>MNCNNT62H53A783K</v>
      </c>
      <c r="E186" t="s">
        <v>52</v>
      </c>
      <c r="F186">
        <v>2016</v>
      </c>
      <c r="G186" t="str">
        <f>"                0321"</f>
        <v xml:space="preserve">                0321</v>
      </c>
      <c r="H186" s="3">
        <v>42450</v>
      </c>
      <c r="I186" s="3">
        <v>42450</v>
      </c>
      <c r="J186" s="3">
        <v>42450</v>
      </c>
      <c r="K186" s="3">
        <v>42510</v>
      </c>
      <c r="L186"/>
      <c r="N186"/>
      <c r="O186">
        <v>350</v>
      </c>
      <c r="P186">
        <v>-57</v>
      </c>
      <c r="Q186" s="4">
        <v>-19950</v>
      </c>
      <c r="R186">
        <v>0</v>
      </c>
      <c r="V186">
        <v>0</v>
      </c>
      <c r="W186">
        <v>0</v>
      </c>
      <c r="X186">
        <v>0</v>
      </c>
      <c r="Y186">
        <v>350</v>
      </c>
      <c r="Z186">
        <v>350</v>
      </c>
      <c r="AA186">
        <v>350</v>
      </c>
      <c r="AB186" s="3">
        <v>42562</v>
      </c>
      <c r="AC186" t="s">
        <v>53</v>
      </c>
      <c r="AD186" t="s">
        <v>53</v>
      </c>
      <c r="AK186">
        <v>0</v>
      </c>
      <c r="AU186" s="3">
        <v>42453</v>
      </c>
      <c r="AV186" s="3">
        <v>42453</v>
      </c>
      <c r="AW186" t="s">
        <v>54</v>
      </c>
      <c r="AX186" t="str">
        <f t="shared" si="24"/>
        <v>FOR</v>
      </c>
      <c r="AY186" t="s">
        <v>55</v>
      </c>
    </row>
    <row r="187" spans="1:51" hidden="1">
      <c r="A187">
        <v>100120</v>
      </c>
      <c r="B187" t="s">
        <v>82</v>
      </c>
      <c r="C187" t="str">
        <f>""</f>
        <v/>
      </c>
      <c r="D187" t="str">
        <f>"MNCNNT62H53A783K"</f>
        <v>MNCNNT62H53A783K</v>
      </c>
      <c r="E187" t="s">
        <v>52</v>
      </c>
      <c r="F187">
        <v>2016</v>
      </c>
      <c r="G187" t="str">
        <f>"                0421"</f>
        <v xml:space="preserve">                0421</v>
      </c>
      <c r="H187" s="3">
        <v>42481</v>
      </c>
      <c r="I187" s="3">
        <v>42481</v>
      </c>
      <c r="J187" s="3">
        <v>42481</v>
      </c>
      <c r="K187" s="3">
        <v>42541</v>
      </c>
      <c r="L187">
        <v>350</v>
      </c>
      <c r="M187">
        <v>-60</v>
      </c>
      <c r="N187" s="4">
        <v>-21000</v>
      </c>
      <c r="O187">
        <v>350</v>
      </c>
      <c r="P187">
        <v>-60</v>
      </c>
      <c r="Q187" s="4">
        <v>-21000</v>
      </c>
      <c r="R187">
        <v>0</v>
      </c>
      <c r="V187">
        <v>350</v>
      </c>
      <c r="W187">
        <v>350</v>
      </c>
      <c r="X187">
        <v>350</v>
      </c>
      <c r="Y187">
        <v>350</v>
      </c>
      <c r="Z187">
        <v>350</v>
      </c>
      <c r="AA187">
        <v>350</v>
      </c>
      <c r="AB187" s="3">
        <v>42562</v>
      </c>
      <c r="AC187" t="s">
        <v>53</v>
      </c>
      <c r="AD187" t="s">
        <v>53</v>
      </c>
      <c r="AK187">
        <v>0</v>
      </c>
      <c r="AU187" s="3">
        <v>42481</v>
      </c>
      <c r="AV187" s="3">
        <v>42481</v>
      </c>
      <c r="AW187" t="s">
        <v>54</v>
      </c>
      <c r="AX187" t="str">
        <f t="shared" si="24"/>
        <v>FOR</v>
      </c>
      <c r="AY187" t="s">
        <v>55</v>
      </c>
    </row>
    <row r="188" spans="1:51" hidden="1">
      <c r="A188">
        <v>100120</v>
      </c>
      <c r="B188" t="s">
        <v>82</v>
      </c>
      <c r="C188" t="str">
        <f>""</f>
        <v/>
      </c>
      <c r="D188" t="str">
        <f>"MNCNNT62H53A783K"</f>
        <v>MNCNNT62H53A783K</v>
      </c>
      <c r="E188" t="s">
        <v>52</v>
      </c>
      <c r="F188">
        <v>2016</v>
      </c>
      <c r="G188" t="str">
        <f>"                0518"</f>
        <v xml:space="preserve">                0518</v>
      </c>
      <c r="H188" s="3">
        <v>42508</v>
      </c>
      <c r="I188" s="3">
        <v>42510</v>
      </c>
      <c r="J188" s="3">
        <v>42510</v>
      </c>
      <c r="K188" s="3">
        <v>42570</v>
      </c>
      <c r="L188">
        <v>350</v>
      </c>
      <c r="M188">
        <v>-57</v>
      </c>
      <c r="N188" s="4">
        <v>-19950</v>
      </c>
      <c r="O188">
        <v>350</v>
      </c>
      <c r="P188">
        <v>-57</v>
      </c>
      <c r="Q188" s="4">
        <v>-19950</v>
      </c>
      <c r="R188">
        <v>0</v>
      </c>
      <c r="V188">
        <v>350</v>
      </c>
      <c r="W188">
        <v>350</v>
      </c>
      <c r="X188">
        <v>350</v>
      </c>
      <c r="Y188">
        <v>350</v>
      </c>
      <c r="Z188">
        <v>350</v>
      </c>
      <c r="AA188">
        <v>350</v>
      </c>
      <c r="AB188" s="3">
        <v>42562</v>
      </c>
      <c r="AC188" t="s">
        <v>53</v>
      </c>
      <c r="AD188" t="s">
        <v>53</v>
      </c>
      <c r="AK188">
        <v>0</v>
      </c>
      <c r="AU188" s="3">
        <v>42513</v>
      </c>
      <c r="AV188" s="3">
        <v>42513</v>
      </c>
      <c r="AW188" t="s">
        <v>54</v>
      </c>
      <c r="AX188" t="str">
        <f t="shared" si="24"/>
        <v>FOR</v>
      </c>
      <c r="AY188" t="s">
        <v>55</v>
      </c>
    </row>
    <row r="189" spans="1:51" hidden="1">
      <c r="A189">
        <v>100136</v>
      </c>
      <c r="B189" t="s">
        <v>83</v>
      </c>
      <c r="C189" t="str">
        <f t="shared" ref="C189:D197" si="25">"03615181009"</f>
        <v>03615181009</v>
      </c>
      <c r="D189" t="str">
        <f t="shared" si="25"/>
        <v>03615181009</v>
      </c>
      <c r="E189" t="s">
        <v>52</v>
      </c>
      <c r="F189">
        <v>2015</v>
      </c>
      <c r="G189" t="str">
        <f>"           000017-PA"</f>
        <v xml:space="preserve">           000017-PA</v>
      </c>
      <c r="H189" s="3">
        <v>42155</v>
      </c>
      <c r="I189" s="3">
        <v>42171</v>
      </c>
      <c r="J189" s="3">
        <v>42166</v>
      </c>
      <c r="K189" s="3">
        <v>42226</v>
      </c>
      <c r="L189"/>
      <c r="N189"/>
      <c r="O189" s="4">
        <v>5300</v>
      </c>
      <c r="P189">
        <v>227</v>
      </c>
      <c r="Q189" s="4">
        <v>1203100</v>
      </c>
      <c r="R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 s="3">
        <v>42562</v>
      </c>
      <c r="AC189" t="s">
        <v>53</v>
      </c>
      <c r="AD189" t="s">
        <v>53</v>
      </c>
      <c r="AK189">
        <v>0</v>
      </c>
      <c r="AU189" s="3">
        <v>42453</v>
      </c>
      <c r="AV189" s="3">
        <v>42453</v>
      </c>
      <c r="AW189" t="s">
        <v>54</v>
      </c>
      <c r="AX189" t="str">
        <f t="shared" si="24"/>
        <v>FOR</v>
      </c>
      <c r="AY189" t="s">
        <v>55</v>
      </c>
    </row>
    <row r="190" spans="1:51" hidden="1">
      <c r="A190">
        <v>100136</v>
      </c>
      <c r="B190" t="s">
        <v>83</v>
      </c>
      <c r="C190" t="str">
        <f t="shared" si="25"/>
        <v>03615181009</v>
      </c>
      <c r="D190" t="str">
        <f t="shared" si="25"/>
        <v>03615181009</v>
      </c>
      <c r="E190" t="s">
        <v>52</v>
      </c>
      <c r="F190">
        <v>2015</v>
      </c>
      <c r="G190" t="str">
        <f>"           000018-PA"</f>
        <v xml:space="preserve">           000018-PA</v>
      </c>
      <c r="H190" s="3">
        <v>42155</v>
      </c>
      <c r="I190" s="3">
        <v>42171</v>
      </c>
      <c r="J190" s="3">
        <v>42166</v>
      </c>
      <c r="K190" s="3">
        <v>42226</v>
      </c>
      <c r="L190"/>
      <c r="N190"/>
      <c r="O190" s="4">
        <v>2650</v>
      </c>
      <c r="P190">
        <v>227</v>
      </c>
      <c r="Q190" s="4">
        <v>601550</v>
      </c>
      <c r="R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 s="3">
        <v>42562</v>
      </c>
      <c r="AC190" t="s">
        <v>53</v>
      </c>
      <c r="AD190" t="s">
        <v>53</v>
      </c>
      <c r="AK190">
        <v>0</v>
      </c>
      <c r="AU190" s="3">
        <v>42453</v>
      </c>
      <c r="AV190" s="3">
        <v>42453</v>
      </c>
      <c r="AW190" t="s">
        <v>54</v>
      </c>
      <c r="AX190" t="str">
        <f t="shared" si="24"/>
        <v>FOR</v>
      </c>
      <c r="AY190" t="s">
        <v>55</v>
      </c>
    </row>
    <row r="191" spans="1:51" hidden="1">
      <c r="A191">
        <v>100136</v>
      </c>
      <c r="B191" t="s">
        <v>83</v>
      </c>
      <c r="C191" t="str">
        <f t="shared" si="25"/>
        <v>03615181009</v>
      </c>
      <c r="D191" t="str">
        <f t="shared" si="25"/>
        <v>03615181009</v>
      </c>
      <c r="E191" t="s">
        <v>52</v>
      </c>
      <c r="F191">
        <v>2015</v>
      </c>
      <c r="G191" t="str">
        <f>"           000019-PA"</f>
        <v xml:space="preserve">           000019-PA</v>
      </c>
      <c r="H191" s="3">
        <v>42155</v>
      </c>
      <c r="I191" s="3">
        <v>42171</v>
      </c>
      <c r="J191" s="3">
        <v>42166</v>
      </c>
      <c r="K191" s="3">
        <v>42226</v>
      </c>
      <c r="L191"/>
      <c r="N191"/>
      <c r="O191" s="4">
        <v>5300</v>
      </c>
      <c r="P191">
        <v>227</v>
      </c>
      <c r="Q191" s="4">
        <v>1203100</v>
      </c>
      <c r="R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 s="3">
        <v>42562</v>
      </c>
      <c r="AC191" t="s">
        <v>53</v>
      </c>
      <c r="AD191" t="s">
        <v>53</v>
      </c>
      <c r="AK191">
        <v>0</v>
      </c>
      <c r="AU191" s="3">
        <v>42453</v>
      </c>
      <c r="AV191" s="3">
        <v>42453</v>
      </c>
      <c r="AW191" t="s">
        <v>54</v>
      </c>
      <c r="AX191" t="str">
        <f t="shared" si="24"/>
        <v>FOR</v>
      </c>
      <c r="AY191" t="s">
        <v>55</v>
      </c>
    </row>
    <row r="192" spans="1:51" hidden="1">
      <c r="A192">
        <v>100136</v>
      </c>
      <c r="B192" t="s">
        <v>83</v>
      </c>
      <c r="C192" t="str">
        <f t="shared" si="25"/>
        <v>03615181009</v>
      </c>
      <c r="D192" t="str">
        <f t="shared" si="25"/>
        <v>03615181009</v>
      </c>
      <c r="E192" t="s">
        <v>52</v>
      </c>
      <c r="F192">
        <v>2015</v>
      </c>
      <c r="G192" t="str">
        <f>"           000045-PA"</f>
        <v xml:space="preserve">           000045-PA</v>
      </c>
      <c r="H192" s="3">
        <v>42155</v>
      </c>
      <c r="I192" s="3">
        <v>42185</v>
      </c>
      <c r="J192" s="3">
        <v>42167</v>
      </c>
      <c r="K192" s="3">
        <v>42227</v>
      </c>
      <c r="L192"/>
      <c r="N192"/>
      <c r="O192" s="4">
        <v>2650</v>
      </c>
      <c r="P192">
        <v>226</v>
      </c>
      <c r="Q192" s="4">
        <v>598900</v>
      </c>
      <c r="R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 s="3">
        <v>42562</v>
      </c>
      <c r="AC192" t="s">
        <v>53</v>
      </c>
      <c r="AD192" t="s">
        <v>53</v>
      </c>
      <c r="AK192">
        <v>0</v>
      </c>
      <c r="AU192" s="3">
        <v>42453</v>
      </c>
      <c r="AV192" s="3">
        <v>42453</v>
      </c>
      <c r="AW192" t="s">
        <v>54</v>
      </c>
      <c r="AX192" t="str">
        <f t="shared" si="24"/>
        <v>FOR</v>
      </c>
      <c r="AY192" t="s">
        <v>55</v>
      </c>
    </row>
    <row r="193" spans="1:51" hidden="1">
      <c r="A193">
        <v>100136</v>
      </c>
      <c r="B193" t="s">
        <v>83</v>
      </c>
      <c r="C193" t="str">
        <f t="shared" si="25"/>
        <v>03615181009</v>
      </c>
      <c r="D193" t="str">
        <f t="shared" si="25"/>
        <v>03615181009</v>
      </c>
      <c r="E193" t="s">
        <v>52</v>
      </c>
      <c r="F193">
        <v>2015</v>
      </c>
      <c r="G193" t="str">
        <f>"           000059-PA"</f>
        <v xml:space="preserve">           000059-PA</v>
      </c>
      <c r="H193" s="3">
        <v>42155</v>
      </c>
      <c r="I193" s="3">
        <v>42185</v>
      </c>
      <c r="J193" s="3">
        <v>42173</v>
      </c>
      <c r="K193" s="3">
        <v>42233</v>
      </c>
      <c r="L193"/>
      <c r="N193"/>
      <c r="O193" s="4">
        <v>2650</v>
      </c>
      <c r="P193">
        <v>220</v>
      </c>
      <c r="Q193" s="4">
        <v>583000</v>
      </c>
      <c r="R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 s="3">
        <v>42562</v>
      </c>
      <c r="AC193" t="s">
        <v>53</v>
      </c>
      <c r="AD193" t="s">
        <v>53</v>
      </c>
      <c r="AK193">
        <v>0</v>
      </c>
      <c r="AU193" s="3">
        <v>42453</v>
      </c>
      <c r="AV193" s="3">
        <v>42453</v>
      </c>
      <c r="AW193" t="s">
        <v>54</v>
      </c>
      <c r="AX193" t="str">
        <f t="shared" si="24"/>
        <v>FOR</v>
      </c>
      <c r="AY193" t="s">
        <v>55</v>
      </c>
    </row>
    <row r="194" spans="1:51">
      <c r="A194">
        <v>100136</v>
      </c>
      <c r="B194" t="s">
        <v>83</v>
      </c>
      <c r="C194" t="str">
        <f t="shared" si="25"/>
        <v>03615181009</v>
      </c>
      <c r="D194" t="str">
        <f t="shared" si="25"/>
        <v>03615181009</v>
      </c>
      <c r="E194" t="s">
        <v>52</v>
      </c>
      <c r="F194">
        <v>2015</v>
      </c>
      <c r="G194" t="str">
        <f>"           000100-PA"</f>
        <v xml:space="preserve">           000100-PA</v>
      </c>
      <c r="H194" s="3">
        <v>42185</v>
      </c>
      <c r="I194" s="3">
        <v>42201</v>
      </c>
      <c r="J194" s="3">
        <v>42200</v>
      </c>
      <c r="K194" s="3">
        <v>42260</v>
      </c>
      <c r="L194" s="5">
        <v>2650</v>
      </c>
      <c r="M194">
        <v>227</v>
      </c>
      <c r="N194" s="5">
        <v>601550</v>
      </c>
      <c r="O194" s="4">
        <v>2650</v>
      </c>
      <c r="P194">
        <v>227</v>
      </c>
      <c r="Q194" s="4">
        <v>601550</v>
      </c>
      <c r="R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 s="3">
        <v>42562</v>
      </c>
      <c r="AC194" t="s">
        <v>53</v>
      </c>
      <c r="AD194" t="s">
        <v>53</v>
      </c>
      <c r="AK194">
        <v>0</v>
      </c>
      <c r="AU194" s="3">
        <v>42487</v>
      </c>
      <c r="AV194" s="3">
        <v>42487</v>
      </c>
      <c r="AW194" t="s">
        <v>54</v>
      </c>
      <c r="AX194" t="str">
        <f t="shared" si="24"/>
        <v>FOR</v>
      </c>
      <c r="AY194" t="s">
        <v>55</v>
      </c>
    </row>
    <row r="195" spans="1:51">
      <c r="A195">
        <v>100136</v>
      </c>
      <c r="B195" t="s">
        <v>83</v>
      </c>
      <c r="C195" t="str">
        <f t="shared" si="25"/>
        <v>03615181009</v>
      </c>
      <c r="D195" t="str">
        <f t="shared" si="25"/>
        <v>03615181009</v>
      </c>
      <c r="E195" t="s">
        <v>52</v>
      </c>
      <c r="F195">
        <v>2015</v>
      </c>
      <c r="G195" t="str">
        <f>"           000108-PA"</f>
        <v xml:space="preserve">           000108-PA</v>
      </c>
      <c r="H195" s="3">
        <v>42243</v>
      </c>
      <c r="I195" s="3">
        <v>42248</v>
      </c>
      <c r="J195" s="3">
        <v>42244</v>
      </c>
      <c r="K195" s="3">
        <v>42304</v>
      </c>
      <c r="L195" s="5">
        <v>2650</v>
      </c>
      <c r="M195">
        <v>225</v>
      </c>
      <c r="N195" s="5">
        <v>596250</v>
      </c>
      <c r="O195" s="4">
        <v>2650</v>
      </c>
      <c r="P195">
        <v>225</v>
      </c>
      <c r="Q195" s="4">
        <v>596250</v>
      </c>
      <c r="R195">
        <v>583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 s="3">
        <v>42562</v>
      </c>
      <c r="AC195" t="s">
        <v>53</v>
      </c>
      <c r="AD195" t="s">
        <v>53</v>
      </c>
      <c r="AK195">
        <v>583</v>
      </c>
      <c r="AU195" s="3">
        <v>42529</v>
      </c>
      <c r="AV195" s="3">
        <v>42529</v>
      </c>
      <c r="AW195" t="s">
        <v>54</v>
      </c>
      <c r="AX195" t="str">
        <f t="shared" si="24"/>
        <v>FOR</v>
      </c>
      <c r="AY195" t="s">
        <v>55</v>
      </c>
    </row>
    <row r="196" spans="1:51">
      <c r="A196">
        <v>100136</v>
      </c>
      <c r="B196" t="s">
        <v>83</v>
      </c>
      <c r="C196" t="str">
        <f t="shared" si="25"/>
        <v>03615181009</v>
      </c>
      <c r="D196" t="str">
        <f t="shared" si="25"/>
        <v>03615181009</v>
      </c>
      <c r="E196" t="s">
        <v>52</v>
      </c>
      <c r="F196">
        <v>2015</v>
      </c>
      <c r="G196" t="str">
        <f>"           000109-PA"</f>
        <v xml:space="preserve">           000109-PA</v>
      </c>
      <c r="H196" s="3">
        <v>42243</v>
      </c>
      <c r="I196" s="3">
        <v>42248</v>
      </c>
      <c r="J196" s="3">
        <v>42244</v>
      </c>
      <c r="K196" s="3">
        <v>42304</v>
      </c>
      <c r="L196" s="5">
        <v>2650</v>
      </c>
      <c r="M196">
        <v>225</v>
      </c>
      <c r="N196" s="5">
        <v>596250</v>
      </c>
      <c r="O196" s="4">
        <v>2650</v>
      </c>
      <c r="P196">
        <v>225</v>
      </c>
      <c r="Q196" s="4">
        <v>596250</v>
      </c>
      <c r="R196">
        <v>583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 s="3">
        <v>42562</v>
      </c>
      <c r="AC196" t="s">
        <v>53</v>
      </c>
      <c r="AD196" t="s">
        <v>53</v>
      </c>
      <c r="AK196">
        <v>583</v>
      </c>
      <c r="AU196" s="3">
        <v>42529</v>
      </c>
      <c r="AV196" s="3">
        <v>42529</v>
      </c>
      <c r="AW196" t="s">
        <v>54</v>
      </c>
      <c r="AX196" t="str">
        <f t="shared" si="24"/>
        <v>FOR</v>
      </c>
      <c r="AY196" t="s">
        <v>55</v>
      </c>
    </row>
    <row r="197" spans="1:51">
      <c r="A197">
        <v>100136</v>
      </c>
      <c r="B197" t="s">
        <v>83</v>
      </c>
      <c r="C197" t="str">
        <f t="shared" si="25"/>
        <v>03615181009</v>
      </c>
      <c r="D197" t="str">
        <f t="shared" si="25"/>
        <v>03615181009</v>
      </c>
      <c r="E197" t="s">
        <v>52</v>
      </c>
      <c r="F197">
        <v>2015</v>
      </c>
      <c r="G197" t="str">
        <f>"           000130-PA"</f>
        <v xml:space="preserve">           000130-PA</v>
      </c>
      <c r="H197" s="3">
        <v>42247</v>
      </c>
      <c r="I197" s="3">
        <v>42254</v>
      </c>
      <c r="J197" s="3">
        <v>42251</v>
      </c>
      <c r="K197" s="3">
        <v>42311</v>
      </c>
      <c r="L197" s="5">
        <v>2650</v>
      </c>
      <c r="M197">
        <v>218</v>
      </c>
      <c r="N197" s="5">
        <v>577700</v>
      </c>
      <c r="O197" s="4">
        <v>2650</v>
      </c>
      <c r="P197">
        <v>218</v>
      </c>
      <c r="Q197" s="4">
        <v>577700</v>
      </c>
      <c r="R197">
        <v>583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 s="3">
        <v>42562</v>
      </c>
      <c r="AC197" t="s">
        <v>53</v>
      </c>
      <c r="AD197" t="s">
        <v>53</v>
      </c>
      <c r="AK197">
        <v>583</v>
      </c>
      <c r="AU197" s="3">
        <v>42529</v>
      </c>
      <c r="AV197" s="3">
        <v>42529</v>
      </c>
      <c r="AW197" t="s">
        <v>54</v>
      </c>
      <c r="AX197" t="str">
        <f t="shared" si="24"/>
        <v>FOR</v>
      </c>
      <c r="AY197" t="s">
        <v>55</v>
      </c>
    </row>
    <row r="198" spans="1:51">
      <c r="A198">
        <v>100152</v>
      </c>
      <c r="B198" t="s">
        <v>84</v>
      </c>
      <c r="C198" t="str">
        <f>"06157780963"</f>
        <v>06157780963</v>
      </c>
      <c r="D198" t="str">
        <f>"06157780963"</f>
        <v>06157780963</v>
      </c>
      <c r="E198" t="s">
        <v>52</v>
      </c>
      <c r="F198">
        <v>2015</v>
      </c>
      <c r="G198" t="str">
        <f>"             701.182"</f>
        <v xml:space="preserve">             701.182</v>
      </c>
      <c r="H198" s="3">
        <v>42108</v>
      </c>
      <c r="I198" s="3">
        <v>42115</v>
      </c>
      <c r="J198" s="3">
        <v>42114</v>
      </c>
      <c r="K198" s="3">
        <v>42174</v>
      </c>
      <c r="L198" s="1">
        <v>180</v>
      </c>
      <c r="M198">
        <v>290</v>
      </c>
      <c r="N198" s="5">
        <v>52200</v>
      </c>
      <c r="O198">
        <v>180</v>
      </c>
      <c r="P198">
        <v>290</v>
      </c>
      <c r="Q198" s="4">
        <v>52200</v>
      </c>
      <c r="R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 s="3">
        <v>42562</v>
      </c>
      <c r="AC198" t="s">
        <v>53</v>
      </c>
      <c r="AD198" t="s">
        <v>53</v>
      </c>
      <c r="AK198">
        <v>0</v>
      </c>
      <c r="AU198" s="3">
        <v>42464</v>
      </c>
      <c r="AV198" s="3">
        <v>42464</v>
      </c>
      <c r="AW198" t="s">
        <v>54</v>
      </c>
      <c r="AX198" t="str">
        <f t="shared" si="24"/>
        <v>FOR</v>
      </c>
      <c r="AY198" t="s">
        <v>55</v>
      </c>
    </row>
    <row r="199" spans="1:51">
      <c r="A199">
        <v>100152</v>
      </c>
      <c r="B199" t="s">
        <v>84</v>
      </c>
      <c r="C199" t="str">
        <f>"06157780963"</f>
        <v>06157780963</v>
      </c>
      <c r="D199" t="str">
        <f>"06157780963"</f>
        <v>06157780963</v>
      </c>
      <c r="E199" t="s">
        <v>52</v>
      </c>
      <c r="F199">
        <v>2015</v>
      </c>
      <c r="G199" t="str">
        <f>"             703.007"</f>
        <v xml:space="preserve">             703.007</v>
      </c>
      <c r="H199" s="3">
        <v>42174</v>
      </c>
      <c r="I199" s="3">
        <v>42178</v>
      </c>
      <c r="J199" s="3">
        <v>42178</v>
      </c>
      <c r="K199" s="3">
        <v>42238</v>
      </c>
      <c r="L199" s="5">
        <v>2800</v>
      </c>
      <c r="M199">
        <v>289</v>
      </c>
      <c r="N199" s="5">
        <v>809200</v>
      </c>
      <c r="O199" s="4">
        <v>2800</v>
      </c>
      <c r="P199">
        <v>289</v>
      </c>
      <c r="Q199" s="4">
        <v>809200</v>
      </c>
      <c r="R199">
        <v>112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 s="3">
        <v>42562</v>
      </c>
      <c r="AC199" t="s">
        <v>53</v>
      </c>
      <c r="AD199" t="s">
        <v>53</v>
      </c>
      <c r="AK199">
        <v>112</v>
      </c>
      <c r="AU199" s="3">
        <v>42527</v>
      </c>
      <c r="AV199" s="3">
        <v>42527</v>
      </c>
      <c r="AW199" t="s">
        <v>54</v>
      </c>
      <c r="AX199" t="str">
        <f t="shared" si="24"/>
        <v>FOR</v>
      </c>
      <c r="AY199" t="s">
        <v>55</v>
      </c>
    </row>
    <row r="200" spans="1:51" hidden="1">
      <c r="A200">
        <v>100161</v>
      </c>
      <c r="B200" t="s">
        <v>85</v>
      </c>
      <c r="C200" t="str">
        <f t="shared" ref="C200:D203" si="26">"00801720152"</f>
        <v>00801720152</v>
      </c>
      <c r="D200" t="str">
        <f t="shared" si="26"/>
        <v>00801720152</v>
      </c>
      <c r="E200" t="s">
        <v>52</v>
      </c>
      <c r="F200">
        <v>2015</v>
      </c>
      <c r="G200" t="str">
        <f>"            21502795"</f>
        <v xml:space="preserve">            21502795</v>
      </c>
      <c r="H200" s="3">
        <v>42035</v>
      </c>
      <c r="I200" s="3">
        <v>42059</v>
      </c>
      <c r="J200" s="3">
        <v>42059</v>
      </c>
      <c r="K200" s="3">
        <v>42119</v>
      </c>
      <c r="L200"/>
      <c r="N200"/>
      <c r="O200" s="4">
        <v>4700</v>
      </c>
      <c r="P200">
        <v>283</v>
      </c>
      <c r="Q200" s="4">
        <v>1330100</v>
      </c>
      <c r="R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 s="3">
        <v>42562</v>
      </c>
      <c r="AC200" t="s">
        <v>53</v>
      </c>
      <c r="AD200" t="s">
        <v>53</v>
      </c>
      <c r="AK200">
        <v>0</v>
      </c>
      <c r="AU200" s="3">
        <v>42402</v>
      </c>
      <c r="AV200" s="3">
        <v>42402</v>
      </c>
      <c r="AW200" t="s">
        <v>54</v>
      </c>
      <c r="AX200" t="str">
        <f t="shared" si="24"/>
        <v>FOR</v>
      </c>
      <c r="AY200" t="s">
        <v>55</v>
      </c>
    </row>
    <row r="201" spans="1:51" hidden="1">
      <c r="A201">
        <v>100161</v>
      </c>
      <c r="B201" t="s">
        <v>85</v>
      </c>
      <c r="C201" t="str">
        <f t="shared" si="26"/>
        <v>00801720152</v>
      </c>
      <c r="D201" t="str">
        <f t="shared" si="26"/>
        <v>00801720152</v>
      </c>
      <c r="E201" t="s">
        <v>52</v>
      </c>
      <c r="F201">
        <v>2015</v>
      </c>
      <c r="G201" t="str">
        <f>"        S01/21512691"</f>
        <v xml:space="preserve">        S01/21512691</v>
      </c>
      <c r="H201" s="3">
        <v>42124</v>
      </c>
      <c r="I201" s="3">
        <v>42191</v>
      </c>
      <c r="J201" s="3">
        <v>42188</v>
      </c>
      <c r="K201" s="3">
        <v>42248</v>
      </c>
      <c r="L201"/>
      <c r="N201"/>
      <c r="O201" s="4">
        <v>4700</v>
      </c>
      <c r="P201">
        <v>154</v>
      </c>
      <c r="Q201" s="4">
        <v>723800</v>
      </c>
      <c r="R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 s="3">
        <v>42562</v>
      </c>
      <c r="AC201" t="s">
        <v>53</v>
      </c>
      <c r="AD201" t="s">
        <v>53</v>
      </c>
      <c r="AK201">
        <v>0</v>
      </c>
      <c r="AU201" s="3">
        <v>42402</v>
      </c>
      <c r="AV201" s="3">
        <v>42402</v>
      </c>
      <c r="AW201" t="s">
        <v>54</v>
      </c>
      <c r="AX201" t="str">
        <f t="shared" si="24"/>
        <v>FOR</v>
      </c>
      <c r="AY201" t="s">
        <v>55</v>
      </c>
    </row>
    <row r="202" spans="1:51">
      <c r="A202">
        <v>100161</v>
      </c>
      <c r="B202" t="s">
        <v>85</v>
      </c>
      <c r="C202" t="str">
        <f t="shared" si="26"/>
        <v>00801720152</v>
      </c>
      <c r="D202" t="str">
        <f t="shared" si="26"/>
        <v>00801720152</v>
      </c>
      <c r="E202" t="s">
        <v>52</v>
      </c>
      <c r="F202">
        <v>2015</v>
      </c>
      <c r="G202" t="str">
        <f>"        S01/21517614"</f>
        <v xml:space="preserve">        S01/21517614</v>
      </c>
      <c r="H202" s="3">
        <v>42170</v>
      </c>
      <c r="I202" s="3">
        <v>42296</v>
      </c>
      <c r="J202" s="3">
        <v>42293</v>
      </c>
      <c r="K202" s="3">
        <v>42353</v>
      </c>
      <c r="L202" s="5">
        <v>9249.9599999999991</v>
      </c>
      <c r="M202">
        <v>139</v>
      </c>
      <c r="N202" s="5">
        <v>1285744.44</v>
      </c>
      <c r="O202" s="4">
        <v>9249.9599999999991</v>
      </c>
      <c r="P202">
        <v>139</v>
      </c>
      <c r="Q202" s="4">
        <v>1285744.44</v>
      </c>
      <c r="R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 s="3">
        <v>42562</v>
      </c>
      <c r="AC202" t="s">
        <v>53</v>
      </c>
      <c r="AD202" t="s">
        <v>53</v>
      </c>
      <c r="AK202">
        <v>0</v>
      </c>
      <c r="AU202" s="3">
        <v>42492</v>
      </c>
      <c r="AV202" s="3">
        <v>42492</v>
      </c>
      <c r="AW202" t="s">
        <v>54</v>
      </c>
      <c r="AX202" t="str">
        <f t="shared" si="24"/>
        <v>FOR</v>
      </c>
      <c r="AY202" t="s">
        <v>55</v>
      </c>
    </row>
    <row r="203" spans="1:51">
      <c r="A203">
        <v>100161</v>
      </c>
      <c r="B203" t="s">
        <v>85</v>
      </c>
      <c r="C203" t="str">
        <f t="shared" si="26"/>
        <v>00801720152</v>
      </c>
      <c r="D203" t="str">
        <f t="shared" si="26"/>
        <v>00801720152</v>
      </c>
      <c r="E203" t="s">
        <v>52</v>
      </c>
      <c r="F203">
        <v>2015</v>
      </c>
      <c r="G203" t="str">
        <f>"        S01/21517615"</f>
        <v xml:space="preserve">        S01/21517615</v>
      </c>
      <c r="H203" s="3">
        <v>42170</v>
      </c>
      <c r="I203" s="3">
        <v>42296</v>
      </c>
      <c r="J203" s="3">
        <v>42293</v>
      </c>
      <c r="K203" s="3">
        <v>42353</v>
      </c>
      <c r="L203" s="5">
        <v>2169.12</v>
      </c>
      <c r="M203">
        <v>139</v>
      </c>
      <c r="N203" s="5">
        <v>301507.68</v>
      </c>
      <c r="O203" s="4">
        <v>2169.12</v>
      </c>
      <c r="P203">
        <v>139</v>
      </c>
      <c r="Q203" s="4">
        <v>301507.68</v>
      </c>
      <c r="R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 s="3">
        <v>42562</v>
      </c>
      <c r="AC203" t="s">
        <v>53</v>
      </c>
      <c r="AD203" t="s">
        <v>53</v>
      </c>
      <c r="AK203">
        <v>0</v>
      </c>
      <c r="AU203" s="3">
        <v>42492</v>
      </c>
      <c r="AV203" s="3">
        <v>42492</v>
      </c>
      <c r="AW203" t="s">
        <v>54</v>
      </c>
      <c r="AX203" t="str">
        <f t="shared" si="24"/>
        <v>FOR</v>
      </c>
      <c r="AY203" t="s">
        <v>55</v>
      </c>
    </row>
    <row r="204" spans="1:51" hidden="1">
      <c r="A204">
        <v>100164</v>
      </c>
      <c r="B204" t="s">
        <v>86</v>
      </c>
      <c r="C204" t="str">
        <f t="shared" ref="C204:D220" si="27">"00803890151"</f>
        <v>00803890151</v>
      </c>
      <c r="D204" t="str">
        <f t="shared" si="27"/>
        <v>00803890151</v>
      </c>
      <c r="E204" t="s">
        <v>52</v>
      </c>
      <c r="F204">
        <v>2014</v>
      </c>
      <c r="G204" t="str">
        <f>"            40041612"</f>
        <v xml:space="preserve">            40041612</v>
      </c>
      <c r="H204" s="3">
        <v>41934</v>
      </c>
      <c r="I204" s="3">
        <v>41941</v>
      </c>
      <c r="J204" s="3">
        <v>41941</v>
      </c>
      <c r="K204" s="3">
        <v>42001</v>
      </c>
      <c r="L204"/>
      <c r="N204"/>
      <c r="O204" s="4">
        <v>4562.8</v>
      </c>
      <c r="P204">
        <v>401</v>
      </c>
      <c r="Q204" s="4">
        <v>1829682.8</v>
      </c>
      <c r="R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 s="3">
        <v>42562</v>
      </c>
      <c r="AC204" t="s">
        <v>53</v>
      </c>
      <c r="AD204" t="s">
        <v>53</v>
      </c>
      <c r="AK204">
        <v>0</v>
      </c>
      <c r="AU204" s="3">
        <v>42402</v>
      </c>
      <c r="AV204" s="3">
        <v>42402</v>
      </c>
      <c r="AW204" t="s">
        <v>54</v>
      </c>
      <c r="AX204" t="str">
        <f t="shared" si="24"/>
        <v>FOR</v>
      </c>
      <c r="AY204" t="s">
        <v>55</v>
      </c>
    </row>
    <row r="205" spans="1:51" hidden="1">
      <c r="A205">
        <v>100164</v>
      </c>
      <c r="B205" t="s">
        <v>86</v>
      </c>
      <c r="C205" t="str">
        <f t="shared" si="27"/>
        <v>00803890151</v>
      </c>
      <c r="D205" t="str">
        <f t="shared" si="27"/>
        <v>00803890151</v>
      </c>
      <c r="E205" t="s">
        <v>52</v>
      </c>
      <c r="F205">
        <v>2015</v>
      </c>
      <c r="G205" t="str">
        <f>"           152018203"</f>
        <v xml:space="preserve">           152018203</v>
      </c>
      <c r="H205" s="3">
        <v>42222</v>
      </c>
      <c r="I205" s="3">
        <v>42223</v>
      </c>
      <c r="J205" s="3">
        <v>42222</v>
      </c>
      <c r="K205" s="3">
        <v>42282</v>
      </c>
      <c r="L205"/>
      <c r="N205"/>
      <c r="O205" s="4">
        <v>1375</v>
      </c>
      <c r="P205">
        <v>120</v>
      </c>
      <c r="Q205" s="4">
        <v>165000</v>
      </c>
      <c r="R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 s="3">
        <v>42562</v>
      </c>
      <c r="AC205" t="s">
        <v>53</v>
      </c>
      <c r="AD205" t="s">
        <v>53</v>
      </c>
      <c r="AK205">
        <v>0</v>
      </c>
      <c r="AU205" s="3">
        <v>42402</v>
      </c>
      <c r="AV205" s="3">
        <v>42402</v>
      </c>
      <c r="AW205" t="s">
        <v>54</v>
      </c>
      <c r="AX205" t="str">
        <f t="shared" si="24"/>
        <v>FOR</v>
      </c>
      <c r="AY205" t="s">
        <v>55</v>
      </c>
    </row>
    <row r="206" spans="1:51" hidden="1">
      <c r="A206">
        <v>100164</v>
      </c>
      <c r="B206" t="s">
        <v>86</v>
      </c>
      <c r="C206" t="str">
        <f t="shared" si="27"/>
        <v>00803890151</v>
      </c>
      <c r="D206" t="str">
        <f t="shared" si="27"/>
        <v>00803890151</v>
      </c>
      <c r="E206" t="s">
        <v>52</v>
      </c>
      <c r="F206">
        <v>2015</v>
      </c>
      <c r="G206" t="str">
        <f>"           152018356"</f>
        <v xml:space="preserve">           152018356</v>
      </c>
      <c r="H206" s="3">
        <v>42223</v>
      </c>
      <c r="I206" s="3">
        <v>42226</v>
      </c>
      <c r="J206" s="3">
        <v>42223</v>
      </c>
      <c r="K206" s="3">
        <v>42283</v>
      </c>
      <c r="L206"/>
      <c r="N206"/>
      <c r="O206">
        <v>900</v>
      </c>
      <c r="P206">
        <v>119</v>
      </c>
      <c r="Q206" s="4">
        <v>107100</v>
      </c>
      <c r="R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 s="3">
        <v>42562</v>
      </c>
      <c r="AC206" t="s">
        <v>53</v>
      </c>
      <c r="AD206" t="s">
        <v>53</v>
      </c>
      <c r="AK206">
        <v>0</v>
      </c>
      <c r="AU206" s="3">
        <v>42402</v>
      </c>
      <c r="AV206" s="3">
        <v>42402</v>
      </c>
      <c r="AW206" t="s">
        <v>54</v>
      </c>
      <c r="AX206" t="str">
        <f t="shared" si="24"/>
        <v>FOR</v>
      </c>
      <c r="AY206" t="s">
        <v>55</v>
      </c>
    </row>
    <row r="207" spans="1:51" hidden="1">
      <c r="A207">
        <v>100164</v>
      </c>
      <c r="B207" t="s">
        <v>86</v>
      </c>
      <c r="C207" t="str">
        <f t="shared" si="27"/>
        <v>00803890151</v>
      </c>
      <c r="D207" t="str">
        <f t="shared" si="27"/>
        <v>00803890151</v>
      </c>
      <c r="E207" t="s">
        <v>52</v>
      </c>
      <c r="F207">
        <v>2015</v>
      </c>
      <c r="G207" t="str">
        <f>"           152018480"</f>
        <v xml:space="preserve">           152018480</v>
      </c>
      <c r="H207" s="3">
        <v>42226</v>
      </c>
      <c r="I207" s="3">
        <v>42229</v>
      </c>
      <c r="J207" s="3">
        <v>42226</v>
      </c>
      <c r="K207" s="3">
        <v>42286</v>
      </c>
      <c r="L207"/>
      <c r="N207"/>
      <c r="O207" s="4">
        <v>1439.8</v>
      </c>
      <c r="P207">
        <v>116</v>
      </c>
      <c r="Q207" s="4">
        <v>167016.79999999999</v>
      </c>
      <c r="R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 s="3">
        <v>42562</v>
      </c>
      <c r="AC207" t="s">
        <v>53</v>
      </c>
      <c r="AD207" t="s">
        <v>53</v>
      </c>
      <c r="AK207">
        <v>0</v>
      </c>
      <c r="AU207" s="3">
        <v>42402</v>
      </c>
      <c r="AV207" s="3">
        <v>42402</v>
      </c>
      <c r="AW207" t="s">
        <v>54</v>
      </c>
      <c r="AX207" t="str">
        <f t="shared" si="24"/>
        <v>FOR</v>
      </c>
      <c r="AY207" t="s">
        <v>55</v>
      </c>
    </row>
    <row r="208" spans="1:51" hidden="1">
      <c r="A208">
        <v>100164</v>
      </c>
      <c r="B208" t="s">
        <v>86</v>
      </c>
      <c r="C208" t="str">
        <f t="shared" si="27"/>
        <v>00803890151</v>
      </c>
      <c r="D208" t="str">
        <f t="shared" si="27"/>
        <v>00803890151</v>
      </c>
      <c r="E208" t="s">
        <v>52</v>
      </c>
      <c r="F208">
        <v>2015</v>
      </c>
      <c r="G208" t="str">
        <f>"           152019338"</f>
        <v xml:space="preserve">           152019338</v>
      </c>
      <c r="H208" s="3">
        <v>42240</v>
      </c>
      <c r="I208" s="3">
        <v>42241</v>
      </c>
      <c r="J208" s="3">
        <v>42240</v>
      </c>
      <c r="K208" s="3">
        <v>42300</v>
      </c>
      <c r="L208"/>
      <c r="N208"/>
      <c r="O208">
        <v>600</v>
      </c>
      <c r="P208">
        <v>102</v>
      </c>
      <c r="Q208" s="4">
        <v>61200</v>
      </c>
      <c r="R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 s="3">
        <v>42562</v>
      </c>
      <c r="AC208" t="s">
        <v>53</v>
      </c>
      <c r="AD208" t="s">
        <v>53</v>
      </c>
      <c r="AK208">
        <v>0</v>
      </c>
      <c r="AU208" s="3">
        <v>42402</v>
      </c>
      <c r="AV208" s="3">
        <v>42402</v>
      </c>
      <c r="AW208" t="s">
        <v>54</v>
      </c>
      <c r="AX208" t="str">
        <f t="shared" si="24"/>
        <v>FOR</v>
      </c>
      <c r="AY208" t="s">
        <v>55</v>
      </c>
    </row>
    <row r="209" spans="1:51" hidden="1">
      <c r="A209">
        <v>100164</v>
      </c>
      <c r="B209" t="s">
        <v>86</v>
      </c>
      <c r="C209" t="str">
        <f t="shared" si="27"/>
        <v>00803890151</v>
      </c>
      <c r="D209" t="str">
        <f t="shared" si="27"/>
        <v>00803890151</v>
      </c>
      <c r="E209" t="s">
        <v>52</v>
      </c>
      <c r="F209">
        <v>2015</v>
      </c>
      <c r="G209" t="str">
        <f>"           152019435"</f>
        <v xml:space="preserve">           152019435</v>
      </c>
      <c r="H209" s="3">
        <v>42241</v>
      </c>
      <c r="I209" s="3">
        <v>42242</v>
      </c>
      <c r="J209" s="3">
        <v>42241</v>
      </c>
      <c r="K209" s="3">
        <v>42301</v>
      </c>
      <c r="L209"/>
      <c r="N209"/>
      <c r="O209" s="4">
        <v>1200</v>
      </c>
      <c r="P209">
        <v>101</v>
      </c>
      <c r="Q209" s="4">
        <v>121200</v>
      </c>
      <c r="R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 s="3">
        <v>42562</v>
      </c>
      <c r="AC209" t="s">
        <v>53</v>
      </c>
      <c r="AD209" t="s">
        <v>53</v>
      </c>
      <c r="AK209">
        <v>0</v>
      </c>
      <c r="AU209" s="3">
        <v>42402</v>
      </c>
      <c r="AV209" s="3">
        <v>42402</v>
      </c>
      <c r="AW209" t="s">
        <v>54</v>
      </c>
      <c r="AX209" t="str">
        <f t="shared" si="24"/>
        <v>FOR</v>
      </c>
      <c r="AY209" t="s">
        <v>55</v>
      </c>
    </row>
    <row r="210" spans="1:51" hidden="1">
      <c r="A210">
        <v>100164</v>
      </c>
      <c r="B210" t="s">
        <v>86</v>
      </c>
      <c r="C210" t="str">
        <f t="shared" si="27"/>
        <v>00803890151</v>
      </c>
      <c r="D210" t="str">
        <f t="shared" si="27"/>
        <v>00803890151</v>
      </c>
      <c r="E210" t="s">
        <v>52</v>
      </c>
      <c r="F210">
        <v>2015</v>
      </c>
      <c r="G210" t="str">
        <f>"           152020387"</f>
        <v xml:space="preserve">           152020387</v>
      </c>
      <c r="H210" s="3">
        <v>42249</v>
      </c>
      <c r="I210" s="3">
        <v>42251</v>
      </c>
      <c r="J210" s="3">
        <v>42249</v>
      </c>
      <c r="K210" s="3">
        <v>42309</v>
      </c>
      <c r="L210"/>
      <c r="N210"/>
      <c r="O210" s="4">
        <v>8314.5</v>
      </c>
      <c r="P210">
        <v>107</v>
      </c>
      <c r="Q210" s="4">
        <v>889651.5</v>
      </c>
      <c r="R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 s="3">
        <v>42562</v>
      </c>
      <c r="AC210" t="s">
        <v>53</v>
      </c>
      <c r="AD210" t="s">
        <v>53</v>
      </c>
      <c r="AK210">
        <v>0</v>
      </c>
      <c r="AU210" s="3">
        <v>42416</v>
      </c>
      <c r="AV210" s="3">
        <v>42416</v>
      </c>
      <c r="AW210" t="s">
        <v>54</v>
      </c>
      <c r="AX210" t="str">
        <f t="shared" si="24"/>
        <v>FOR</v>
      </c>
      <c r="AY210" t="s">
        <v>55</v>
      </c>
    </row>
    <row r="211" spans="1:51" hidden="1">
      <c r="A211">
        <v>100164</v>
      </c>
      <c r="B211" t="s">
        <v>86</v>
      </c>
      <c r="C211" t="str">
        <f t="shared" si="27"/>
        <v>00803890151</v>
      </c>
      <c r="D211" t="str">
        <f t="shared" si="27"/>
        <v>00803890151</v>
      </c>
      <c r="E211" t="s">
        <v>52</v>
      </c>
      <c r="F211">
        <v>2015</v>
      </c>
      <c r="G211" t="str">
        <f>"           152020388"</f>
        <v xml:space="preserve">           152020388</v>
      </c>
      <c r="H211" s="3">
        <v>42249</v>
      </c>
      <c r="I211" s="3">
        <v>42251</v>
      </c>
      <c r="J211" s="3">
        <v>42249</v>
      </c>
      <c r="K211" s="3">
        <v>42309</v>
      </c>
      <c r="L211"/>
      <c r="N211"/>
      <c r="O211">
        <v>212</v>
      </c>
      <c r="P211">
        <v>143</v>
      </c>
      <c r="Q211" s="4">
        <v>30316</v>
      </c>
      <c r="R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 s="3">
        <v>42562</v>
      </c>
      <c r="AC211" t="s">
        <v>53</v>
      </c>
      <c r="AD211" t="s">
        <v>53</v>
      </c>
      <c r="AK211">
        <v>0</v>
      </c>
      <c r="AU211" s="3">
        <v>42452</v>
      </c>
      <c r="AV211" s="3">
        <v>42452</v>
      </c>
      <c r="AW211" t="s">
        <v>54</v>
      </c>
      <c r="AX211" t="str">
        <f t="shared" si="24"/>
        <v>FOR</v>
      </c>
      <c r="AY211" t="s">
        <v>55</v>
      </c>
    </row>
    <row r="212" spans="1:51" hidden="1">
      <c r="A212">
        <v>100164</v>
      </c>
      <c r="B212" t="s">
        <v>86</v>
      </c>
      <c r="C212" t="str">
        <f t="shared" si="27"/>
        <v>00803890151</v>
      </c>
      <c r="D212" t="str">
        <f t="shared" si="27"/>
        <v>00803890151</v>
      </c>
      <c r="E212" t="s">
        <v>52</v>
      </c>
      <c r="F212">
        <v>2015</v>
      </c>
      <c r="G212" t="str">
        <f>"           152020389"</f>
        <v xml:space="preserve">           152020389</v>
      </c>
      <c r="H212" s="3">
        <v>42249</v>
      </c>
      <c r="I212" s="3">
        <v>42251</v>
      </c>
      <c r="J212" s="3">
        <v>42249</v>
      </c>
      <c r="K212" s="3">
        <v>42309</v>
      </c>
      <c r="L212"/>
      <c r="N212"/>
      <c r="O212" s="4">
        <v>3525.58</v>
      </c>
      <c r="P212">
        <v>107</v>
      </c>
      <c r="Q212" s="4">
        <v>377237.06</v>
      </c>
      <c r="R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 s="3">
        <v>42562</v>
      </c>
      <c r="AC212" t="s">
        <v>53</v>
      </c>
      <c r="AD212" t="s">
        <v>53</v>
      </c>
      <c r="AK212">
        <v>0</v>
      </c>
      <c r="AU212" s="3">
        <v>42416</v>
      </c>
      <c r="AV212" s="3">
        <v>42416</v>
      </c>
      <c r="AW212" t="s">
        <v>54</v>
      </c>
      <c r="AX212" t="str">
        <f t="shared" si="24"/>
        <v>FOR</v>
      </c>
      <c r="AY212" t="s">
        <v>55</v>
      </c>
    </row>
    <row r="213" spans="1:51" hidden="1">
      <c r="A213">
        <v>100164</v>
      </c>
      <c r="B213" t="s">
        <v>86</v>
      </c>
      <c r="C213" t="str">
        <f t="shared" si="27"/>
        <v>00803890151</v>
      </c>
      <c r="D213" t="str">
        <f t="shared" si="27"/>
        <v>00803890151</v>
      </c>
      <c r="E213" t="s">
        <v>52</v>
      </c>
      <c r="F213">
        <v>2015</v>
      </c>
      <c r="G213" t="str">
        <f>"           152020842"</f>
        <v xml:space="preserve">           152020842</v>
      </c>
      <c r="H213" s="3">
        <v>42254</v>
      </c>
      <c r="I213" s="3">
        <v>42255</v>
      </c>
      <c r="J213" s="3">
        <v>42254</v>
      </c>
      <c r="K213" s="3">
        <v>42314</v>
      </c>
      <c r="L213"/>
      <c r="N213"/>
      <c r="O213">
        <v>240</v>
      </c>
      <c r="P213">
        <v>138</v>
      </c>
      <c r="Q213" s="4">
        <v>33120</v>
      </c>
      <c r="R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 s="3">
        <v>42562</v>
      </c>
      <c r="AC213" t="s">
        <v>53</v>
      </c>
      <c r="AD213" t="s">
        <v>53</v>
      </c>
      <c r="AK213">
        <v>0</v>
      </c>
      <c r="AU213" s="3">
        <v>42452</v>
      </c>
      <c r="AV213" s="3">
        <v>42452</v>
      </c>
      <c r="AW213" t="s">
        <v>54</v>
      </c>
      <c r="AX213" t="str">
        <f t="shared" si="24"/>
        <v>FOR</v>
      </c>
      <c r="AY213" t="s">
        <v>55</v>
      </c>
    </row>
    <row r="214" spans="1:51" hidden="1">
      <c r="A214">
        <v>100164</v>
      </c>
      <c r="B214" t="s">
        <v>86</v>
      </c>
      <c r="C214" t="str">
        <f t="shared" si="27"/>
        <v>00803890151</v>
      </c>
      <c r="D214" t="str">
        <f t="shared" si="27"/>
        <v>00803890151</v>
      </c>
      <c r="E214" t="s">
        <v>52</v>
      </c>
      <c r="F214">
        <v>2015</v>
      </c>
      <c r="G214" t="str">
        <f>"           152020843"</f>
        <v xml:space="preserve">           152020843</v>
      </c>
      <c r="H214" s="3">
        <v>42254</v>
      </c>
      <c r="I214" s="3">
        <v>42255</v>
      </c>
      <c r="J214" s="3">
        <v>42254</v>
      </c>
      <c r="K214" s="3">
        <v>42314</v>
      </c>
      <c r="L214"/>
      <c r="N214"/>
      <c r="O214">
        <v>600</v>
      </c>
      <c r="P214">
        <v>138</v>
      </c>
      <c r="Q214" s="4">
        <v>82800</v>
      </c>
      <c r="R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 s="3">
        <v>42562</v>
      </c>
      <c r="AC214" t="s">
        <v>53</v>
      </c>
      <c r="AD214" t="s">
        <v>53</v>
      </c>
      <c r="AK214">
        <v>0</v>
      </c>
      <c r="AU214" s="3">
        <v>42452</v>
      </c>
      <c r="AV214" s="3">
        <v>42452</v>
      </c>
      <c r="AW214" t="s">
        <v>54</v>
      </c>
      <c r="AX214" t="str">
        <f t="shared" si="24"/>
        <v>FOR</v>
      </c>
      <c r="AY214" t="s">
        <v>55</v>
      </c>
    </row>
    <row r="215" spans="1:51" hidden="1">
      <c r="A215">
        <v>100164</v>
      </c>
      <c r="B215" t="s">
        <v>86</v>
      </c>
      <c r="C215" t="str">
        <f t="shared" si="27"/>
        <v>00803890151</v>
      </c>
      <c r="D215" t="str">
        <f t="shared" si="27"/>
        <v>00803890151</v>
      </c>
      <c r="E215" t="s">
        <v>52</v>
      </c>
      <c r="F215">
        <v>2015</v>
      </c>
      <c r="G215" t="str">
        <f>"           152021149"</f>
        <v xml:space="preserve">           152021149</v>
      </c>
      <c r="H215" s="3">
        <v>42256</v>
      </c>
      <c r="I215" s="3">
        <v>42258</v>
      </c>
      <c r="J215" s="3">
        <v>42256</v>
      </c>
      <c r="K215" s="3">
        <v>42316</v>
      </c>
      <c r="L215"/>
      <c r="N215"/>
      <c r="O215">
        <v>264</v>
      </c>
      <c r="P215">
        <v>136</v>
      </c>
      <c r="Q215" s="4">
        <v>35904</v>
      </c>
      <c r="R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 s="3">
        <v>42562</v>
      </c>
      <c r="AC215" t="s">
        <v>53</v>
      </c>
      <c r="AD215" t="s">
        <v>53</v>
      </c>
      <c r="AK215">
        <v>0</v>
      </c>
      <c r="AU215" s="3">
        <v>42452</v>
      </c>
      <c r="AV215" s="3">
        <v>42452</v>
      </c>
      <c r="AW215" t="s">
        <v>54</v>
      </c>
      <c r="AX215" t="str">
        <f t="shared" si="24"/>
        <v>FOR</v>
      </c>
      <c r="AY215" t="s">
        <v>55</v>
      </c>
    </row>
    <row r="216" spans="1:51" hidden="1">
      <c r="A216">
        <v>100164</v>
      </c>
      <c r="B216" t="s">
        <v>86</v>
      </c>
      <c r="C216" t="str">
        <f t="shared" si="27"/>
        <v>00803890151</v>
      </c>
      <c r="D216" t="str">
        <f t="shared" si="27"/>
        <v>00803890151</v>
      </c>
      <c r="E216" t="s">
        <v>52</v>
      </c>
      <c r="F216">
        <v>2015</v>
      </c>
      <c r="G216" t="str">
        <f>"           152022491"</f>
        <v xml:space="preserve">           152022491</v>
      </c>
      <c r="H216" s="3">
        <v>42268</v>
      </c>
      <c r="I216" s="3">
        <v>42269</v>
      </c>
      <c r="J216" s="3">
        <v>42268</v>
      </c>
      <c r="K216" s="3">
        <v>42328</v>
      </c>
      <c r="L216"/>
      <c r="N216"/>
      <c r="O216" s="4">
        <v>1974.36</v>
      </c>
      <c r="P216">
        <v>88</v>
      </c>
      <c r="Q216" s="4">
        <v>173743.68</v>
      </c>
      <c r="R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 s="3">
        <v>42562</v>
      </c>
      <c r="AC216" t="s">
        <v>53</v>
      </c>
      <c r="AD216" t="s">
        <v>53</v>
      </c>
      <c r="AK216">
        <v>0</v>
      </c>
      <c r="AU216" s="3">
        <v>42416</v>
      </c>
      <c r="AV216" s="3">
        <v>42416</v>
      </c>
      <c r="AW216" t="s">
        <v>54</v>
      </c>
      <c r="AX216" t="str">
        <f t="shared" si="24"/>
        <v>FOR</v>
      </c>
      <c r="AY216" t="s">
        <v>55</v>
      </c>
    </row>
    <row r="217" spans="1:51" hidden="1">
      <c r="A217">
        <v>100164</v>
      </c>
      <c r="B217" t="s">
        <v>86</v>
      </c>
      <c r="C217" t="str">
        <f t="shared" si="27"/>
        <v>00803890151</v>
      </c>
      <c r="D217" t="str">
        <f t="shared" si="27"/>
        <v>00803890151</v>
      </c>
      <c r="E217" t="s">
        <v>52</v>
      </c>
      <c r="F217">
        <v>2015</v>
      </c>
      <c r="G217" t="str">
        <f>"           152022660"</f>
        <v xml:space="preserve">           152022660</v>
      </c>
      <c r="H217" s="3">
        <v>42269</v>
      </c>
      <c r="I217" s="3">
        <v>42269</v>
      </c>
      <c r="J217" s="3">
        <v>42269</v>
      </c>
      <c r="K217" s="3">
        <v>42329</v>
      </c>
      <c r="L217"/>
      <c r="N217"/>
      <c r="O217" s="4">
        <v>5225</v>
      </c>
      <c r="P217">
        <v>87</v>
      </c>
      <c r="Q217" s="4">
        <v>454575</v>
      </c>
      <c r="R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 s="3">
        <v>42562</v>
      </c>
      <c r="AC217" t="s">
        <v>53</v>
      </c>
      <c r="AD217" t="s">
        <v>53</v>
      </c>
      <c r="AK217">
        <v>0</v>
      </c>
      <c r="AU217" s="3">
        <v>42416</v>
      </c>
      <c r="AV217" s="3">
        <v>42416</v>
      </c>
      <c r="AW217" t="s">
        <v>54</v>
      </c>
      <c r="AX217" t="str">
        <f t="shared" si="24"/>
        <v>FOR</v>
      </c>
      <c r="AY217" t="s">
        <v>55</v>
      </c>
    </row>
    <row r="218" spans="1:51" hidden="1">
      <c r="A218">
        <v>100164</v>
      </c>
      <c r="B218" t="s">
        <v>86</v>
      </c>
      <c r="C218" t="str">
        <f t="shared" si="27"/>
        <v>00803890151</v>
      </c>
      <c r="D218" t="str">
        <f t="shared" si="27"/>
        <v>00803890151</v>
      </c>
      <c r="E218" t="s">
        <v>52</v>
      </c>
      <c r="F218">
        <v>2015</v>
      </c>
      <c r="G218" t="str">
        <f>"           152022661"</f>
        <v xml:space="preserve">           152022661</v>
      </c>
      <c r="H218" s="3">
        <v>42269</v>
      </c>
      <c r="I218" s="3">
        <v>42269</v>
      </c>
      <c r="J218" s="3">
        <v>42269</v>
      </c>
      <c r="K218" s="3">
        <v>42329</v>
      </c>
      <c r="L218"/>
      <c r="N218"/>
      <c r="O218">
        <v>550</v>
      </c>
      <c r="P218">
        <v>123</v>
      </c>
      <c r="Q218" s="4">
        <v>67650</v>
      </c>
      <c r="R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 s="3">
        <v>42562</v>
      </c>
      <c r="AC218" t="s">
        <v>53</v>
      </c>
      <c r="AD218" t="s">
        <v>53</v>
      </c>
      <c r="AK218">
        <v>0</v>
      </c>
      <c r="AU218" s="3">
        <v>42452</v>
      </c>
      <c r="AV218" s="3">
        <v>42452</v>
      </c>
      <c r="AW218" t="s">
        <v>54</v>
      </c>
      <c r="AX218" t="str">
        <f t="shared" si="24"/>
        <v>FOR</v>
      </c>
      <c r="AY218" t="s">
        <v>55</v>
      </c>
    </row>
    <row r="219" spans="1:51" hidden="1">
      <c r="A219">
        <v>100164</v>
      </c>
      <c r="B219" t="s">
        <v>86</v>
      </c>
      <c r="C219" t="str">
        <f t="shared" si="27"/>
        <v>00803890151</v>
      </c>
      <c r="D219" t="str">
        <f t="shared" si="27"/>
        <v>00803890151</v>
      </c>
      <c r="E219" t="s">
        <v>52</v>
      </c>
      <c r="F219">
        <v>2015</v>
      </c>
      <c r="G219" t="str">
        <f>"           152023055"</f>
        <v xml:space="preserve">           152023055</v>
      </c>
      <c r="H219" s="3">
        <v>42271</v>
      </c>
      <c r="I219" s="3">
        <v>42272</v>
      </c>
      <c r="J219" s="3">
        <v>42271</v>
      </c>
      <c r="K219" s="3">
        <v>42331</v>
      </c>
      <c r="L219"/>
      <c r="N219"/>
      <c r="O219">
        <v>275</v>
      </c>
      <c r="P219">
        <v>121</v>
      </c>
      <c r="Q219" s="4">
        <v>33275</v>
      </c>
      <c r="R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s="3">
        <v>42562</v>
      </c>
      <c r="AC219" t="s">
        <v>53</v>
      </c>
      <c r="AD219" t="s">
        <v>53</v>
      </c>
      <c r="AK219">
        <v>0</v>
      </c>
      <c r="AU219" s="3">
        <v>42452</v>
      </c>
      <c r="AV219" s="3">
        <v>42452</v>
      </c>
      <c r="AW219" t="s">
        <v>54</v>
      </c>
      <c r="AX219" t="str">
        <f t="shared" si="24"/>
        <v>FOR</v>
      </c>
      <c r="AY219" t="s">
        <v>55</v>
      </c>
    </row>
    <row r="220" spans="1:51" hidden="1">
      <c r="A220">
        <v>100164</v>
      </c>
      <c r="B220" t="s">
        <v>86</v>
      </c>
      <c r="C220" t="str">
        <f t="shared" si="27"/>
        <v>00803890151</v>
      </c>
      <c r="D220" t="str">
        <f t="shared" si="27"/>
        <v>00803890151</v>
      </c>
      <c r="E220" t="s">
        <v>52</v>
      </c>
      <c r="F220">
        <v>2015</v>
      </c>
      <c r="G220" t="str">
        <f>"           152023927"</f>
        <v xml:space="preserve">           152023927</v>
      </c>
      <c r="H220" s="3">
        <v>42276</v>
      </c>
      <c r="I220" s="3">
        <v>42277</v>
      </c>
      <c r="J220" s="3">
        <v>42276</v>
      </c>
      <c r="K220" s="3">
        <v>42336</v>
      </c>
      <c r="L220"/>
      <c r="N220"/>
      <c r="O220">
        <v>264</v>
      </c>
      <c r="P220">
        <v>116</v>
      </c>
      <c r="Q220" s="4">
        <v>30624</v>
      </c>
      <c r="R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s="3">
        <v>42562</v>
      </c>
      <c r="AC220" t="s">
        <v>53</v>
      </c>
      <c r="AD220" t="s">
        <v>53</v>
      </c>
      <c r="AK220">
        <v>0</v>
      </c>
      <c r="AU220" s="3">
        <v>42452</v>
      </c>
      <c r="AV220" s="3">
        <v>42452</v>
      </c>
      <c r="AW220" t="s">
        <v>54</v>
      </c>
      <c r="AX220" t="str">
        <f t="shared" si="24"/>
        <v>FOR</v>
      </c>
      <c r="AY220" t="s">
        <v>55</v>
      </c>
    </row>
    <row r="221" spans="1:51" hidden="1">
      <c r="A221">
        <v>100202</v>
      </c>
      <c r="B221" t="s">
        <v>87</v>
      </c>
      <c r="C221" t="str">
        <f t="shared" ref="C221:D226" si="28">"07022780634"</f>
        <v>07022780634</v>
      </c>
      <c r="D221" t="str">
        <f t="shared" si="28"/>
        <v>07022780634</v>
      </c>
      <c r="E221" t="s">
        <v>52</v>
      </c>
      <c r="F221">
        <v>2015</v>
      </c>
      <c r="G221" t="str">
        <f>"                  16"</f>
        <v xml:space="preserve">                  16</v>
      </c>
      <c r="H221" s="3">
        <v>42053</v>
      </c>
      <c r="I221" s="3">
        <v>42072</v>
      </c>
      <c r="J221" s="3">
        <v>42072</v>
      </c>
      <c r="K221" s="3">
        <v>42132</v>
      </c>
      <c r="L221"/>
      <c r="N221"/>
      <c r="O221" s="4">
        <v>7200</v>
      </c>
      <c r="P221">
        <v>276</v>
      </c>
      <c r="Q221" s="4">
        <v>1987200</v>
      </c>
      <c r="R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 s="3">
        <v>42562</v>
      </c>
      <c r="AC221" t="s">
        <v>53</v>
      </c>
      <c r="AD221" t="s">
        <v>53</v>
      </c>
      <c r="AK221">
        <v>0</v>
      </c>
      <c r="AU221" s="3">
        <v>42408</v>
      </c>
      <c r="AV221" s="3">
        <v>42408</v>
      </c>
      <c r="AW221" t="s">
        <v>54</v>
      </c>
      <c r="AX221" t="str">
        <f t="shared" si="24"/>
        <v>FOR</v>
      </c>
      <c r="AY221" t="s">
        <v>55</v>
      </c>
    </row>
    <row r="222" spans="1:51" hidden="1">
      <c r="A222">
        <v>100202</v>
      </c>
      <c r="B222" t="s">
        <v>87</v>
      </c>
      <c r="C222" t="str">
        <f t="shared" si="28"/>
        <v>07022780634</v>
      </c>
      <c r="D222" t="str">
        <f t="shared" si="28"/>
        <v>07022780634</v>
      </c>
      <c r="E222" t="s">
        <v>52</v>
      </c>
      <c r="F222">
        <v>2015</v>
      </c>
      <c r="G222" t="str">
        <f>"                  22"</f>
        <v xml:space="preserve">                  22</v>
      </c>
      <c r="H222" s="3">
        <v>42065</v>
      </c>
      <c r="I222" s="3">
        <v>42072</v>
      </c>
      <c r="J222" s="3">
        <v>42072</v>
      </c>
      <c r="K222" s="3">
        <v>42132</v>
      </c>
      <c r="L222"/>
      <c r="N222"/>
      <c r="O222">
        <v>640</v>
      </c>
      <c r="P222">
        <v>283</v>
      </c>
      <c r="Q222" s="4">
        <v>181120</v>
      </c>
      <c r="R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 s="3">
        <v>42562</v>
      </c>
      <c r="AC222" t="s">
        <v>53</v>
      </c>
      <c r="AD222" t="s">
        <v>53</v>
      </c>
      <c r="AK222">
        <v>0</v>
      </c>
      <c r="AU222" s="3">
        <v>42415</v>
      </c>
      <c r="AV222" s="3">
        <v>42415</v>
      </c>
      <c r="AW222" t="s">
        <v>54</v>
      </c>
      <c r="AX222" t="str">
        <f t="shared" si="24"/>
        <v>FOR</v>
      </c>
      <c r="AY222" t="s">
        <v>55</v>
      </c>
    </row>
    <row r="223" spans="1:51" hidden="1">
      <c r="A223">
        <v>100202</v>
      </c>
      <c r="B223" t="s">
        <v>87</v>
      </c>
      <c r="C223" t="str">
        <f t="shared" si="28"/>
        <v>07022780634</v>
      </c>
      <c r="D223" t="str">
        <f t="shared" si="28"/>
        <v>07022780634</v>
      </c>
      <c r="E223" t="s">
        <v>52</v>
      </c>
      <c r="F223">
        <v>2015</v>
      </c>
      <c r="G223" t="str">
        <f>"                 2/5"</f>
        <v xml:space="preserve">                 2/5</v>
      </c>
      <c r="H223" s="3">
        <v>42122</v>
      </c>
      <c r="I223" s="3">
        <v>42123</v>
      </c>
      <c r="J223" s="3">
        <v>42123</v>
      </c>
      <c r="K223" s="3">
        <v>42183</v>
      </c>
      <c r="L223"/>
      <c r="N223"/>
      <c r="O223">
        <v>160</v>
      </c>
      <c r="P223">
        <v>248</v>
      </c>
      <c r="Q223" s="4">
        <v>39680</v>
      </c>
      <c r="R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 s="3">
        <v>42562</v>
      </c>
      <c r="AC223" t="s">
        <v>53</v>
      </c>
      <c r="AD223" t="s">
        <v>53</v>
      </c>
      <c r="AK223">
        <v>0</v>
      </c>
      <c r="AU223" s="3">
        <v>42431</v>
      </c>
      <c r="AV223" s="3">
        <v>42431</v>
      </c>
      <c r="AW223" t="s">
        <v>54</v>
      </c>
      <c r="AX223" t="str">
        <f t="shared" si="24"/>
        <v>FOR</v>
      </c>
      <c r="AY223" t="s">
        <v>55</v>
      </c>
    </row>
    <row r="224" spans="1:51" hidden="1">
      <c r="A224">
        <v>100202</v>
      </c>
      <c r="B224" t="s">
        <v>87</v>
      </c>
      <c r="C224" t="str">
        <f t="shared" si="28"/>
        <v>07022780634</v>
      </c>
      <c r="D224" t="str">
        <f t="shared" si="28"/>
        <v>07022780634</v>
      </c>
      <c r="E224" t="s">
        <v>52</v>
      </c>
      <c r="F224">
        <v>2015</v>
      </c>
      <c r="G224" t="str">
        <f>"                 2/6"</f>
        <v xml:space="preserve">                 2/6</v>
      </c>
      <c r="H224" s="3">
        <v>42122</v>
      </c>
      <c r="I224" s="3">
        <v>42123</v>
      </c>
      <c r="J224" s="3">
        <v>42123</v>
      </c>
      <c r="K224" s="3">
        <v>42183</v>
      </c>
      <c r="L224"/>
      <c r="N224"/>
      <c r="O224">
        <v>320</v>
      </c>
      <c r="P224">
        <v>248</v>
      </c>
      <c r="Q224" s="4">
        <v>79360</v>
      </c>
      <c r="R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 s="3">
        <v>42562</v>
      </c>
      <c r="AC224" t="s">
        <v>53</v>
      </c>
      <c r="AD224" t="s">
        <v>53</v>
      </c>
      <c r="AK224">
        <v>0</v>
      </c>
      <c r="AU224" s="3">
        <v>42431</v>
      </c>
      <c r="AV224" s="3">
        <v>42431</v>
      </c>
      <c r="AW224" t="s">
        <v>54</v>
      </c>
      <c r="AX224" t="str">
        <f t="shared" si="24"/>
        <v>FOR</v>
      </c>
      <c r="AY224" t="s">
        <v>55</v>
      </c>
    </row>
    <row r="225" spans="1:51" hidden="1">
      <c r="A225">
        <v>100202</v>
      </c>
      <c r="B225" t="s">
        <v>87</v>
      </c>
      <c r="C225" t="str">
        <f t="shared" si="28"/>
        <v>07022780634</v>
      </c>
      <c r="D225" t="str">
        <f t="shared" si="28"/>
        <v>07022780634</v>
      </c>
      <c r="E225" t="s">
        <v>52</v>
      </c>
      <c r="F225">
        <v>2015</v>
      </c>
      <c r="G225" t="str">
        <f>"                2/13"</f>
        <v xml:space="preserve">                2/13</v>
      </c>
      <c r="H225" s="3">
        <v>42149</v>
      </c>
      <c r="I225" s="3">
        <v>42160</v>
      </c>
      <c r="J225" s="3">
        <v>42149</v>
      </c>
      <c r="K225" s="3">
        <v>42209</v>
      </c>
      <c r="L225"/>
      <c r="N225"/>
      <c r="O225">
        <v>800</v>
      </c>
      <c r="P225">
        <v>222</v>
      </c>
      <c r="Q225" s="4">
        <v>177600</v>
      </c>
      <c r="R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 s="3">
        <v>42562</v>
      </c>
      <c r="AC225" t="s">
        <v>53</v>
      </c>
      <c r="AD225" t="s">
        <v>53</v>
      </c>
      <c r="AK225">
        <v>0</v>
      </c>
      <c r="AU225" s="3">
        <v>42431</v>
      </c>
      <c r="AV225" s="3">
        <v>42431</v>
      </c>
      <c r="AW225" t="s">
        <v>54</v>
      </c>
      <c r="AX225" t="str">
        <f t="shared" si="24"/>
        <v>FOR</v>
      </c>
      <c r="AY225" t="s">
        <v>55</v>
      </c>
    </row>
    <row r="226" spans="1:51">
      <c r="A226">
        <v>100202</v>
      </c>
      <c r="B226" t="s">
        <v>87</v>
      </c>
      <c r="C226" t="str">
        <f t="shared" si="28"/>
        <v>07022780634</v>
      </c>
      <c r="D226" t="str">
        <f t="shared" si="28"/>
        <v>07022780634</v>
      </c>
      <c r="E226" t="s">
        <v>52</v>
      </c>
      <c r="F226">
        <v>2015</v>
      </c>
      <c r="G226" t="str">
        <f>"                2/27"</f>
        <v xml:space="preserve">                2/27</v>
      </c>
      <c r="H226" s="3">
        <v>42180</v>
      </c>
      <c r="I226" s="3">
        <v>42185</v>
      </c>
      <c r="J226" s="3">
        <v>42181</v>
      </c>
      <c r="K226" s="3">
        <v>42241</v>
      </c>
      <c r="L226" s="1">
        <v>320</v>
      </c>
      <c r="M226">
        <v>286</v>
      </c>
      <c r="N226" s="5">
        <v>91520</v>
      </c>
      <c r="O226">
        <v>320</v>
      </c>
      <c r="P226">
        <v>286</v>
      </c>
      <c r="Q226" s="4">
        <v>91520</v>
      </c>
      <c r="R226">
        <v>70.400000000000006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 s="3">
        <v>42562</v>
      </c>
      <c r="AC226" t="s">
        <v>53</v>
      </c>
      <c r="AD226" t="s">
        <v>53</v>
      </c>
      <c r="AK226">
        <v>70.400000000000006</v>
      </c>
      <c r="AU226" s="3">
        <v>42527</v>
      </c>
      <c r="AV226" s="3">
        <v>42527</v>
      </c>
      <c r="AW226" t="s">
        <v>54</v>
      </c>
      <c r="AX226" t="str">
        <f t="shared" si="24"/>
        <v>FOR</v>
      </c>
      <c r="AY226" t="s">
        <v>55</v>
      </c>
    </row>
    <row r="227" spans="1:51" hidden="1">
      <c r="A227">
        <v>100210</v>
      </c>
      <c r="B227" t="s">
        <v>88</v>
      </c>
      <c r="C227" t="str">
        <f t="shared" ref="C227:D246" si="29">"08082461008"</f>
        <v>08082461008</v>
      </c>
      <c r="D227" t="str">
        <f t="shared" si="29"/>
        <v>08082461008</v>
      </c>
      <c r="E227" t="s">
        <v>52</v>
      </c>
      <c r="F227">
        <v>2015</v>
      </c>
      <c r="G227" t="str">
        <f>"            15015274"</f>
        <v xml:space="preserve">            15015274</v>
      </c>
      <c r="H227" s="3">
        <v>42038</v>
      </c>
      <c r="I227" s="3">
        <v>42048</v>
      </c>
      <c r="J227" s="3">
        <v>42048</v>
      </c>
      <c r="K227" s="3">
        <v>42108</v>
      </c>
      <c r="L227"/>
      <c r="N227"/>
      <c r="O227">
        <v>620</v>
      </c>
      <c r="P227">
        <v>295</v>
      </c>
      <c r="Q227" s="4">
        <v>182900</v>
      </c>
      <c r="R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 s="3">
        <v>42562</v>
      </c>
      <c r="AC227" t="s">
        <v>53</v>
      </c>
      <c r="AD227" t="s">
        <v>53</v>
      </c>
      <c r="AK227">
        <v>0</v>
      </c>
      <c r="AU227" s="3">
        <v>42403</v>
      </c>
      <c r="AV227" s="3">
        <v>42403</v>
      </c>
      <c r="AW227" t="s">
        <v>54</v>
      </c>
      <c r="AX227" t="str">
        <f t="shared" si="24"/>
        <v>FOR</v>
      </c>
      <c r="AY227" t="s">
        <v>55</v>
      </c>
    </row>
    <row r="228" spans="1:51" hidden="1">
      <c r="A228">
        <v>100210</v>
      </c>
      <c r="B228" t="s">
        <v>88</v>
      </c>
      <c r="C228" t="str">
        <f t="shared" si="29"/>
        <v>08082461008</v>
      </c>
      <c r="D228" t="str">
        <f t="shared" si="29"/>
        <v>08082461008</v>
      </c>
      <c r="E228" t="s">
        <v>52</v>
      </c>
      <c r="F228">
        <v>2015</v>
      </c>
      <c r="G228" t="str">
        <f>"            15015276"</f>
        <v xml:space="preserve">            15015276</v>
      </c>
      <c r="H228" s="3">
        <v>42038</v>
      </c>
      <c r="I228" s="3">
        <v>42048</v>
      </c>
      <c r="J228" s="3">
        <v>42048</v>
      </c>
      <c r="K228" s="3">
        <v>42108</v>
      </c>
      <c r="L228"/>
      <c r="N228"/>
      <c r="O228">
        <v>620</v>
      </c>
      <c r="P228">
        <v>295</v>
      </c>
      <c r="Q228" s="4">
        <v>182900</v>
      </c>
      <c r="R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 s="3">
        <v>42562</v>
      </c>
      <c r="AC228" t="s">
        <v>53</v>
      </c>
      <c r="AD228" t="s">
        <v>53</v>
      </c>
      <c r="AK228">
        <v>0</v>
      </c>
      <c r="AU228" s="3">
        <v>42403</v>
      </c>
      <c r="AV228" s="3">
        <v>42403</v>
      </c>
      <c r="AW228" t="s">
        <v>54</v>
      </c>
      <c r="AX228" t="str">
        <f t="shared" si="24"/>
        <v>FOR</v>
      </c>
      <c r="AY228" t="s">
        <v>55</v>
      </c>
    </row>
    <row r="229" spans="1:51" hidden="1">
      <c r="A229">
        <v>100210</v>
      </c>
      <c r="B229" t="s">
        <v>88</v>
      </c>
      <c r="C229" t="str">
        <f t="shared" si="29"/>
        <v>08082461008</v>
      </c>
      <c r="D229" t="str">
        <f t="shared" si="29"/>
        <v>08082461008</v>
      </c>
      <c r="E229" t="s">
        <v>52</v>
      </c>
      <c r="F229">
        <v>2015</v>
      </c>
      <c r="G229" t="str">
        <f>"            15015386"</f>
        <v xml:space="preserve">            15015386</v>
      </c>
      <c r="H229" s="3">
        <v>42038</v>
      </c>
      <c r="I229" s="3">
        <v>42048</v>
      </c>
      <c r="J229" s="3">
        <v>42048</v>
      </c>
      <c r="K229" s="3">
        <v>42108</v>
      </c>
      <c r="L229"/>
      <c r="N229"/>
      <c r="O229">
        <v>114.48</v>
      </c>
      <c r="P229">
        <v>295</v>
      </c>
      <c r="Q229" s="4">
        <v>33771.599999999999</v>
      </c>
      <c r="R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 s="3">
        <v>42562</v>
      </c>
      <c r="AC229" t="s">
        <v>53</v>
      </c>
      <c r="AD229" t="s">
        <v>53</v>
      </c>
      <c r="AK229">
        <v>0</v>
      </c>
      <c r="AU229" s="3">
        <v>42403</v>
      </c>
      <c r="AV229" s="3">
        <v>42403</v>
      </c>
      <c r="AW229" t="s">
        <v>54</v>
      </c>
      <c r="AX229" t="str">
        <f t="shared" si="24"/>
        <v>FOR</v>
      </c>
      <c r="AY229" t="s">
        <v>55</v>
      </c>
    </row>
    <row r="230" spans="1:51">
      <c r="A230">
        <v>100210</v>
      </c>
      <c r="B230" t="s">
        <v>88</v>
      </c>
      <c r="C230" t="str">
        <f t="shared" si="29"/>
        <v>08082461008</v>
      </c>
      <c r="D230" t="str">
        <f t="shared" si="29"/>
        <v>08082461008</v>
      </c>
      <c r="E230" t="s">
        <v>52</v>
      </c>
      <c r="F230">
        <v>2015</v>
      </c>
      <c r="G230" t="str">
        <f>"            15015402"</f>
        <v xml:space="preserve">            15015402</v>
      </c>
      <c r="H230" s="3">
        <v>42038</v>
      </c>
      <c r="I230" s="3">
        <v>42048</v>
      </c>
      <c r="J230" s="3">
        <v>42048</v>
      </c>
      <c r="K230" s="3">
        <v>42108</v>
      </c>
      <c r="L230" s="1">
        <v>161.28</v>
      </c>
      <c r="M230">
        <v>412</v>
      </c>
      <c r="N230" s="5">
        <v>66447.360000000001</v>
      </c>
      <c r="O230">
        <v>161.28</v>
      </c>
      <c r="P230">
        <v>412</v>
      </c>
      <c r="Q230" s="4">
        <v>66447.360000000001</v>
      </c>
      <c r="R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 s="3">
        <v>42562</v>
      </c>
      <c r="AC230" t="s">
        <v>53</v>
      </c>
      <c r="AD230" t="s">
        <v>53</v>
      </c>
      <c r="AK230">
        <v>0</v>
      </c>
      <c r="AU230" s="3">
        <v>42520</v>
      </c>
      <c r="AV230" s="3">
        <v>42520</v>
      </c>
      <c r="AW230" t="s">
        <v>54</v>
      </c>
      <c r="AX230" t="str">
        <f t="shared" si="24"/>
        <v>FOR</v>
      </c>
      <c r="AY230" t="s">
        <v>55</v>
      </c>
    </row>
    <row r="231" spans="1:51" hidden="1">
      <c r="A231">
        <v>100210</v>
      </c>
      <c r="B231" t="s">
        <v>88</v>
      </c>
      <c r="C231" t="str">
        <f t="shared" si="29"/>
        <v>08082461008</v>
      </c>
      <c r="D231" t="str">
        <f t="shared" si="29"/>
        <v>08082461008</v>
      </c>
      <c r="E231" t="s">
        <v>52</v>
      </c>
      <c r="F231">
        <v>2015</v>
      </c>
      <c r="G231" t="str">
        <f>"            15015517"</f>
        <v xml:space="preserve">            15015517</v>
      </c>
      <c r="H231" s="3">
        <v>42038</v>
      </c>
      <c r="I231" s="3">
        <v>42048</v>
      </c>
      <c r="J231" s="3">
        <v>42048</v>
      </c>
      <c r="K231" s="3">
        <v>42108</v>
      </c>
      <c r="L231"/>
      <c r="N231"/>
      <c r="O231">
        <v>161.28</v>
      </c>
      <c r="P231">
        <v>295</v>
      </c>
      <c r="Q231" s="4">
        <v>47577.599999999999</v>
      </c>
      <c r="R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 s="3">
        <v>42562</v>
      </c>
      <c r="AC231" t="s">
        <v>53</v>
      </c>
      <c r="AD231" t="s">
        <v>53</v>
      </c>
      <c r="AK231">
        <v>0</v>
      </c>
      <c r="AU231" s="3">
        <v>42403</v>
      </c>
      <c r="AV231" s="3">
        <v>42403</v>
      </c>
      <c r="AW231" t="s">
        <v>54</v>
      </c>
      <c r="AX231" t="str">
        <f t="shared" si="24"/>
        <v>FOR</v>
      </c>
      <c r="AY231" t="s">
        <v>55</v>
      </c>
    </row>
    <row r="232" spans="1:51" hidden="1">
      <c r="A232">
        <v>100210</v>
      </c>
      <c r="B232" t="s">
        <v>88</v>
      </c>
      <c r="C232" t="str">
        <f t="shared" si="29"/>
        <v>08082461008</v>
      </c>
      <c r="D232" t="str">
        <f t="shared" si="29"/>
        <v>08082461008</v>
      </c>
      <c r="E232" t="s">
        <v>52</v>
      </c>
      <c r="F232">
        <v>2015</v>
      </c>
      <c r="G232" t="str">
        <f>"            15017283"</f>
        <v xml:space="preserve">            15017283</v>
      </c>
      <c r="H232" s="3">
        <v>42039</v>
      </c>
      <c r="I232" s="3">
        <v>42052</v>
      </c>
      <c r="J232" s="3">
        <v>42052</v>
      </c>
      <c r="K232" s="3">
        <v>42112</v>
      </c>
      <c r="L232"/>
      <c r="N232"/>
      <c r="O232" s="4">
        <v>4409.04</v>
      </c>
      <c r="P232">
        <v>291</v>
      </c>
      <c r="Q232" s="4">
        <v>1283030.6399999999</v>
      </c>
      <c r="R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 s="3">
        <v>42562</v>
      </c>
      <c r="AC232" t="s">
        <v>53</v>
      </c>
      <c r="AD232" t="s">
        <v>53</v>
      </c>
      <c r="AK232">
        <v>0</v>
      </c>
      <c r="AU232" s="3">
        <v>42403</v>
      </c>
      <c r="AV232" s="3">
        <v>42403</v>
      </c>
      <c r="AW232" t="s">
        <v>54</v>
      </c>
      <c r="AX232" t="str">
        <f t="shared" si="24"/>
        <v>FOR</v>
      </c>
      <c r="AY232" t="s">
        <v>55</v>
      </c>
    </row>
    <row r="233" spans="1:51" hidden="1">
      <c r="A233">
        <v>100210</v>
      </c>
      <c r="B233" t="s">
        <v>88</v>
      </c>
      <c r="C233" t="str">
        <f t="shared" si="29"/>
        <v>08082461008</v>
      </c>
      <c r="D233" t="str">
        <f t="shared" si="29"/>
        <v>08082461008</v>
      </c>
      <c r="E233" t="s">
        <v>52</v>
      </c>
      <c r="F233">
        <v>2015</v>
      </c>
      <c r="G233" t="str">
        <f>"            15017598"</f>
        <v xml:space="preserve">            15017598</v>
      </c>
      <c r="H233" s="3">
        <v>42040</v>
      </c>
      <c r="I233" s="3">
        <v>42053</v>
      </c>
      <c r="J233" s="3">
        <v>42053</v>
      </c>
      <c r="K233" s="3">
        <v>42113</v>
      </c>
      <c r="L233"/>
      <c r="N233"/>
      <c r="O233">
        <v>110</v>
      </c>
      <c r="P233">
        <v>290</v>
      </c>
      <c r="Q233" s="4">
        <v>31900</v>
      </c>
      <c r="R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 s="3">
        <v>42562</v>
      </c>
      <c r="AC233" t="s">
        <v>53</v>
      </c>
      <c r="AD233" t="s">
        <v>53</v>
      </c>
      <c r="AK233">
        <v>0</v>
      </c>
      <c r="AU233" s="3">
        <v>42403</v>
      </c>
      <c r="AV233" s="3">
        <v>42403</v>
      </c>
      <c r="AW233" t="s">
        <v>54</v>
      </c>
      <c r="AX233" t="str">
        <f t="shared" si="24"/>
        <v>FOR</v>
      </c>
      <c r="AY233" t="s">
        <v>55</v>
      </c>
    </row>
    <row r="234" spans="1:51" hidden="1">
      <c r="A234">
        <v>100210</v>
      </c>
      <c r="B234" t="s">
        <v>88</v>
      </c>
      <c r="C234" t="str">
        <f t="shared" si="29"/>
        <v>08082461008</v>
      </c>
      <c r="D234" t="str">
        <f t="shared" si="29"/>
        <v>08082461008</v>
      </c>
      <c r="E234" t="s">
        <v>52</v>
      </c>
      <c r="F234">
        <v>2015</v>
      </c>
      <c r="G234" t="str">
        <f>"            15017599"</f>
        <v xml:space="preserve">            15017599</v>
      </c>
      <c r="H234" s="3">
        <v>42040</v>
      </c>
      <c r="I234" s="3">
        <v>42053</v>
      </c>
      <c r="J234" s="3">
        <v>42053</v>
      </c>
      <c r="K234" s="3">
        <v>42113</v>
      </c>
      <c r="L234"/>
      <c r="N234"/>
      <c r="O234">
        <v>110</v>
      </c>
      <c r="P234">
        <v>290</v>
      </c>
      <c r="Q234" s="4">
        <v>31900</v>
      </c>
      <c r="R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 s="3">
        <v>42562</v>
      </c>
      <c r="AC234" t="s">
        <v>53</v>
      </c>
      <c r="AD234" t="s">
        <v>53</v>
      </c>
      <c r="AK234">
        <v>0</v>
      </c>
      <c r="AU234" s="3">
        <v>42403</v>
      </c>
      <c r="AV234" s="3">
        <v>42403</v>
      </c>
      <c r="AW234" t="s">
        <v>54</v>
      </c>
      <c r="AX234" t="str">
        <f t="shared" si="24"/>
        <v>FOR</v>
      </c>
      <c r="AY234" t="s">
        <v>55</v>
      </c>
    </row>
    <row r="235" spans="1:51" hidden="1">
      <c r="A235">
        <v>100210</v>
      </c>
      <c r="B235" t="s">
        <v>88</v>
      </c>
      <c r="C235" t="str">
        <f t="shared" si="29"/>
        <v>08082461008</v>
      </c>
      <c r="D235" t="str">
        <f t="shared" si="29"/>
        <v>08082461008</v>
      </c>
      <c r="E235" t="s">
        <v>52</v>
      </c>
      <c r="F235">
        <v>2015</v>
      </c>
      <c r="G235" t="str">
        <f>"            15017600"</f>
        <v xml:space="preserve">            15017600</v>
      </c>
      <c r="H235" s="3">
        <v>42040</v>
      </c>
      <c r="I235" s="3">
        <v>42053</v>
      </c>
      <c r="J235" s="3">
        <v>42053</v>
      </c>
      <c r="K235" s="3">
        <v>42113</v>
      </c>
      <c r="L235"/>
      <c r="N235"/>
      <c r="O235">
        <v>44</v>
      </c>
      <c r="P235">
        <v>290</v>
      </c>
      <c r="Q235" s="4">
        <v>12760</v>
      </c>
      <c r="R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 s="3">
        <v>42562</v>
      </c>
      <c r="AC235" t="s">
        <v>53</v>
      </c>
      <c r="AD235" t="s">
        <v>53</v>
      </c>
      <c r="AK235">
        <v>0</v>
      </c>
      <c r="AU235" s="3">
        <v>42403</v>
      </c>
      <c r="AV235" s="3">
        <v>42403</v>
      </c>
      <c r="AW235" t="s">
        <v>54</v>
      </c>
      <c r="AX235" t="str">
        <f t="shared" si="24"/>
        <v>FOR</v>
      </c>
      <c r="AY235" t="s">
        <v>55</v>
      </c>
    </row>
    <row r="236" spans="1:51" hidden="1">
      <c r="A236">
        <v>100210</v>
      </c>
      <c r="B236" t="s">
        <v>88</v>
      </c>
      <c r="C236" t="str">
        <f t="shared" si="29"/>
        <v>08082461008</v>
      </c>
      <c r="D236" t="str">
        <f t="shared" si="29"/>
        <v>08082461008</v>
      </c>
      <c r="E236" t="s">
        <v>52</v>
      </c>
      <c r="F236">
        <v>2015</v>
      </c>
      <c r="G236" t="str">
        <f>"            15017604"</f>
        <v xml:space="preserve">            15017604</v>
      </c>
      <c r="H236" s="3">
        <v>42040</v>
      </c>
      <c r="I236" s="3">
        <v>42053</v>
      </c>
      <c r="J236" s="3">
        <v>42053</v>
      </c>
      <c r="K236" s="3">
        <v>42113</v>
      </c>
      <c r="L236"/>
      <c r="N236"/>
      <c r="O236">
        <v>44</v>
      </c>
      <c r="P236">
        <v>290</v>
      </c>
      <c r="Q236" s="4">
        <v>12760</v>
      </c>
      <c r="R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 s="3">
        <v>42562</v>
      </c>
      <c r="AC236" t="s">
        <v>53</v>
      </c>
      <c r="AD236" t="s">
        <v>53</v>
      </c>
      <c r="AK236">
        <v>0</v>
      </c>
      <c r="AU236" s="3">
        <v>42403</v>
      </c>
      <c r="AV236" s="3">
        <v>42403</v>
      </c>
      <c r="AW236" t="s">
        <v>54</v>
      </c>
      <c r="AX236" t="str">
        <f t="shared" si="24"/>
        <v>FOR</v>
      </c>
      <c r="AY236" t="s">
        <v>55</v>
      </c>
    </row>
    <row r="237" spans="1:51" hidden="1">
      <c r="A237">
        <v>100210</v>
      </c>
      <c r="B237" t="s">
        <v>88</v>
      </c>
      <c r="C237" t="str">
        <f t="shared" si="29"/>
        <v>08082461008</v>
      </c>
      <c r="D237" t="str">
        <f t="shared" si="29"/>
        <v>08082461008</v>
      </c>
      <c r="E237" t="s">
        <v>52</v>
      </c>
      <c r="F237">
        <v>2015</v>
      </c>
      <c r="G237" t="str">
        <f>"            15017605"</f>
        <v xml:space="preserve">            15017605</v>
      </c>
      <c r="H237" s="3">
        <v>42040</v>
      </c>
      <c r="I237" s="3">
        <v>42053</v>
      </c>
      <c r="J237" s="3">
        <v>42053</v>
      </c>
      <c r="K237" s="3">
        <v>42113</v>
      </c>
      <c r="L237"/>
      <c r="N237"/>
      <c r="O237">
        <v>44</v>
      </c>
      <c r="P237">
        <v>290</v>
      </c>
      <c r="Q237" s="4">
        <v>12760</v>
      </c>
      <c r="R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 s="3">
        <v>42562</v>
      </c>
      <c r="AC237" t="s">
        <v>53</v>
      </c>
      <c r="AD237" t="s">
        <v>53</v>
      </c>
      <c r="AK237">
        <v>0</v>
      </c>
      <c r="AU237" s="3">
        <v>42403</v>
      </c>
      <c r="AV237" s="3">
        <v>42403</v>
      </c>
      <c r="AW237" t="s">
        <v>54</v>
      </c>
      <c r="AX237" t="str">
        <f t="shared" si="24"/>
        <v>FOR</v>
      </c>
      <c r="AY237" t="s">
        <v>55</v>
      </c>
    </row>
    <row r="238" spans="1:51" hidden="1">
      <c r="A238">
        <v>100210</v>
      </c>
      <c r="B238" t="s">
        <v>88</v>
      </c>
      <c r="C238" t="str">
        <f t="shared" si="29"/>
        <v>08082461008</v>
      </c>
      <c r="D238" t="str">
        <f t="shared" si="29"/>
        <v>08082461008</v>
      </c>
      <c r="E238" t="s">
        <v>52</v>
      </c>
      <c r="F238">
        <v>2015</v>
      </c>
      <c r="G238" t="str">
        <f>"            15017606"</f>
        <v xml:space="preserve">            15017606</v>
      </c>
      <c r="H238" s="3">
        <v>42040</v>
      </c>
      <c r="I238" s="3">
        <v>42053</v>
      </c>
      <c r="J238" s="3">
        <v>42053</v>
      </c>
      <c r="K238" s="3">
        <v>42113</v>
      </c>
      <c r="L238"/>
      <c r="N238"/>
      <c r="O238">
        <v>44</v>
      </c>
      <c r="P238">
        <v>290</v>
      </c>
      <c r="Q238" s="4">
        <v>12760</v>
      </c>
      <c r="R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 s="3">
        <v>42562</v>
      </c>
      <c r="AC238" t="s">
        <v>53</v>
      </c>
      <c r="AD238" t="s">
        <v>53</v>
      </c>
      <c r="AK238">
        <v>0</v>
      </c>
      <c r="AU238" s="3">
        <v>42403</v>
      </c>
      <c r="AV238" s="3">
        <v>42403</v>
      </c>
      <c r="AW238" t="s">
        <v>54</v>
      </c>
      <c r="AX238" t="str">
        <f t="shared" si="24"/>
        <v>FOR</v>
      </c>
      <c r="AY238" t="s">
        <v>55</v>
      </c>
    </row>
    <row r="239" spans="1:51" hidden="1">
      <c r="A239">
        <v>100210</v>
      </c>
      <c r="B239" t="s">
        <v>88</v>
      </c>
      <c r="C239" t="str">
        <f t="shared" si="29"/>
        <v>08082461008</v>
      </c>
      <c r="D239" t="str">
        <f t="shared" si="29"/>
        <v>08082461008</v>
      </c>
      <c r="E239" t="s">
        <v>52</v>
      </c>
      <c r="F239">
        <v>2015</v>
      </c>
      <c r="G239" t="str">
        <f>"            15017607"</f>
        <v xml:space="preserve">            15017607</v>
      </c>
      <c r="H239" s="3">
        <v>42040</v>
      </c>
      <c r="I239" s="3">
        <v>42053</v>
      </c>
      <c r="J239" s="3">
        <v>42053</v>
      </c>
      <c r="K239" s="3">
        <v>42113</v>
      </c>
      <c r="L239"/>
      <c r="N239"/>
      <c r="O239">
        <v>434.5</v>
      </c>
      <c r="P239">
        <v>290</v>
      </c>
      <c r="Q239" s="4">
        <v>126005</v>
      </c>
      <c r="R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 s="3">
        <v>42562</v>
      </c>
      <c r="AC239" t="s">
        <v>53</v>
      </c>
      <c r="AD239" t="s">
        <v>53</v>
      </c>
      <c r="AK239">
        <v>0</v>
      </c>
      <c r="AU239" s="3">
        <v>42403</v>
      </c>
      <c r="AV239" s="3">
        <v>42403</v>
      </c>
      <c r="AW239" t="s">
        <v>54</v>
      </c>
      <c r="AX239" t="str">
        <f t="shared" si="24"/>
        <v>FOR</v>
      </c>
      <c r="AY239" t="s">
        <v>55</v>
      </c>
    </row>
    <row r="240" spans="1:51" hidden="1">
      <c r="A240">
        <v>100210</v>
      </c>
      <c r="B240" t="s">
        <v>88</v>
      </c>
      <c r="C240" t="str">
        <f t="shared" si="29"/>
        <v>08082461008</v>
      </c>
      <c r="D240" t="str">
        <f t="shared" si="29"/>
        <v>08082461008</v>
      </c>
      <c r="E240" t="s">
        <v>52</v>
      </c>
      <c r="F240">
        <v>2015</v>
      </c>
      <c r="G240" t="str">
        <f>"            15017608"</f>
        <v xml:space="preserve">            15017608</v>
      </c>
      <c r="H240" s="3">
        <v>42040</v>
      </c>
      <c r="I240" s="3">
        <v>42053</v>
      </c>
      <c r="J240" s="3">
        <v>42053</v>
      </c>
      <c r="K240" s="3">
        <v>42113</v>
      </c>
      <c r="L240"/>
      <c r="N240"/>
      <c r="O240">
        <v>434.5</v>
      </c>
      <c r="P240">
        <v>290</v>
      </c>
      <c r="Q240" s="4">
        <v>126005</v>
      </c>
      <c r="R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 s="3">
        <v>42562</v>
      </c>
      <c r="AC240" t="s">
        <v>53</v>
      </c>
      <c r="AD240" t="s">
        <v>53</v>
      </c>
      <c r="AK240">
        <v>0</v>
      </c>
      <c r="AU240" s="3">
        <v>42403</v>
      </c>
      <c r="AV240" s="3">
        <v>42403</v>
      </c>
      <c r="AW240" t="s">
        <v>54</v>
      </c>
      <c r="AX240" t="str">
        <f t="shared" si="24"/>
        <v>FOR</v>
      </c>
      <c r="AY240" t="s">
        <v>55</v>
      </c>
    </row>
    <row r="241" spans="1:51" hidden="1">
      <c r="A241">
        <v>100210</v>
      </c>
      <c r="B241" t="s">
        <v>88</v>
      </c>
      <c r="C241" t="str">
        <f t="shared" si="29"/>
        <v>08082461008</v>
      </c>
      <c r="D241" t="str">
        <f t="shared" si="29"/>
        <v>08082461008</v>
      </c>
      <c r="E241" t="s">
        <v>52</v>
      </c>
      <c r="F241">
        <v>2015</v>
      </c>
      <c r="G241" t="str">
        <f>"            15017609"</f>
        <v xml:space="preserve">            15017609</v>
      </c>
      <c r="H241" s="3">
        <v>42040</v>
      </c>
      <c r="I241" s="3">
        <v>42053</v>
      </c>
      <c r="J241" s="3">
        <v>42053</v>
      </c>
      <c r="K241" s="3">
        <v>42113</v>
      </c>
      <c r="L241"/>
      <c r="N241"/>
      <c r="O241">
        <v>434.5</v>
      </c>
      <c r="P241">
        <v>290</v>
      </c>
      <c r="Q241" s="4">
        <v>126005</v>
      </c>
      <c r="R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 s="3">
        <v>42562</v>
      </c>
      <c r="AC241" t="s">
        <v>53</v>
      </c>
      <c r="AD241" t="s">
        <v>53</v>
      </c>
      <c r="AK241">
        <v>0</v>
      </c>
      <c r="AU241" s="3">
        <v>42403</v>
      </c>
      <c r="AV241" s="3">
        <v>42403</v>
      </c>
      <c r="AW241" t="s">
        <v>54</v>
      </c>
      <c r="AX241" t="str">
        <f t="shared" si="24"/>
        <v>FOR</v>
      </c>
      <c r="AY241" t="s">
        <v>55</v>
      </c>
    </row>
    <row r="242" spans="1:51" hidden="1">
      <c r="A242">
        <v>100210</v>
      </c>
      <c r="B242" t="s">
        <v>88</v>
      </c>
      <c r="C242" t="str">
        <f t="shared" si="29"/>
        <v>08082461008</v>
      </c>
      <c r="D242" t="str">
        <f t="shared" si="29"/>
        <v>08082461008</v>
      </c>
      <c r="E242" t="s">
        <v>52</v>
      </c>
      <c r="F242">
        <v>2015</v>
      </c>
      <c r="G242" t="str">
        <f>"            15018686"</f>
        <v xml:space="preserve">            15018686</v>
      </c>
      <c r="H242" s="3">
        <v>42041</v>
      </c>
      <c r="I242" s="3">
        <v>42053</v>
      </c>
      <c r="J242" s="3">
        <v>42053</v>
      </c>
      <c r="K242" s="3">
        <v>42113</v>
      </c>
      <c r="L242"/>
      <c r="N242"/>
      <c r="O242" s="4">
        <v>7782.6</v>
      </c>
      <c r="P242">
        <v>290</v>
      </c>
      <c r="Q242" s="4">
        <v>2256954</v>
      </c>
      <c r="R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 s="3">
        <v>42562</v>
      </c>
      <c r="AC242" t="s">
        <v>53</v>
      </c>
      <c r="AD242" t="s">
        <v>53</v>
      </c>
      <c r="AK242">
        <v>0</v>
      </c>
      <c r="AU242" s="3">
        <v>42403</v>
      </c>
      <c r="AV242" s="3">
        <v>42403</v>
      </c>
      <c r="AW242" t="s">
        <v>54</v>
      </c>
      <c r="AX242" t="str">
        <f t="shared" si="24"/>
        <v>FOR</v>
      </c>
      <c r="AY242" t="s">
        <v>55</v>
      </c>
    </row>
    <row r="243" spans="1:51" hidden="1">
      <c r="A243">
        <v>100210</v>
      </c>
      <c r="B243" t="s">
        <v>88</v>
      </c>
      <c r="C243" t="str">
        <f t="shared" si="29"/>
        <v>08082461008</v>
      </c>
      <c r="D243" t="str">
        <f t="shared" si="29"/>
        <v>08082461008</v>
      </c>
      <c r="E243" t="s">
        <v>52</v>
      </c>
      <c r="F243">
        <v>2015</v>
      </c>
      <c r="G243" t="str">
        <f>"            15019629"</f>
        <v xml:space="preserve">            15019629</v>
      </c>
      <c r="H243" s="3">
        <v>42044</v>
      </c>
      <c r="I243" s="3">
        <v>42053</v>
      </c>
      <c r="J243" s="3">
        <v>42053</v>
      </c>
      <c r="K243" s="3">
        <v>42113</v>
      </c>
      <c r="L243"/>
      <c r="N243"/>
      <c r="O243">
        <v>161.28</v>
      </c>
      <c r="P243">
        <v>290</v>
      </c>
      <c r="Q243" s="4">
        <v>46771.199999999997</v>
      </c>
      <c r="R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 s="3">
        <v>42562</v>
      </c>
      <c r="AC243" t="s">
        <v>53</v>
      </c>
      <c r="AD243" t="s">
        <v>53</v>
      </c>
      <c r="AK243">
        <v>0</v>
      </c>
      <c r="AU243" s="3">
        <v>42403</v>
      </c>
      <c r="AV243" s="3">
        <v>42403</v>
      </c>
      <c r="AW243" t="s">
        <v>54</v>
      </c>
      <c r="AX243" t="str">
        <f t="shared" si="24"/>
        <v>FOR</v>
      </c>
      <c r="AY243" t="s">
        <v>55</v>
      </c>
    </row>
    <row r="244" spans="1:51" hidden="1">
      <c r="A244">
        <v>100210</v>
      </c>
      <c r="B244" t="s">
        <v>88</v>
      </c>
      <c r="C244" t="str">
        <f t="shared" si="29"/>
        <v>08082461008</v>
      </c>
      <c r="D244" t="str">
        <f t="shared" si="29"/>
        <v>08082461008</v>
      </c>
      <c r="E244" t="s">
        <v>52</v>
      </c>
      <c r="F244">
        <v>2015</v>
      </c>
      <c r="G244" t="str">
        <f>"            15020761"</f>
        <v xml:space="preserve">            15020761</v>
      </c>
      <c r="H244" s="3">
        <v>42045</v>
      </c>
      <c r="I244" s="3">
        <v>42054</v>
      </c>
      <c r="J244" s="3">
        <v>42054</v>
      </c>
      <c r="K244" s="3">
        <v>42114</v>
      </c>
      <c r="L244"/>
      <c r="N244"/>
      <c r="O244" s="4">
        <v>1296</v>
      </c>
      <c r="P244">
        <v>289</v>
      </c>
      <c r="Q244" s="4">
        <v>374544</v>
      </c>
      <c r="R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 s="3">
        <v>42562</v>
      </c>
      <c r="AC244" t="s">
        <v>53</v>
      </c>
      <c r="AD244" t="s">
        <v>53</v>
      </c>
      <c r="AK244">
        <v>0</v>
      </c>
      <c r="AU244" s="3">
        <v>42403</v>
      </c>
      <c r="AV244" s="3">
        <v>42403</v>
      </c>
      <c r="AW244" t="s">
        <v>54</v>
      </c>
      <c r="AX244" t="str">
        <f t="shared" si="24"/>
        <v>FOR</v>
      </c>
      <c r="AY244" t="s">
        <v>55</v>
      </c>
    </row>
    <row r="245" spans="1:51" hidden="1">
      <c r="A245">
        <v>100210</v>
      </c>
      <c r="B245" t="s">
        <v>88</v>
      </c>
      <c r="C245" t="str">
        <f t="shared" si="29"/>
        <v>08082461008</v>
      </c>
      <c r="D245" t="str">
        <f t="shared" si="29"/>
        <v>08082461008</v>
      </c>
      <c r="E245" t="s">
        <v>52</v>
      </c>
      <c r="F245">
        <v>2015</v>
      </c>
      <c r="G245" t="str">
        <f>"            15023752"</f>
        <v xml:space="preserve">            15023752</v>
      </c>
      <c r="H245" s="3">
        <v>42051</v>
      </c>
      <c r="I245" s="3">
        <v>42060</v>
      </c>
      <c r="J245" s="3">
        <v>42060</v>
      </c>
      <c r="K245" s="3">
        <v>42120</v>
      </c>
      <c r="L245"/>
      <c r="N245"/>
      <c r="O245" s="4">
        <v>9156</v>
      </c>
      <c r="P245">
        <v>283</v>
      </c>
      <c r="Q245" s="4">
        <v>2591148</v>
      </c>
      <c r="R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 s="3">
        <v>42562</v>
      </c>
      <c r="AC245" t="s">
        <v>53</v>
      </c>
      <c r="AD245" t="s">
        <v>53</v>
      </c>
      <c r="AK245">
        <v>0</v>
      </c>
      <c r="AU245" s="3">
        <v>42403</v>
      </c>
      <c r="AV245" s="3">
        <v>42403</v>
      </c>
      <c r="AW245" t="s">
        <v>54</v>
      </c>
      <c r="AX245" t="str">
        <f t="shared" si="24"/>
        <v>FOR</v>
      </c>
      <c r="AY245" t="s">
        <v>55</v>
      </c>
    </row>
    <row r="246" spans="1:51" hidden="1">
      <c r="A246">
        <v>100210</v>
      </c>
      <c r="B246" t="s">
        <v>88</v>
      </c>
      <c r="C246" t="str">
        <f t="shared" si="29"/>
        <v>08082461008</v>
      </c>
      <c r="D246" t="str">
        <f t="shared" si="29"/>
        <v>08082461008</v>
      </c>
      <c r="E246" t="s">
        <v>52</v>
      </c>
      <c r="F246">
        <v>2015</v>
      </c>
      <c r="G246" t="str">
        <f>"            15023873"</f>
        <v xml:space="preserve">            15023873</v>
      </c>
      <c r="H246" s="3">
        <v>42051</v>
      </c>
      <c r="I246" s="3">
        <v>42060</v>
      </c>
      <c r="J246" s="3">
        <v>42060</v>
      </c>
      <c r="K246" s="3">
        <v>42120</v>
      </c>
      <c r="L246"/>
      <c r="N246"/>
      <c r="O246" s="4">
        <v>9500</v>
      </c>
      <c r="P246">
        <v>283</v>
      </c>
      <c r="Q246" s="4">
        <v>2688500</v>
      </c>
      <c r="R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 s="3">
        <v>42562</v>
      </c>
      <c r="AC246" t="s">
        <v>53</v>
      </c>
      <c r="AD246" t="s">
        <v>53</v>
      </c>
      <c r="AK246">
        <v>0</v>
      </c>
      <c r="AU246" s="3">
        <v>42403</v>
      </c>
      <c r="AV246" s="3">
        <v>42403</v>
      </c>
      <c r="AW246" t="s">
        <v>54</v>
      </c>
      <c r="AX246" t="str">
        <f t="shared" si="24"/>
        <v>FOR</v>
      </c>
      <c r="AY246" t="s">
        <v>55</v>
      </c>
    </row>
    <row r="247" spans="1:51" hidden="1">
      <c r="A247">
        <v>100210</v>
      </c>
      <c r="B247" t="s">
        <v>88</v>
      </c>
      <c r="C247" t="str">
        <f t="shared" ref="C247:D266" si="30">"08082461008"</f>
        <v>08082461008</v>
      </c>
      <c r="D247" t="str">
        <f t="shared" si="30"/>
        <v>08082461008</v>
      </c>
      <c r="E247" t="s">
        <v>52</v>
      </c>
      <c r="F247">
        <v>2015</v>
      </c>
      <c r="G247" t="str">
        <f>"            15025098"</f>
        <v xml:space="preserve">            15025098</v>
      </c>
      <c r="H247" s="3">
        <v>42052</v>
      </c>
      <c r="I247" s="3">
        <v>42066</v>
      </c>
      <c r="J247" s="3">
        <v>42066</v>
      </c>
      <c r="K247" s="3">
        <v>42126</v>
      </c>
      <c r="L247"/>
      <c r="N247"/>
      <c r="O247" s="4">
        <v>1608.96</v>
      </c>
      <c r="P247">
        <v>277</v>
      </c>
      <c r="Q247" s="4">
        <v>445681.91999999998</v>
      </c>
      <c r="R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 s="3">
        <v>42562</v>
      </c>
      <c r="AC247" t="s">
        <v>53</v>
      </c>
      <c r="AD247" t="s">
        <v>53</v>
      </c>
      <c r="AK247">
        <v>0</v>
      </c>
      <c r="AU247" s="3">
        <v>42403</v>
      </c>
      <c r="AV247" s="3">
        <v>42403</v>
      </c>
      <c r="AW247" t="s">
        <v>54</v>
      </c>
      <c r="AX247" t="str">
        <f t="shared" si="24"/>
        <v>FOR</v>
      </c>
      <c r="AY247" t="s">
        <v>55</v>
      </c>
    </row>
    <row r="248" spans="1:51" hidden="1">
      <c r="A248">
        <v>100210</v>
      </c>
      <c r="B248" t="s">
        <v>88</v>
      </c>
      <c r="C248" t="str">
        <f t="shared" si="30"/>
        <v>08082461008</v>
      </c>
      <c r="D248" t="str">
        <f t="shared" si="30"/>
        <v>08082461008</v>
      </c>
      <c r="E248" t="s">
        <v>52</v>
      </c>
      <c r="F248">
        <v>2015</v>
      </c>
      <c r="G248" t="str">
        <f>"            15027593"</f>
        <v xml:space="preserve">            15027593</v>
      </c>
      <c r="H248" s="3">
        <v>42055</v>
      </c>
      <c r="I248" s="3">
        <v>42068</v>
      </c>
      <c r="J248" s="3">
        <v>42068</v>
      </c>
      <c r="K248" s="3">
        <v>42128</v>
      </c>
      <c r="L248"/>
      <c r="N248"/>
      <c r="O248">
        <v>110</v>
      </c>
      <c r="P248">
        <v>275</v>
      </c>
      <c r="Q248" s="4">
        <v>30250</v>
      </c>
      <c r="R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 s="3">
        <v>42562</v>
      </c>
      <c r="AC248" t="s">
        <v>53</v>
      </c>
      <c r="AD248" t="s">
        <v>53</v>
      </c>
      <c r="AK248">
        <v>0</v>
      </c>
      <c r="AU248" s="3">
        <v>42403</v>
      </c>
      <c r="AV248" s="3">
        <v>42403</v>
      </c>
      <c r="AW248" t="s">
        <v>54</v>
      </c>
      <c r="AX248" t="str">
        <f t="shared" ref="AX248:AX311" si="31">"FOR"</f>
        <v>FOR</v>
      </c>
      <c r="AY248" t="s">
        <v>55</v>
      </c>
    </row>
    <row r="249" spans="1:51" hidden="1">
      <c r="A249">
        <v>100210</v>
      </c>
      <c r="B249" t="s">
        <v>88</v>
      </c>
      <c r="C249" t="str">
        <f t="shared" si="30"/>
        <v>08082461008</v>
      </c>
      <c r="D249" t="str">
        <f t="shared" si="30"/>
        <v>08082461008</v>
      </c>
      <c r="E249" t="s">
        <v>52</v>
      </c>
      <c r="F249">
        <v>2015</v>
      </c>
      <c r="G249" t="str">
        <f>"            15028958"</f>
        <v xml:space="preserve">            15028958</v>
      </c>
      <c r="H249" s="3">
        <v>42058</v>
      </c>
      <c r="I249" s="3">
        <v>42068</v>
      </c>
      <c r="J249" s="3">
        <v>42068</v>
      </c>
      <c r="K249" s="3">
        <v>42128</v>
      </c>
      <c r="L249"/>
      <c r="N249"/>
      <c r="O249" s="4">
        <v>5383.8</v>
      </c>
      <c r="P249">
        <v>275</v>
      </c>
      <c r="Q249" s="4">
        <v>1480545</v>
      </c>
      <c r="R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 s="3">
        <v>42562</v>
      </c>
      <c r="AC249" t="s">
        <v>53</v>
      </c>
      <c r="AD249" t="s">
        <v>53</v>
      </c>
      <c r="AK249">
        <v>0</v>
      </c>
      <c r="AU249" s="3">
        <v>42403</v>
      </c>
      <c r="AV249" s="3">
        <v>42403</v>
      </c>
      <c r="AW249" t="s">
        <v>54</v>
      </c>
      <c r="AX249" t="str">
        <f t="shared" si="31"/>
        <v>FOR</v>
      </c>
      <c r="AY249" t="s">
        <v>55</v>
      </c>
    </row>
    <row r="250" spans="1:51" hidden="1">
      <c r="A250">
        <v>100210</v>
      </c>
      <c r="B250" t="s">
        <v>88</v>
      </c>
      <c r="C250" t="str">
        <f t="shared" si="30"/>
        <v>08082461008</v>
      </c>
      <c r="D250" t="str">
        <f t="shared" si="30"/>
        <v>08082461008</v>
      </c>
      <c r="E250" t="s">
        <v>52</v>
      </c>
      <c r="F250">
        <v>2015</v>
      </c>
      <c r="G250" t="str">
        <f>"            15029461"</f>
        <v xml:space="preserve">            15029461</v>
      </c>
      <c r="H250" s="3">
        <v>42059</v>
      </c>
      <c r="I250" s="3">
        <v>42069</v>
      </c>
      <c r="J250" s="3">
        <v>42069</v>
      </c>
      <c r="K250" s="3">
        <v>42129</v>
      </c>
      <c r="L250"/>
      <c r="N250"/>
      <c r="O250">
        <v>459</v>
      </c>
      <c r="P250">
        <v>274</v>
      </c>
      <c r="Q250" s="4">
        <v>125766</v>
      </c>
      <c r="R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 s="3">
        <v>42562</v>
      </c>
      <c r="AC250" t="s">
        <v>53</v>
      </c>
      <c r="AD250" t="s">
        <v>53</v>
      </c>
      <c r="AK250">
        <v>0</v>
      </c>
      <c r="AU250" s="3">
        <v>42403</v>
      </c>
      <c r="AV250" s="3">
        <v>42403</v>
      </c>
      <c r="AW250" t="s">
        <v>54</v>
      </c>
      <c r="AX250" t="str">
        <f t="shared" si="31"/>
        <v>FOR</v>
      </c>
      <c r="AY250" t="s">
        <v>55</v>
      </c>
    </row>
    <row r="251" spans="1:51" hidden="1">
      <c r="A251">
        <v>100210</v>
      </c>
      <c r="B251" t="s">
        <v>88</v>
      </c>
      <c r="C251" t="str">
        <f t="shared" si="30"/>
        <v>08082461008</v>
      </c>
      <c r="D251" t="str">
        <f t="shared" si="30"/>
        <v>08082461008</v>
      </c>
      <c r="E251" t="s">
        <v>52</v>
      </c>
      <c r="F251">
        <v>2015</v>
      </c>
      <c r="G251" t="str">
        <f>"            15032176"</f>
        <v xml:space="preserve">            15032176</v>
      </c>
      <c r="H251" s="3">
        <v>42063</v>
      </c>
      <c r="I251" s="3">
        <v>42087</v>
      </c>
      <c r="J251" s="3">
        <v>42087</v>
      </c>
      <c r="K251" s="3">
        <v>42147</v>
      </c>
      <c r="L251"/>
      <c r="N251"/>
      <c r="O251" s="4">
        <v>2937.72</v>
      </c>
      <c r="P251">
        <v>256</v>
      </c>
      <c r="Q251" s="4">
        <v>752056.31999999995</v>
      </c>
      <c r="R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 s="3">
        <v>42562</v>
      </c>
      <c r="AC251" t="s">
        <v>53</v>
      </c>
      <c r="AD251" t="s">
        <v>53</v>
      </c>
      <c r="AK251">
        <v>0</v>
      </c>
      <c r="AU251" s="3">
        <v>42403</v>
      </c>
      <c r="AV251" s="3">
        <v>42403</v>
      </c>
      <c r="AW251" t="s">
        <v>54</v>
      </c>
      <c r="AX251" t="str">
        <f t="shared" si="31"/>
        <v>FOR</v>
      </c>
      <c r="AY251" t="s">
        <v>55</v>
      </c>
    </row>
    <row r="252" spans="1:51" hidden="1">
      <c r="A252">
        <v>100210</v>
      </c>
      <c r="B252" t="s">
        <v>88</v>
      </c>
      <c r="C252" t="str">
        <f t="shared" si="30"/>
        <v>08082461008</v>
      </c>
      <c r="D252" t="str">
        <f t="shared" si="30"/>
        <v>08082461008</v>
      </c>
      <c r="E252" t="s">
        <v>52</v>
      </c>
      <c r="F252">
        <v>2015</v>
      </c>
      <c r="G252" t="str">
        <f>"            15032434"</f>
        <v xml:space="preserve">            15032434</v>
      </c>
      <c r="H252" s="3">
        <v>42065</v>
      </c>
      <c r="I252" s="3">
        <v>42087</v>
      </c>
      <c r="J252" s="3">
        <v>42087</v>
      </c>
      <c r="K252" s="3">
        <v>42147</v>
      </c>
      <c r="L252"/>
      <c r="N252"/>
      <c r="O252">
        <v>225.72</v>
      </c>
      <c r="P252">
        <v>269</v>
      </c>
      <c r="Q252" s="4">
        <v>60718.68</v>
      </c>
      <c r="R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 s="3">
        <v>42562</v>
      </c>
      <c r="AC252" t="s">
        <v>53</v>
      </c>
      <c r="AD252" t="s">
        <v>53</v>
      </c>
      <c r="AK252">
        <v>0</v>
      </c>
      <c r="AU252" s="3">
        <v>42416</v>
      </c>
      <c r="AV252" s="3">
        <v>42416</v>
      </c>
      <c r="AW252" t="s">
        <v>54</v>
      </c>
      <c r="AX252" t="str">
        <f t="shared" si="31"/>
        <v>FOR</v>
      </c>
      <c r="AY252" t="s">
        <v>55</v>
      </c>
    </row>
    <row r="253" spans="1:51" hidden="1">
      <c r="A253">
        <v>100210</v>
      </c>
      <c r="B253" t="s">
        <v>88</v>
      </c>
      <c r="C253" t="str">
        <f t="shared" si="30"/>
        <v>08082461008</v>
      </c>
      <c r="D253" t="str">
        <f t="shared" si="30"/>
        <v>08082461008</v>
      </c>
      <c r="E253" t="s">
        <v>52</v>
      </c>
      <c r="F253">
        <v>2015</v>
      </c>
      <c r="G253" t="str">
        <f>"            15033047"</f>
        <v xml:space="preserve">            15033047</v>
      </c>
      <c r="H253" s="3">
        <v>42066</v>
      </c>
      <c r="I253" s="3">
        <v>42087</v>
      </c>
      <c r="J253" s="3">
        <v>42087</v>
      </c>
      <c r="K253" s="3">
        <v>42147</v>
      </c>
      <c r="L253"/>
      <c r="N253"/>
      <c r="O253">
        <v>620</v>
      </c>
      <c r="P253">
        <v>269</v>
      </c>
      <c r="Q253" s="4">
        <v>166780</v>
      </c>
      <c r="R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 s="3">
        <v>42562</v>
      </c>
      <c r="AC253" t="s">
        <v>53</v>
      </c>
      <c r="AD253" t="s">
        <v>53</v>
      </c>
      <c r="AK253">
        <v>0</v>
      </c>
      <c r="AU253" s="3">
        <v>42416</v>
      </c>
      <c r="AV253" s="3">
        <v>42416</v>
      </c>
      <c r="AW253" t="s">
        <v>54</v>
      </c>
      <c r="AX253" t="str">
        <f t="shared" si="31"/>
        <v>FOR</v>
      </c>
      <c r="AY253" t="s">
        <v>55</v>
      </c>
    </row>
    <row r="254" spans="1:51" hidden="1">
      <c r="A254">
        <v>100210</v>
      </c>
      <c r="B254" t="s">
        <v>88</v>
      </c>
      <c r="C254" t="str">
        <f t="shared" si="30"/>
        <v>08082461008</v>
      </c>
      <c r="D254" t="str">
        <f t="shared" si="30"/>
        <v>08082461008</v>
      </c>
      <c r="E254" t="s">
        <v>52</v>
      </c>
      <c r="F254">
        <v>2015</v>
      </c>
      <c r="G254" t="str">
        <f>"            15033365"</f>
        <v xml:space="preserve">            15033365</v>
      </c>
      <c r="H254" s="3">
        <v>42066</v>
      </c>
      <c r="I254" s="3">
        <v>42087</v>
      </c>
      <c r="J254" s="3">
        <v>42087</v>
      </c>
      <c r="K254" s="3">
        <v>42147</v>
      </c>
      <c r="L254"/>
      <c r="N254"/>
      <c r="O254">
        <v>225.72</v>
      </c>
      <c r="P254">
        <v>269</v>
      </c>
      <c r="Q254" s="4">
        <v>60718.68</v>
      </c>
      <c r="R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 s="3">
        <v>42562</v>
      </c>
      <c r="AC254" t="s">
        <v>53</v>
      </c>
      <c r="AD254" t="s">
        <v>53</v>
      </c>
      <c r="AK254">
        <v>0</v>
      </c>
      <c r="AU254" s="3">
        <v>42416</v>
      </c>
      <c r="AV254" s="3">
        <v>42416</v>
      </c>
      <c r="AW254" t="s">
        <v>54</v>
      </c>
      <c r="AX254" t="str">
        <f t="shared" si="31"/>
        <v>FOR</v>
      </c>
      <c r="AY254" t="s">
        <v>55</v>
      </c>
    </row>
    <row r="255" spans="1:51" hidden="1">
      <c r="A255">
        <v>100210</v>
      </c>
      <c r="B255" t="s">
        <v>88</v>
      </c>
      <c r="C255" t="str">
        <f t="shared" si="30"/>
        <v>08082461008</v>
      </c>
      <c r="D255" t="str">
        <f t="shared" si="30"/>
        <v>08082461008</v>
      </c>
      <c r="E255" t="s">
        <v>52</v>
      </c>
      <c r="F255">
        <v>2015</v>
      </c>
      <c r="G255" t="str">
        <f>"            15036138"</f>
        <v xml:space="preserve">            15036138</v>
      </c>
      <c r="H255" s="3">
        <v>42069</v>
      </c>
      <c r="I255" s="3">
        <v>42087</v>
      </c>
      <c r="J255" s="3">
        <v>42087</v>
      </c>
      <c r="K255" s="3">
        <v>42147</v>
      </c>
      <c r="L255"/>
      <c r="N255"/>
      <c r="O255">
        <v>903</v>
      </c>
      <c r="P255">
        <v>269</v>
      </c>
      <c r="Q255" s="4">
        <v>242907</v>
      </c>
      <c r="R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 s="3">
        <v>42562</v>
      </c>
      <c r="AC255" t="s">
        <v>53</v>
      </c>
      <c r="AD255" t="s">
        <v>53</v>
      </c>
      <c r="AK255">
        <v>0</v>
      </c>
      <c r="AU255" s="3">
        <v>42416</v>
      </c>
      <c r="AV255" s="3">
        <v>42416</v>
      </c>
      <c r="AW255" t="s">
        <v>54</v>
      </c>
      <c r="AX255" t="str">
        <f t="shared" si="31"/>
        <v>FOR</v>
      </c>
      <c r="AY255" t="s">
        <v>55</v>
      </c>
    </row>
    <row r="256" spans="1:51" hidden="1">
      <c r="A256">
        <v>100210</v>
      </c>
      <c r="B256" t="s">
        <v>88</v>
      </c>
      <c r="C256" t="str">
        <f t="shared" si="30"/>
        <v>08082461008</v>
      </c>
      <c r="D256" t="str">
        <f t="shared" si="30"/>
        <v>08082461008</v>
      </c>
      <c r="E256" t="s">
        <v>52</v>
      </c>
      <c r="F256">
        <v>2015</v>
      </c>
      <c r="G256" t="str">
        <f>"            15036139"</f>
        <v xml:space="preserve">            15036139</v>
      </c>
      <c r="H256" s="3">
        <v>42069</v>
      </c>
      <c r="I256" s="3">
        <v>42087</v>
      </c>
      <c r="J256" s="3">
        <v>42087</v>
      </c>
      <c r="K256" s="3">
        <v>42147</v>
      </c>
      <c r="L256"/>
      <c r="N256"/>
      <c r="O256" s="4">
        <v>2660</v>
      </c>
      <c r="P256">
        <v>269</v>
      </c>
      <c r="Q256" s="4">
        <v>715540</v>
      </c>
      <c r="R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 s="3">
        <v>42562</v>
      </c>
      <c r="AC256" t="s">
        <v>53</v>
      </c>
      <c r="AD256" t="s">
        <v>53</v>
      </c>
      <c r="AK256">
        <v>0</v>
      </c>
      <c r="AU256" s="3">
        <v>42416</v>
      </c>
      <c r="AV256" s="3">
        <v>42416</v>
      </c>
      <c r="AW256" t="s">
        <v>54</v>
      </c>
      <c r="AX256" t="str">
        <f t="shared" si="31"/>
        <v>FOR</v>
      </c>
      <c r="AY256" t="s">
        <v>55</v>
      </c>
    </row>
    <row r="257" spans="1:51" hidden="1">
      <c r="A257">
        <v>100210</v>
      </c>
      <c r="B257" t="s">
        <v>88</v>
      </c>
      <c r="C257" t="str">
        <f t="shared" si="30"/>
        <v>08082461008</v>
      </c>
      <c r="D257" t="str">
        <f t="shared" si="30"/>
        <v>08082461008</v>
      </c>
      <c r="E257" t="s">
        <v>52</v>
      </c>
      <c r="F257">
        <v>2015</v>
      </c>
      <c r="G257" t="str">
        <f>"            15036710"</f>
        <v xml:space="preserve">            15036710</v>
      </c>
      <c r="H257" s="3">
        <v>42072</v>
      </c>
      <c r="I257" s="3">
        <v>42087</v>
      </c>
      <c r="J257" s="3">
        <v>42087</v>
      </c>
      <c r="K257" s="3">
        <v>42147</v>
      </c>
      <c r="L257"/>
      <c r="N257"/>
      <c r="O257" s="4">
        <v>1677</v>
      </c>
      <c r="P257">
        <v>269</v>
      </c>
      <c r="Q257" s="4">
        <v>451113</v>
      </c>
      <c r="R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 s="3">
        <v>42562</v>
      </c>
      <c r="AC257" t="s">
        <v>53</v>
      </c>
      <c r="AD257" t="s">
        <v>53</v>
      </c>
      <c r="AK257">
        <v>0</v>
      </c>
      <c r="AU257" s="3">
        <v>42416</v>
      </c>
      <c r="AV257" s="3">
        <v>42416</v>
      </c>
      <c r="AW257" t="s">
        <v>54</v>
      </c>
      <c r="AX257" t="str">
        <f t="shared" si="31"/>
        <v>FOR</v>
      </c>
      <c r="AY257" t="s">
        <v>55</v>
      </c>
    </row>
    <row r="258" spans="1:51" hidden="1">
      <c r="A258">
        <v>100210</v>
      </c>
      <c r="B258" t="s">
        <v>88</v>
      </c>
      <c r="C258" t="str">
        <f t="shared" si="30"/>
        <v>08082461008</v>
      </c>
      <c r="D258" t="str">
        <f t="shared" si="30"/>
        <v>08082461008</v>
      </c>
      <c r="E258" t="s">
        <v>52</v>
      </c>
      <c r="F258">
        <v>2015</v>
      </c>
      <c r="G258" t="str">
        <f>"            15037109"</f>
        <v xml:space="preserve">            15037109</v>
      </c>
      <c r="H258" s="3">
        <v>42072</v>
      </c>
      <c r="I258" s="3">
        <v>42087</v>
      </c>
      <c r="J258" s="3">
        <v>42087</v>
      </c>
      <c r="K258" s="3">
        <v>42147</v>
      </c>
      <c r="L258"/>
      <c r="N258"/>
      <c r="O258" s="4">
        <v>8016</v>
      </c>
      <c r="P258">
        <v>269</v>
      </c>
      <c r="Q258" s="4">
        <v>2156304</v>
      </c>
      <c r="R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 s="3">
        <v>42562</v>
      </c>
      <c r="AC258" t="s">
        <v>53</v>
      </c>
      <c r="AD258" t="s">
        <v>53</v>
      </c>
      <c r="AK258">
        <v>0</v>
      </c>
      <c r="AU258" s="3">
        <v>42416</v>
      </c>
      <c r="AV258" s="3">
        <v>42416</v>
      </c>
      <c r="AW258" t="s">
        <v>54</v>
      </c>
      <c r="AX258" t="str">
        <f t="shared" si="31"/>
        <v>FOR</v>
      </c>
      <c r="AY258" t="s">
        <v>55</v>
      </c>
    </row>
    <row r="259" spans="1:51" hidden="1">
      <c r="A259">
        <v>100210</v>
      </c>
      <c r="B259" t="s">
        <v>88</v>
      </c>
      <c r="C259" t="str">
        <f t="shared" si="30"/>
        <v>08082461008</v>
      </c>
      <c r="D259" t="str">
        <f t="shared" si="30"/>
        <v>08082461008</v>
      </c>
      <c r="E259" t="s">
        <v>52</v>
      </c>
      <c r="F259">
        <v>2015</v>
      </c>
      <c r="G259" t="str">
        <f>"            15039442"</f>
        <v xml:space="preserve">            15039442</v>
      </c>
      <c r="H259" s="3">
        <v>42075</v>
      </c>
      <c r="I259" s="3">
        <v>42087</v>
      </c>
      <c r="J259" s="3">
        <v>42087</v>
      </c>
      <c r="K259" s="3">
        <v>42147</v>
      </c>
      <c r="L259"/>
      <c r="N259"/>
      <c r="O259">
        <v>245.04</v>
      </c>
      <c r="P259">
        <v>269</v>
      </c>
      <c r="Q259" s="4">
        <v>65915.759999999995</v>
      </c>
      <c r="R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 s="3">
        <v>42562</v>
      </c>
      <c r="AC259" t="s">
        <v>53</v>
      </c>
      <c r="AD259" t="s">
        <v>53</v>
      </c>
      <c r="AK259">
        <v>0</v>
      </c>
      <c r="AU259" s="3">
        <v>42416</v>
      </c>
      <c r="AV259" s="3">
        <v>42416</v>
      </c>
      <c r="AW259" t="s">
        <v>54</v>
      </c>
      <c r="AX259" t="str">
        <f t="shared" si="31"/>
        <v>FOR</v>
      </c>
      <c r="AY259" t="s">
        <v>55</v>
      </c>
    </row>
    <row r="260" spans="1:51" hidden="1">
      <c r="A260">
        <v>100210</v>
      </c>
      <c r="B260" t="s">
        <v>88</v>
      </c>
      <c r="C260" t="str">
        <f t="shared" si="30"/>
        <v>08082461008</v>
      </c>
      <c r="D260" t="str">
        <f t="shared" si="30"/>
        <v>08082461008</v>
      </c>
      <c r="E260" t="s">
        <v>52</v>
      </c>
      <c r="F260">
        <v>2015</v>
      </c>
      <c r="G260" t="str">
        <f>"            15039704"</f>
        <v xml:space="preserve">            15039704</v>
      </c>
      <c r="H260" s="3">
        <v>42075</v>
      </c>
      <c r="I260" s="3">
        <v>42087</v>
      </c>
      <c r="J260" s="3">
        <v>42087</v>
      </c>
      <c r="K260" s="3">
        <v>42147</v>
      </c>
      <c r="L260"/>
      <c r="N260"/>
      <c r="O260">
        <v>213.84</v>
      </c>
      <c r="P260">
        <v>269</v>
      </c>
      <c r="Q260" s="4">
        <v>57522.96</v>
      </c>
      <c r="R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 s="3">
        <v>42562</v>
      </c>
      <c r="AC260" t="s">
        <v>53</v>
      </c>
      <c r="AD260" t="s">
        <v>53</v>
      </c>
      <c r="AK260">
        <v>0</v>
      </c>
      <c r="AU260" s="3">
        <v>42416</v>
      </c>
      <c r="AV260" s="3">
        <v>42416</v>
      </c>
      <c r="AW260" t="s">
        <v>54</v>
      </c>
      <c r="AX260" t="str">
        <f t="shared" si="31"/>
        <v>FOR</v>
      </c>
      <c r="AY260" t="s">
        <v>55</v>
      </c>
    </row>
    <row r="261" spans="1:51" hidden="1">
      <c r="A261">
        <v>100210</v>
      </c>
      <c r="B261" t="s">
        <v>88</v>
      </c>
      <c r="C261" t="str">
        <f t="shared" si="30"/>
        <v>08082461008</v>
      </c>
      <c r="D261" t="str">
        <f t="shared" si="30"/>
        <v>08082461008</v>
      </c>
      <c r="E261" t="s">
        <v>52</v>
      </c>
      <c r="F261">
        <v>2015</v>
      </c>
      <c r="G261" t="str">
        <f>"            15040252"</f>
        <v xml:space="preserve">            15040252</v>
      </c>
      <c r="H261" s="3">
        <v>42076</v>
      </c>
      <c r="I261" s="3">
        <v>42087</v>
      </c>
      <c r="J261" s="3">
        <v>42087</v>
      </c>
      <c r="K261" s="3">
        <v>42147</v>
      </c>
      <c r="L261"/>
      <c r="N261"/>
      <c r="O261">
        <v>434.5</v>
      </c>
      <c r="P261">
        <v>269</v>
      </c>
      <c r="Q261" s="4">
        <v>116880.5</v>
      </c>
      <c r="R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 s="3">
        <v>42562</v>
      </c>
      <c r="AC261" t="s">
        <v>53</v>
      </c>
      <c r="AD261" t="s">
        <v>53</v>
      </c>
      <c r="AK261">
        <v>0</v>
      </c>
      <c r="AU261" s="3">
        <v>42416</v>
      </c>
      <c r="AV261" s="3">
        <v>42416</v>
      </c>
      <c r="AW261" t="s">
        <v>54</v>
      </c>
      <c r="AX261" t="str">
        <f t="shared" si="31"/>
        <v>FOR</v>
      </c>
      <c r="AY261" t="s">
        <v>55</v>
      </c>
    </row>
    <row r="262" spans="1:51" hidden="1">
      <c r="A262">
        <v>100210</v>
      </c>
      <c r="B262" t="s">
        <v>88</v>
      </c>
      <c r="C262" t="str">
        <f t="shared" si="30"/>
        <v>08082461008</v>
      </c>
      <c r="D262" t="str">
        <f t="shared" si="30"/>
        <v>08082461008</v>
      </c>
      <c r="E262" t="s">
        <v>52</v>
      </c>
      <c r="F262">
        <v>2015</v>
      </c>
      <c r="G262" t="str">
        <f>"            15040253"</f>
        <v xml:space="preserve">            15040253</v>
      </c>
      <c r="H262" s="3">
        <v>42076</v>
      </c>
      <c r="I262" s="3">
        <v>42087</v>
      </c>
      <c r="J262" s="3">
        <v>42087</v>
      </c>
      <c r="K262" s="3">
        <v>42147</v>
      </c>
      <c r="L262"/>
      <c r="N262"/>
      <c r="O262">
        <v>434.5</v>
      </c>
      <c r="P262">
        <v>269</v>
      </c>
      <c r="Q262" s="4">
        <v>116880.5</v>
      </c>
      <c r="R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 s="3">
        <v>42562</v>
      </c>
      <c r="AC262" t="s">
        <v>53</v>
      </c>
      <c r="AD262" t="s">
        <v>53</v>
      </c>
      <c r="AK262">
        <v>0</v>
      </c>
      <c r="AU262" s="3">
        <v>42416</v>
      </c>
      <c r="AV262" s="3">
        <v>42416</v>
      </c>
      <c r="AW262" t="s">
        <v>54</v>
      </c>
      <c r="AX262" t="str">
        <f t="shared" si="31"/>
        <v>FOR</v>
      </c>
      <c r="AY262" t="s">
        <v>55</v>
      </c>
    </row>
    <row r="263" spans="1:51" hidden="1">
      <c r="A263">
        <v>100210</v>
      </c>
      <c r="B263" t="s">
        <v>88</v>
      </c>
      <c r="C263" t="str">
        <f t="shared" si="30"/>
        <v>08082461008</v>
      </c>
      <c r="D263" t="str">
        <f t="shared" si="30"/>
        <v>08082461008</v>
      </c>
      <c r="E263" t="s">
        <v>52</v>
      </c>
      <c r="F263">
        <v>2015</v>
      </c>
      <c r="G263" t="str">
        <f>"            15040255"</f>
        <v xml:space="preserve">            15040255</v>
      </c>
      <c r="H263" s="3">
        <v>42076</v>
      </c>
      <c r="I263" s="3">
        <v>42087</v>
      </c>
      <c r="J263" s="3">
        <v>42087</v>
      </c>
      <c r="K263" s="3">
        <v>42147</v>
      </c>
      <c r="L263"/>
      <c r="N263"/>
      <c r="O263">
        <v>434.5</v>
      </c>
      <c r="P263">
        <v>269</v>
      </c>
      <c r="Q263" s="4">
        <v>116880.5</v>
      </c>
      <c r="R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 s="3">
        <v>42562</v>
      </c>
      <c r="AC263" t="s">
        <v>53</v>
      </c>
      <c r="AD263" t="s">
        <v>53</v>
      </c>
      <c r="AK263">
        <v>0</v>
      </c>
      <c r="AU263" s="3">
        <v>42416</v>
      </c>
      <c r="AV263" s="3">
        <v>42416</v>
      </c>
      <c r="AW263" t="s">
        <v>54</v>
      </c>
      <c r="AX263" t="str">
        <f t="shared" si="31"/>
        <v>FOR</v>
      </c>
      <c r="AY263" t="s">
        <v>55</v>
      </c>
    </row>
    <row r="264" spans="1:51" hidden="1">
      <c r="A264">
        <v>100210</v>
      </c>
      <c r="B264" t="s">
        <v>88</v>
      </c>
      <c r="C264" t="str">
        <f t="shared" si="30"/>
        <v>08082461008</v>
      </c>
      <c r="D264" t="str">
        <f t="shared" si="30"/>
        <v>08082461008</v>
      </c>
      <c r="E264" t="s">
        <v>52</v>
      </c>
      <c r="F264">
        <v>2015</v>
      </c>
      <c r="G264" t="str">
        <f>"            15040256"</f>
        <v xml:space="preserve">            15040256</v>
      </c>
      <c r="H264" s="3">
        <v>42076</v>
      </c>
      <c r="I264" s="3">
        <v>42087</v>
      </c>
      <c r="J264" s="3">
        <v>42087</v>
      </c>
      <c r="K264" s="3">
        <v>42147</v>
      </c>
      <c r="L264"/>
      <c r="N264"/>
      <c r="O264">
        <v>434.5</v>
      </c>
      <c r="P264">
        <v>269</v>
      </c>
      <c r="Q264" s="4">
        <v>116880.5</v>
      </c>
      <c r="R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 s="3">
        <v>42562</v>
      </c>
      <c r="AC264" t="s">
        <v>53</v>
      </c>
      <c r="AD264" t="s">
        <v>53</v>
      </c>
      <c r="AK264">
        <v>0</v>
      </c>
      <c r="AU264" s="3">
        <v>42416</v>
      </c>
      <c r="AV264" s="3">
        <v>42416</v>
      </c>
      <c r="AW264" t="s">
        <v>54</v>
      </c>
      <c r="AX264" t="str">
        <f t="shared" si="31"/>
        <v>FOR</v>
      </c>
      <c r="AY264" t="s">
        <v>55</v>
      </c>
    </row>
    <row r="265" spans="1:51" hidden="1">
      <c r="A265">
        <v>100210</v>
      </c>
      <c r="B265" t="s">
        <v>88</v>
      </c>
      <c r="C265" t="str">
        <f t="shared" si="30"/>
        <v>08082461008</v>
      </c>
      <c r="D265" t="str">
        <f t="shared" si="30"/>
        <v>08082461008</v>
      </c>
      <c r="E265" t="s">
        <v>52</v>
      </c>
      <c r="F265">
        <v>2015</v>
      </c>
      <c r="G265" t="str">
        <f>"            15040257"</f>
        <v xml:space="preserve">            15040257</v>
      </c>
      <c r="H265" s="3">
        <v>42076</v>
      </c>
      <c r="I265" s="3">
        <v>42087</v>
      </c>
      <c r="J265" s="3">
        <v>42087</v>
      </c>
      <c r="K265" s="3">
        <v>42147</v>
      </c>
      <c r="L265"/>
      <c r="N265"/>
      <c r="O265">
        <v>434.5</v>
      </c>
      <c r="P265">
        <v>269</v>
      </c>
      <c r="Q265" s="4">
        <v>116880.5</v>
      </c>
      <c r="R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 s="3">
        <v>42562</v>
      </c>
      <c r="AC265" t="s">
        <v>53</v>
      </c>
      <c r="AD265" t="s">
        <v>53</v>
      </c>
      <c r="AK265">
        <v>0</v>
      </c>
      <c r="AU265" s="3">
        <v>42416</v>
      </c>
      <c r="AV265" s="3">
        <v>42416</v>
      </c>
      <c r="AW265" t="s">
        <v>54</v>
      </c>
      <c r="AX265" t="str">
        <f t="shared" si="31"/>
        <v>FOR</v>
      </c>
      <c r="AY265" t="s">
        <v>55</v>
      </c>
    </row>
    <row r="266" spans="1:51" hidden="1">
      <c r="A266">
        <v>100210</v>
      </c>
      <c r="B266" t="s">
        <v>88</v>
      </c>
      <c r="C266" t="str">
        <f t="shared" si="30"/>
        <v>08082461008</v>
      </c>
      <c r="D266" t="str">
        <f t="shared" si="30"/>
        <v>08082461008</v>
      </c>
      <c r="E266" t="s">
        <v>52</v>
      </c>
      <c r="F266">
        <v>2015</v>
      </c>
      <c r="G266" t="str">
        <f>"            15040258"</f>
        <v xml:space="preserve">            15040258</v>
      </c>
      <c r="H266" s="3">
        <v>42076</v>
      </c>
      <c r="I266" s="3">
        <v>42087</v>
      </c>
      <c r="J266" s="3">
        <v>42087</v>
      </c>
      <c r="K266" s="3">
        <v>42147</v>
      </c>
      <c r="L266"/>
      <c r="N266"/>
      <c r="O266">
        <v>434.5</v>
      </c>
      <c r="P266">
        <v>269</v>
      </c>
      <c r="Q266" s="4">
        <v>116880.5</v>
      </c>
      <c r="R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 s="3">
        <v>42562</v>
      </c>
      <c r="AC266" t="s">
        <v>53</v>
      </c>
      <c r="AD266" t="s">
        <v>53</v>
      </c>
      <c r="AK266">
        <v>0</v>
      </c>
      <c r="AU266" s="3">
        <v>42416</v>
      </c>
      <c r="AV266" s="3">
        <v>42416</v>
      </c>
      <c r="AW266" t="s">
        <v>54</v>
      </c>
      <c r="AX266" t="str">
        <f t="shared" si="31"/>
        <v>FOR</v>
      </c>
      <c r="AY266" t="s">
        <v>55</v>
      </c>
    </row>
    <row r="267" spans="1:51" hidden="1">
      <c r="A267">
        <v>100210</v>
      </c>
      <c r="B267" t="s">
        <v>88</v>
      </c>
      <c r="C267" t="str">
        <f t="shared" ref="C267:D286" si="32">"08082461008"</f>
        <v>08082461008</v>
      </c>
      <c r="D267" t="str">
        <f t="shared" si="32"/>
        <v>08082461008</v>
      </c>
      <c r="E267" t="s">
        <v>52</v>
      </c>
      <c r="F267">
        <v>2015</v>
      </c>
      <c r="G267" t="str">
        <f>"            15040259"</f>
        <v xml:space="preserve">            15040259</v>
      </c>
      <c r="H267" s="3">
        <v>42076</v>
      </c>
      <c r="I267" s="3">
        <v>42087</v>
      </c>
      <c r="J267" s="3">
        <v>42087</v>
      </c>
      <c r="K267" s="3">
        <v>42147</v>
      </c>
      <c r="L267"/>
      <c r="N267"/>
      <c r="O267">
        <v>44</v>
      </c>
      <c r="P267">
        <v>269</v>
      </c>
      <c r="Q267" s="4">
        <v>11836</v>
      </c>
      <c r="R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 s="3">
        <v>42562</v>
      </c>
      <c r="AC267" t="s">
        <v>53</v>
      </c>
      <c r="AD267" t="s">
        <v>53</v>
      </c>
      <c r="AK267">
        <v>0</v>
      </c>
      <c r="AU267" s="3">
        <v>42416</v>
      </c>
      <c r="AV267" s="3">
        <v>42416</v>
      </c>
      <c r="AW267" t="s">
        <v>54</v>
      </c>
      <c r="AX267" t="str">
        <f t="shared" si="31"/>
        <v>FOR</v>
      </c>
      <c r="AY267" t="s">
        <v>55</v>
      </c>
    </row>
    <row r="268" spans="1:51" hidden="1">
      <c r="A268">
        <v>100210</v>
      </c>
      <c r="B268" t="s">
        <v>88</v>
      </c>
      <c r="C268" t="str">
        <f t="shared" si="32"/>
        <v>08082461008</v>
      </c>
      <c r="D268" t="str">
        <f t="shared" si="32"/>
        <v>08082461008</v>
      </c>
      <c r="E268" t="s">
        <v>52</v>
      </c>
      <c r="F268">
        <v>2015</v>
      </c>
      <c r="G268" t="str">
        <f>"            15040261"</f>
        <v xml:space="preserve">            15040261</v>
      </c>
      <c r="H268" s="3">
        <v>42076</v>
      </c>
      <c r="I268" s="3">
        <v>42087</v>
      </c>
      <c r="J268" s="3">
        <v>42087</v>
      </c>
      <c r="K268" s="3">
        <v>42147</v>
      </c>
      <c r="L268"/>
      <c r="N268"/>
      <c r="O268">
        <v>44</v>
      </c>
      <c r="P268">
        <v>269</v>
      </c>
      <c r="Q268" s="4">
        <v>11836</v>
      </c>
      <c r="R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 s="3">
        <v>42562</v>
      </c>
      <c r="AC268" t="s">
        <v>53</v>
      </c>
      <c r="AD268" t="s">
        <v>53</v>
      </c>
      <c r="AK268">
        <v>0</v>
      </c>
      <c r="AU268" s="3">
        <v>42416</v>
      </c>
      <c r="AV268" s="3">
        <v>42416</v>
      </c>
      <c r="AW268" t="s">
        <v>54</v>
      </c>
      <c r="AX268" t="str">
        <f t="shared" si="31"/>
        <v>FOR</v>
      </c>
      <c r="AY268" t="s">
        <v>55</v>
      </c>
    </row>
    <row r="269" spans="1:51" hidden="1">
      <c r="A269">
        <v>100210</v>
      </c>
      <c r="B269" t="s">
        <v>88</v>
      </c>
      <c r="C269" t="str">
        <f t="shared" si="32"/>
        <v>08082461008</v>
      </c>
      <c r="D269" t="str">
        <f t="shared" si="32"/>
        <v>08082461008</v>
      </c>
      <c r="E269" t="s">
        <v>52</v>
      </c>
      <c r="F269">
        <v>2015</v>
      </c>
      <c r="G269" t="str">
        <f>"            15040264"</f>
        <v xml:space="preserve">            15040264</v>
      </c>
      <c r="H269" s="3">
        <v>42076</v>
      </c>
      <c r="I269" s="3">
        <v>42087</v>
      </c>
      <c r="J269" s="3">
        <v>42087</v>
      </c>
      <c r="K269" s="3">
        <v>42147</v>
      </c>
      <c r="L269"/>
      <c r="N269"/>
      <c r="O269">
        <v>44</v>
      </c>
      <c r="P269">
        <v>269</v>
      </c>
      <c r="Q269" s="4">
        <v>11836</v>
      </c>
      <c r="R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 s="3">
        <v>42562</v>
      </c>
      <c r="AC269" t="s">
        <v>53</v>
      </c>
      <c r="AD269" t="s">
        <v>53</v>
      </c>
      <c r="AK269">
        <v>0</v>
      </c>
      <c r="AU269" s="3">
        <v>42416</v>
      </c>
      <c r="AV269" s="3">
        <v>42416</v>
      </c>
      <c r="AW269" t="s">
        <v>54</v>
      </c>
      <c r="AX269" t="str">
        <f t="shared" si="31"/>
        <v>FOR</v>
      </c>
      <c r="AY269" t="s">
        <v>55</v>
      </c>
    </row>
    <row r="270" spans="1:51" hidden="1">
      <c r="A270">
        <v>100210</v>
      </c>
      <c r="B270" t="s">
        <v>88</v>
      </c>
      <c r="C270" t="str">
        <f t="shared" si="32"/>
        <v>08082461008</v>
      </c>
      <c r="D270" t="str">
        <f t="shared" si="32"/>
        <v>08082461008</v>
      </c>
      <c r="E270" t="s">
        <v>52</v>
      </c>
      <c r="F270">
        <v>2015</v>
      </c>
      <c r="G270" t="str">
        <f>"            15040265"</f>
        <v xml:space="preserve">            15040265</v>
      </c>
      <c r="H270" s="3">
        <v>42076</v>
      </c>
      <c r="I270" s="3">
        <v>42087</v>
      </c>
      <c r="J270" s="3">
        <v>42087</v>
      </c>
      <c r="K270" s="3">
        <v>42147</v>
      </c>
      <c r="L270"/>
      <c r="N270"/>
      <c r="O270">
        <v>44</v>
      </c>
      <c r="P270">
        <v>269</v>
      </c>
      <c r="Q270" s="4">
        <v>11836</v>
      </c>
      <c r="R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 s="3">
        <v>42562</v>
      </c>
      <c r="AC270" t="s">
        <v>53</v>
      </c>
      <c r="AD270" t="s">
        <v>53</v>
      </c>
      <c r="AK270">
        <v>0</v>
      </c>
      <c r="AU270" s="3">
        <v>42416</v>
      </c>
      <c r="AV270" s="3">
        <v>42416</v>
      </c>
      <c r="AW270" t="s">
        <v>54</v>
      </c>
      <c r="AX270" t="str">
        <f t="shared" si="31"/>
        <v>FOR</v>
      </c>
      <c r="AY270" t="s">
        <v>55</v>
      </c>
    </row>
    <row r="271" spans="1:51" hidden="1">
      <c r="A271">
        <v>100210</v>
      </c>
      <c r="B271" t="s">
        <v>88</v>
      </c>
      <c r="C271" t="str">
        <f t="shared" si="32"/>
        <v>08082461008</v>
      </c>
      <c r="D271" t="str">
        <f t="shared" si="32"/>
        <v>08082461008</v>
      </c>
      <c r="E271" t="s">
        <v>52</v>
      </c>
      <c r="F271">
        <v>2015</v>
      </c>
      <c r="G271" t="str">
        <f>"            15040266"</f>
        <v xml:space="preserve">            15040266</v>
      </c>
      <c r="H271" s="3">
        <v>42076</v>
      </c>
      <c r="I271" s="3">
        <v>42087</v>
      </c>
      <c r="J271" s="3">
        <v>42087</v>
      </c>
      <c r="K271" s="3">
        <v>42147</v>
      </c>
      <c r="L271"/>
      <c r="N271"/>
      <c r="O271">
        <v>44</v>
      </c>
      <c r="P271">
        <v>269</v>
      </c>
      <c r="Q271" s="4">
        <v>11836</v>
      </c>
      <c r="R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 s="3">
        <v>42562</v>
      </c>
      <c r="AC271" t="s">
        <v>53</v>
      </c>
      <c r="AD271" t="s">
        <v>53</v>
      </c>
      <c r="AK271">
        <v>0</v>
      </c>
      <c r="AU271" s="3">
        <v>42416</v>
      </c>
      <c r="AV271" s="3">
        <v>42416</v>
      </c>
      <c r="AW271" t="s">
        <v>54</v>
      </c>
      <c r="AX271" t="str">
        <f t="shared" si="31"/>
        <v>FOR</v>
      </c>
      <c r="AY271" t="s">
        <v>55</v>
      </c>
    </row>
    <row r="272" spans="1:51" hidden="1">
      <c r="A272">
        <v>100210</v>
      </c>
      <c r="B272" t="s">
        <v>88</v>
      </c>
      <c r="C272" t="str">
        <f t="shared" si="32"/>
        <v>08082461008</v>
      </c>
      <c r="D272" t="str">
        <f t="shared" si="32"/>
        <v>08082461008</v>
      </c>
      <c r="E272" t="s">
        <v>52</v>
      </c>
      <c r="F272">
        <v>2015</v>
      </c>
      <c r="G272" t="str">
        <f>"            15040267"</f>
        <v xml:space="preserve">            15040267</v>
      </c>
      <c r="H272" s="3">
        <v>42076</v>
      </c>
      <c r="I272" s="3">
        <v>42087</v>
      </c>
      <c r="J272" s="3">
        <v>42087</v>
      </c>
      <c r="K272" s="3">
        <v>42147</v>
      </c>
      <c r="L272"/>
      <c r="N272"/>
      <c r="O272">
        <v>44</v>
      </c>
      <c r="P272">
        <v>269</v>
      </c>
      <c r="Q272" s="4">
        <v>11836</v>
      </c>
      <c r="R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 s="3">
        <v>42562</v>
      </c>
      <c r="AC272" t="s">
        <v>53</v>
      </c>
      <c r="AD272" t="s">
        <v>53</v>
      </c>
      <c r="AK272">
        <v>0</v>
      </c>
      <c r="AU272" s="3">
        <v>42416</v>
      </c>
      <c r="AV272" s="3">
        <v>42416</v>
      </c>
      <c r="AW272" t="s">
        <v>54</v>
      </c>
      <c r="AX272" t="str">
        <f t="shared" si="31"/>
        <v>FOR</v>
      </c>
      <c r="AY272" t="s">
        <v>55</v>
      </c>
    </row>
    <row r="273" spans="1:51" hidden="1">
      <c r="A273">
        <v>100210</v>
      </c>
      <c r="B273" t="s">
        <v>88</v>
      </c>
      <c r="C273" t="str">
        <f t="shared" si="32"/>
        <v>08082461008</v>
      </c>
      <c r="D273" t="str">
        <f t="shared" si="32"/>
        <v>08082461008</v>
      </c>
      <c r="E273" t="s">
        <v>52</v>
      </c>
      <c r="F273">
        <v>2015</v>
      </c>
      <c r="G273" t="str">
        <f>"            15040269"</f>
        <v xml:space="preserve">            15040269</v>
      </c>
      <c r="H273" s="3">
        <v>42076</v>
      </c>
      <c r="I273" s="3">
        <v>42087</v>
      </c>
      <c r="J273" s="3">
        <v>42087</v>
      </c>
      <c r="K273" s="3">
        <v>42147</v>
      </c>
      <c r="L273"/>
      <c r="N273"/>
      <c r="O273">
        <v>110</v>
      </c>
      <c r="P273">
        <v>269</v>
      </c>
      <c r="Q273" s="4">
        <v>29590</v>
      </c>
      <c r="R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 s="3">
        <v>42562</v>
      </c>
      <c r="AC273" t="s">
        <v>53</v>
      </c>
      <c r="AD273" t="s">
        <v>53</v>
      </c>
      <c r="AK273">
        <v>0</v>
      </c>
      <c r="AU273" s="3">
        <v>42416</v>
      </c>
      <c r="AV273" s="3">
        <v>42416</v>
      </c>
      <c r="AW273" t="s">
        <v>54</v>
      </c>
      <c r="AX273" t="str">
        <f t="shared" si="31"/>
        <v>FOR</v>
      </c>
      <c r="AY273" t="s">
        <v>55</v>
      </c>
    </row>
    <row r="274" spans="1:51" hidden="1">
      <c r="A274">
        <v>100210</v>
      </c>
      <c r="B274" t="s">
        <v>88</v>
      </c>
      <c r="C274" t="str">
        <f t="shared" si="32"/>
        <v>08082461008</v>
      </c>
      <c r="D274" t="str">
        <f t="shared" si="32"/>
        <v>08082461008</v>
      </c>
      <c r="E274" t="s">
        <v>52</v>
      </c>
      <c r="F274">
        <v>2015</v>
      </c>
      <c r="G274" t="str">
        <f>"            15040270"</f>
        <v xml:space="preserve">            15040270</v>
      </c>
      <c r="H274" s="3">
        <v>42076</v>
      </c>
      <c r="I274" s="3">
        <v>42087</v>
      </c>
      <c r="J274" s="3">
        <v>42087</v>
      </c>
      <c r="K274" s="3">
        <v>42147</v>
      </c>
      <c r="L274"/>
      <c r="N274"/>
      <c r="O274">
        <v>110</v>
      </c>
      <c r="P274">
        <v>269</v>
      </c>
      <c r="Q274" s="4">
        <v>29590</v>
      </c>
      <c r="R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 s="3">
        <v>42562</v>
      </c>
      <c r="AC274" t="s">
        <v>53</v>
      </c>
      <c r="AD274" t="s">
        <v>53</v>
      </c>
      <c r="AK274">
        <v>0</v>
      </c>
      <c r="AU274" s="3">
        <v>42416</v>
      </c>
      <c r="AV274" s="3">
        <v>42416</v>
      </c>
      <c r="AW274" t="s">
        <v>54</v>
      </c>
      <c r="AX274" t="str">
        <f t="shared" si="31"/>
        <v>FOR</v>
      </c>
      <c r="AY274" t="s">
        <v>55</v>
      </c>
    </row>
    <row r="275" spans="1:51" hidden="1">
      <c r="A275">
        <v>100210</v>
      </c>
      <c r="B275" t="s">
        <v>88</v>
      </c>
      <c r="C275" t="str">
        <f t="shared" si="32"/>
        <v>08082461008</v>
      </c>
      <c r="D275" t="str">
        <f t="shared" si="32"/>
        <v>08082461008</v>
      </c>
      <c r="E275" t="s">
        <v>52</v>
      </c>
      <c r="F275">
        <v>2015</v>
      </c>
      <c r="G275" t="str">
        <f>"            15041707"</f>
        <v xml:space="preserve">            15041707</v>
      </c>
      <c r="H275" s="3">
        <v>42080</v>
      </c>
      <c r="I275" s="3">
        <v>42089</v>
      </c>
      <c r="J275" s="3">
        <v>42089</v>
      </c>
      <c r="K275" s="3">
        <v>42149</v>
      </c>
      <c r="L275"/>
      <c r="N275"/>
      <c r="O275">
        <v>620</v>
      </c>
      <c r="P275">
        <v>267</v>
      </c>
      <c r="Q275" s="4">
        <v>165540</v>
      </c>
      <c r="R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 s="3">
        <v>42562</v>
      </c>
      <c r="AC275" t="s">
        <v>53</v>
      </c>
      <c r="AD275" t="s">
        <v>53</v>
      </c>
      <c r="AK275">
        <v>0</v>
      </c>
      <c r="AU275" s="3">
        <v>42416</v>
      </c>
      <c r="AV275" s="3">
        <v>42416</v>
      </c>
      <c r="AW275" t="s">
        <v>54</v>
      </c>
      <c r="AX275" t="str">
        <f t="shared" si="31"/>
        <v>FOR</v>
      </c>
      <c r="AY275" t="s">
        <v>55</v>
      </c>
    </row>
    <row r="276" spans="1:51" hidden="1">
      <c r="A276">
        <v>100210</v>
      </c>
      <c r="B276" t="s">
        <v>88</v>
      </c>
      <c r="C276" t="str">
        <f t="shared" si="32"/>
        <v>08082461008</v>
      </c>
      <c r="D276" t="str">
        <f t="shared" si="32"/>
        <v>08082461008</v>
      </c>
      <c r="E276" t="s">
        <v>52</v>
      </c>
      <c r="F276">
        <v>2015</v>
      </c>
      <c r="G276" t="str">
        <f>"            15045748"</f>
        <v xml:space="preserve">            15045748</v>
      </c>
      <c r="H276" s="3">
        <v>42087</v>
      </c>
      <c r="I276" s="3">
        <v>42104</v>
      </c>
      <c r="J276" s="3">
        <v>42104</v>
      </c>
      <c r="K276" s="3">
        <v>42164</v>
      </c>
      <c r="L276"/>
      <c r="N276"/>
      <c r="O276">
        <v>500</v>
      </c>
      <c r="P276">
        <v>239</v>
      </c>
      <c r="Q276" s="4">
        <v>119500</v>
      </c>
      <c r="R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 s="3">
        <v>42562</v>
      </c>
      <c r="AC276" t="s">
        <v>53</v>
      </c>
      <c r="AD276" t="s">
        <v>53</v>
      </c>
      <c r="AK276">
        <v>0</v>
      </c>
      <c r="AU276" s="3">
        <v>42403</v>
      </c>
      <c r="AV276" s="3">
        <v>42403</v>
      </c>
      <c r="AW276" t="s">
        <v>54</v>
      </c>
      <c r="AX276" t="str">
        <f t="shared" si="31"/>
        <v>FOR</v>
      </c>
      <c r="AY276" t="s">
        <v>55</v>
      </c>
    </row>
    <row r="277" spans="1:51" hidden="1">
      <c r="A277">
        <v>100210</v>
      </c>
      <c r="B277" t="s">
        <v>88</v>
      </c>
      <c r="C277" t="str">
        <f t="shared" si="32"/>
        <v>08082461008</v>
      </c>
      <c r="D277" t="str">
        <f t="shared" si="32"/>
        <v>08082461008</v>
      </c>
      <c r="E277" t="s">
        <v>52</v>
      </c>
      <c r="F277">
        <v>2015</v>
      </c>
      <c r="G277" t="str">
        <f>"            15045749"</f>
        <v xml:space="preserve">            15045749</v>
      </c>
      <c r="H277" s="3">
        <v>42087</v>
      </c>
      <c r="I277" s="3">
        <v>42104</v>
      </c>
      <c r="J277" s="3">
        <v>42104</v>
      </c>
      <c r="K277" s="3">
        <v>42164</v>
      </c>
      <c r="L277"/>
      <c r="N277"/>
      <c r="O277">
        <v>500</v>
      </c>
      <c r="P277">
        <v>239</v>
      </c>
      <c r="Q277" s="4">
        <v>119500</v>
      </c>
      <c r="R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 s="3">
        <v>42562</v>
      </c>
      <c r="AC277" t="s">
        <v>53</v>
      </c>
      <c r="AD277" t="s">
        <v>53</v>
      </c>
      <c r="AK277">
        <v>0</v>
      </c>
      <c r="AU277" s="3">
        <v>42403</v>
      </c>
      <c r="AV277" s="3">
        <v>42403</v>
      </c>
      <c r="AW277" t="s">
        <v>54</v>
      </c>
      <c r="AX277" t="str">
        <f t="shared" si="31"/>
        <v>FOR</v>
      </c>
      <c r="AY277" t="s">
        <v>55</v>
      </c>
    </row>
    <row r="278" spans="1:51" hidden="1">
      <c r="A278">
        <v>100210</v>
      </c>
      <c r="B278" t="s">
        <v>88</v>
      </c>
      <c r="C278" t="str">
        <f t="shared" si="32"/>
        <v>08082461008</v>
      </c>
      <c r="D278" t="str">
        <f t="shared" si="32"/>
        <v>08082461008</v>
      </c>
      <c r="E278" t="s">
        <v>52</v>
      </c>
      <c r="F278">
        <v>2015</v>
      </c>
      <c r="G278" t="str">
        <f>"            15045750"</f>
        <v xml:space="preserve">            15045750</v>
      </c>
      <c r="H278" s="3">
        <v>42087</v>
      </c>
      <c r="I278" s="3">
        <v>42104</v>
      </c>
      <c r="J278" s="3">
        <v>42104</v>
      </c>
      <c r="K278" s="3">
        <v>42164</v>
      </c>
      <c r="L278"/>
      <c r="N278"/>
      <c r="O278">
        <v>500</v>
      </c>
      <c r="P278">
        <v>239</v>
      </c>
      <c r="Q278" s="4">
        <v>119500</v>
      </c>
      <c r="R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 s="3">
        <v>42562</v>
      </c>
      <c r="AC278" t="s">
        <v>53</v>
      </c>
      <c r="AD278" t="s">
        <v>53</v>
      </c>
      <c r="AK278">
        <v>0</v>
      </c>
      <c r="AU278" s="3">
        <v>42403</v>
      </c>
      <c r="AV278" s="3">
        <v>42403</v>
      </c>
      <c r="AW278" t="s">
        <v>54</v>
      </c>
      <c r="AX278" t="str">
        <f t="shared" si="31"/>
        <v>FOR</v>
      </c>
      <c r="AY278" t="s">
        <v>55</v>
      </c>
    </row>
    <row r="279" spans="1:51" hidden="1">
      <c r="A279">
        <v>100210</v>
      </c>
      <c r="B279" t="s">
        <v>88</v>
      </c>
      <c r="C279" t="str">
        <f t="shared" si="32"/>
        <v>08082461008</v>
      </c>
      <c r="D279" t="str">
        <f t="shared" si="32"/>
        <v>08082461008</v>
      </c>
      <c r="E279" t="s">
        <v>52</v>
      </c>
      <c r="F279">
        <v>2015</v>
      </c>
      <c r="G279" t="str">
        <f>"            15046040"</f>
        <v xml:space="preserve">            15046040</v>
      </c>
      <c r="H279" s="3">
        <v>42087</v>
      </c>
      <c r="I279" s="3">
        <v>42103</v>
      </c>
      <c r="J279" s="3">
        <v>42103</v>
      </c>
      <c r="K279" s="3">
        <v>42163</v>
      </c>
      <c r="L279"/>
      <c r="N279"/>
      <c r="O279">
        <v>401.76</v>
      </c>
      <c r="P279">
        <v>253</v>
      </c>
      <c r="Q279" s="4">
        <v>101645.28</v>
      </c>
      <c r="R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 s="3">
        <v>42562</v>
      </c>
      <c r="AC279" t="s">
        <v>53</v>
      </c>
      <c r="AD279" t="s">
        <v>53</v>
      </c>
      <c r="AK279">
        <v>0</v>
      </c>
      <c r="AU279" s="3">
        <v>42416</v>
      </c>
      <c r="AV279" s="3">
        <v>42416</v>
      </c>
      <c r="AW279" t="s">
        <v>54</v>
      </c>
      <c r="AX279" t="str">
        <f t="shared" si="31"/>
        <v>FOR</v>
      </c>
      <c r="AY279" t="s">
        <v>55</v>
      </c>
    </row>
    <row r="280" spans="1:51" hidden="1">
      <c r="A280">
        <v>100210</v>
      </c>
      <c r="B280" t="s">
        <v>88</v>
      </c>
      <c r="C280" t="str">
        <f t="shared" si="32"/>
        <v>08082461008</v>
      </c>
      <c r="D280" t="str">
        <f t="shared" si="32"/>
        <v>08082461008</v>
      </c>
      <c r="E280" t="s">
        <v>52</v>
      </c>
      <c r="F280">
        <v>2015</v>
      </c>
      <c r="G280" t="str">
        <f>"            15047184"</f>
        <v xml:space="preserve">            15047184</v>
      </c>
      <c r="H280" s="3">
        <v>42088</v>
      </c>
      <c r="I280" s="3">
        <v>42103</v>
      </c>
      <c r="J280" s="3">
        <v>42103</v>
      </c>
      <c r="K280" s="3">
        <v>42163</v>
      </c>
      <c r="L280"/>
      <c r="N280"/>
      <c r="O280">
        <v>401.76</v>
      </c>
      <c r="P280">
        <v>253</v>
      </c>
      <c r="Q280" s="4">
        <v>101645.28</v>
      </c>
      <c r="R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 s="3">
        <v>42562</v>
      </c>
      <c r="AC280" t="s">
        <v>53</v>
      </c>
      <c r="AD280" t="s">
        <v>53</v>
      </c>
      <c r="AK280">
        <v>0</v>
      </c>
      <c r="AU280" s="3">
        <v>42416</v>
      </c>
      <c r="AV280" s="3">
        <v>42416</v>
      </c>
      <c r="AW280" t="s">
        <v>54</v>
      </c>
      <c r="AX280" t="str">
        <f t="shared" si="31"/>
        <v>FOR</v>
      </c>
      <c r="AY280" t="s">
        <v>55</v>
      </c>
    </row>
    <row r="281" spans="1:51" hidden="1">
      <c r="A281">
        <v>100210</v>
      </c>
      <c r="B281" t="s">
        <v>88</v>
      </c>
      <c r="C281" t="str">
        <f t="shared" si="32"/>
        <v>08082461008</v>
      </c>
      <c r="D281" t="str">
        <f t="shared" si="32"/>
        <v>08082461008</v>
      </c>
      <c r="E281" t="s">
        <v>52</v>
      </c>
      <c r="F281">
        <v>2015</v>
      </c>
      <c r="G281" t="str">
        <f>"            15048201"</f>
        <v xml:space="preserve">            15048201</v>
      </c>
      <c r="H281" s="3">
        <v>42089</v>
      </c>
      <c r="I281" s="3">
        <v>42104</v>
      </c>
      <c r="J281" s="3">
        <v>42104</v>
      </c>
      <c r="K281" s="3">
        <v>42164</v>
      </c>
      <c r="L281"/>
      <c r="N281"/>
      <c r="O281">
        <v>500</v>
      </c>
      <c r="P281">
        <v>239</v>
      </c>
      <c r="Q281" s="4">
        <v>119500</v>
      </c>
      <c r="R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 s="3">
        <v>42562</v>
      </c>
      <c r="AC281" t="s">
        <v>53</v>
      </c>
      <c r="AD281" t="s">
        <v>53</v>
      </c>
      <c r="AK281">
        <v>0</v>
      </c>
      <c r="AU281" s="3">
        <v>42403</v>
      </c>
      <c r="AV281" s="3">
        <v>42403</v>
      </c>
      <c r="AW281" t="s">
        <v>54</v>
      </c>
      <c r="AX281" t="str">
        <f t="shared" si="31"/>
        <v>FOR</v>
      </c>
      <c r="AY281" t="s">
        <v>55</v>
      </c>
    </row>
    <row r="282" spans="1:51" hidden="1">
      <c r="A282">
        <v>100210</v>
      </c>
      <c r="B282" t="s">
        <v>88</v>
      </c>
      <c r="C282" t="str">
        <f t="shared" si="32"/>
        <v>08082461008</v>
      </c>
      <c r="D282" t="str">
        <f t="shared" si="32"/>
        <v>08082461008</v>
      </c>
      <c r="E282" t="s">
        <v>52</v>
      </c>
      <c r="F282">
        <v>2015</v>
      </c>
      <c r="G282" t="str">
        <f>"            15051743"</f>
        <v xml:space="preserve">            15051743</v>
      </c>
      <c r="H282" s="3">
        <v>42094</v>
      </c>
      <c r="I282" s="3">
        <v>42172</v>
      </c>
      <c r="J282" s="3">
        <v>42171</v>
      </c>
      <c r="K282" s="3">
        <v>42231</v>
      </c>
      <c r="L282"/>
      <c r="N282"/>
      <c r="O282">
        <v>934.8</v>
      </c>
      <c r="P282">
        <v>185</v>
      </c>
      <c r="Q282" s="4">
        <v>172938</v>
      </c>
      <c r="R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 s="3">
        <v>42562</v>
      </c>
      <c r="AC282" t="s">
        <v>53</v>
      </c>
      <c r="AD282" t="s">
        <v>53</v>
      </c>
      <c r="AK282">
        <v>0</v>
      </c>
      <c r="AU282" s="3">
        <v>42416</v>
      </c>
      <c r="AV282" s="3">
        <v>42416</v>
      </c>
      <c r="AW282" t="s">
        <v>54</v>
      </c>
      <c r="AX282" t="str">
        <f t="shared" si="31"/>
        <v>FOR</v>
      </c>
      <c r="AY282" t="s">
        <v>55</v>
      </c>
    </row>
    <row r="283" spans="1:51" hidden="1">
      <c r="A283">
        <v>100210</v>
      </c>
      <c r="B283" t="s">
        <v>88</v>
      </c>
      <c r="C283" t="str">
        <f t="shared" si="32"/>
        <v>08082461008</v>
      </c>
      <c r="D283" t="str">
        <f t="shared" si="32"/>
        <v>08082461008</v>
      </c>
      <c r="E283" t="s">
        <v>52</v>
      </c>
      <c r="F283">
        <v>2015</v>
      </c>
      <c r="G283" t="str">
        <f>"            15053208"</f>
        <v xml:space="preserve">            15053208</v>
      </c>
      <c r="H283" s="3">
        <v>42097</v>
      </c>
      <c r="I283" s="3">
        <v>42123</v>
      </c>
      <c r="J283" s="3">
        <v>42123</v>
      </c>
      <c r="K283" s="3">
        <v>42183</v>
      </c>
      <c r="L283"/>
      <c r="N283"/>
      <c r="O283">
        <v>110</v>
      </c>
      <c r="P283">
        <v>270</v>
      </c>
      <c r="Q283" s="4">
        <v>29700</v>
      </c>
      <c r="R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 s="3">
        <v>42562</v>
      </c>
      <c r="AC283" t="s">
        <v>53</v>
      </c>
      <c r="AD283" t="s">
        <v>53</v>
      </c>
      <c r="AK283">
        <v>0</v>
      </c>
      <c r="AU283" s="3">
        <v>42453</v>
      </c>
      <c r="AV283" s="3">
        <v>42453</v>
      </c>
      <c r="AW283" t="s">
        <v>54</v>
      </c>
      <c r="AX283" t="str">
        <f t="shared" si="31"/>
        <v>FOR</v>
      </c>
      <c r="AY283" t="s">
        <v>55</v>
      </c>
    </row>
    <row r="284" spans="1:51" hidden="1">
      <c r="A284">
        <v>100210</v>
      </c>
      <c r="B284" t="s">
        <v>88</v>
      </c>
      <c r="C284" t="str">
        <f t="shared" si="32"/>
        <v>08082461008</v>
      </c>
      <c r="D284" t="str">
        <f t="shared" si="32"/>
        <v>08082461008</v>
      </c>
      <c r="E284" t="s">
        <v>52</v>
      </c>
      <c r="F284">
        <v>2015</v>
      </c>
      <c r="G284" t="str">
        <f>"            15053209"</f>
        <v xml:space="preserve">            15053209</v>
      </c>
      <c r="H284" s="3">
        <v>42097</v>
      </c>
      <c r="I284" s="3">
        <v>42139</v>
      </c>
      <c r="J284" s="3">
        <v>42137</v>
      </c>
      <c r="K284" s="3">
        <v>42197</v>
      </c>
      <c r="L284"/>
      <c r="N284"/>
      <c r="O284">
        <v>110</v>
      </c>
      <c r="P284">
        <v>256</v>
      </c>
      <c r="Q284" s="4">
        <v>28160</v>
      </c>
      <c r="R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 s="3">
        <v>42562</v>
      </c>
      <c r="AC284" t="s">
        <v>53</v>
      </c>
      <c r="AD284" t="s">
        <v>53</v>
      </c>
      <c r="AK284">
        <v>0</v>
      </c>
      <c r="AU284" s="3">
        <v>42453</v>
      </c>
      <c r="AV284" s="3">
        <v>42453</v>
      </c>
      <c r="AW284" t="s">
        <v>54</v>
      </c>
      <c r="AX284" t="str">
        <f t="shared" si="31"/>
        <v>FOR</v>
      </c>
      <c r="AY284" t="s">
        <v>55</v>
      </c>
    </row>
    <row r="285" spans="1:51" hidden="1">
      <c r="A285">
        <v>100210</v>
      </c>
      <c r="B285" t="s">
        <v>88</v>
      </c>
      <c r="C285" t="str">
        <f t="shared" si="32"/>
        <v>08082461008</v>
      </c>
      <c r="D285" t="str">
        <f t="shared" si="32"/>
        <v>08082461008</v>
      </c>
      <c r="E285" t="s">
        <v>52</v>
      </c>
      <c r="F285">
        <v>2015</v>
      </c>
      <c r="G285" t="str">
        <f>"            15054061"</f>
        <v xml:space="preserve">            15054061</v>
      </c>
      <c r="H285" s="3">
        <v>42101</v>
      </c>
      <c r="I285" s="3">
        <v>42139</v>
      </c>
      <c r="J285" s="3">
        <v>42137</v>
      </c>
      <c r="K285" s="3">
        <v>42197</v>
      </c>
      <c r="L285"/>
      <c r="N285"/>
      <c r="O285">
        <v>434.5</v>
      </c>
      <c r="P285">
        <v>256</v>
      </c>
      <c r="Q285" s="4">
        <v>111232</v>
      </c>
      <c r="R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 s="3">
        <v>42562</v>
      </c>
      <c r="AC285" t="s">
        <v>53</v>
      </c>
      <c r="AD285" t="s">
        <v>53</v>
      </c>
      <c r="AK285">
        <v>0</v>
      </c>
      <c r="AU285" s="3">
        <v>42453</v>
      </c>
      <c r="AV285" s="3">
        <v>42453</v>
      </c>
      <c r="AW285" t="s">
        <v>54</v>
      </c>
      <c r="AX285" t="str">
        <f t="shared" si="31"/>
        <v>FOR</v>
      </c>
      <c r="AY285" t="s">
        <v>55</v>
      </c>
    </row>
    <row r="286" spans="1:51" hidden="1">
      <c r="A286">
        <v>100210</v>
      </c>
      <c r="B286" t="s">
        <v>88</v>
      </c>
      <c r="C286" t="str">
        <f t="shared" si="32"/>
        <v>08082461008</v>
      </c>
      <c r="D286" t="str">
        <f t="shared" si="32"/>
        <v>08082461008</v>
      </c>
      <c r="E286" t="s">
        <v>52</v>
      </c>
      <c r="F286">
        <v>2015</v>
      </c>
      <c r="G286" t="str">
        <f>"            15054063"</f>
        <v xml:space="preserve">            15054063</v>
      </c>
      <c r="H286" s="3">
        <v>42101</v>
      </c>
      <c r="I286" s="3">
        <v>42172</v>
      </c>
      <c r="J286" s="3">
        <v>42171</v>
      </c>
      <c r="K286" s="3">
        <v>42231</v>
      </c>
      <c r="L286"/>
      <c r="N286"/>
      <c r="O286">
        <v>434.5</v>
      </c>
      <c r="P286">
        <v>222</v>
      </c>
      <c r="Q286" s="4">
        <v>96459</v>
      </c>
      <c r="R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 s="3">
        <v>42562</v>
      </c>
      <c r="AC286" t="s">
        <v>53</v>
      </c>
      <c r="AD286" t="s">
        <v>53</v>
      </c>
      <c r="AK286">
        <v>0</v>
      </c>
      <c r="AU286" s="3">
        <v>42453</v>
      </c>
      <c r="AV286" s="3">
        <v>42453</v>
      </c>
      <c r="AW286" t="s">
        <v>54</v>
      </c>
      <c r="AX286" t="str">
        <f t="shared" si="31"/>
        <v>FOR</v>
      </c>
      <c r="AY286" t="s">
        <v>55</v>
      </c>
    </row>
    <row r="287" spans="1:51" hidden="1">
      <c r="A287">
        <v>100210</v>
      </c>
      <c r="B287" t="s">
        <v>88</v>
      </c>
      <c r="C287" t="str">
        <f t="shared" ref="C287:D306" si="33">"08082461008"</f>
        <v>08082461008</v>
      </c>
      <c r="D287" t="str">
        <f t="shared" si="33"/>
        <v>08082461008</v>
      </c>
      <c r="E287" t="s">
        <v>52</v>
      </c>
      <c r="F287">
        <v>2015</v>
      </c>
      <c r="G287" t="str">
        <f>"            15054064"</f>
        <v xml:space="preserve">            15054064</v>
      </c>
      <c r="H287" s="3">
        <v>42101</v>
      </c>
      <c r="I287" s="3">
        <v>42123</v>
      </c>
      <c r="J287" s="3">
        <v>42123</v>
      </c>
      <c r="K287" s="3">
        <v>42183</v>
      </c>
      <c r="L287"/>
      <c r="N287"/>
      <c r="O287">
        <v>434.5</v>
      </c>
      <c r="P287">
        <v>270</v>
      </c>
      <c r="Q287" s="4">
        <v>117315</v>
      </c>
      <c r="R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 s="3">
        <v>42562</v>
      </c>
      <c r="AC287" t="s">
        <v>53</v>
      </c>
      <c r="AD287" t="s">
        <v>53</v>
      </c>
      <c r="AK287">
        <v>0</v>
      </c>
      <c r="AU287" s="3">
        <v>42453</v>
      </c>
      <c r="AV287" s="3">
        <v>42453</v>
      </c>
      <c r="AW287" t="s">
        <v>54</v>
      </c>
      <c r="AX287" t="str">
        <f t="shared" si="31"/>
        <v>FOR</v>
      </c>
      <c r="AY287" t="s">
        <v>55</v>
      </c>
    </row>
    <row r="288" spans="1:51" hidden="1">
      <c r="A288">
        <v>100210</v>
      </c>
      <c r="B288" t="s">
        <v>88</v>
      </c>
      <c r="C288" t="str">
        <f t="shared" si="33"/>
        <v>08082461008</v>
      </c>
      <c r="D288" t="str">
        <f t="shared" si="33"/>
        <v>08082461008</v>
      </c>
      <c r="E288" t="s">
        <v>52</v>
      </c>
      <c r="F288">
        <v>2015</v>
      </c>
      <c r="G288" t="str">
        <f>"            15054065"</f>
        <v xml:space="preserve">            15054065</v>
      </c>
      <c r="H288" s="3">
        <v>42101</v>
      </c>
      <c r="I288" s="3">
        <v>42172</v>
      </c>
      <c r="J288" s="3">
        <v>42171</v>
      </c>
      <c r="K288" s="3">
        <v>42231</v>
      </c>
      <c r="L288"/>
      <c r="N288"/>
      <c r="O288">
        <v>434.5</v>
      </c>
      <c r="P288">
        <v>222</v>
      </c>
      <c r="Q288" s="4">
        <v>96459</v>
      </c>
      <c r="R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 s="3">
        <v>42562</v>
      </c>
      <c r="AC288" t="s">
        <v>53</v>
      </c>
      <c r="AD288" t="s">
        <v>53</v>
      </c>
      <c r="AK288">
        <v>0</v>
      </c>
      <c r="AU288" s="3">
        <v>42453</v>
      </c>
      <c r="AV288" s="3">
        <v>42453</v>
      </c>
      <c r="AW288" t="s">
        <v>54</v>
      </c>
      <c r="AX288" t="str">
        <f t="shared" si="31"/>
        <v>FOR</v>
      </c>
      <c r="AY288" t="s">
        <v>55</v>
      </c>
    </row>
    <row r="289" spans="1:51" hidden="1">
      <c r="A289">
        <v>100210</v>
      </c>
      <c r="B289" t="s">
        <v>88</v>
      </c>
      <c r="C289" t="str">
        <f t="shared" si="33"/>
        <v>08082461008</v>
      </c>
      <c r="D289" t="str">
        <f t="shared" si="33"/>
        <v>08082461008</v>
      </c>
      <c r="E289" t="s">
        <v>52</v>
      </c>
      <c r="F289">
        <v>2015</v>
      </c>
      <c r="G289" t="str">
        <f>"            15054068"</f>
        <v xml:space="preserve">            15054068</v>
      </c>
      <c r="H289" s="3">
        <v>42101</v>
      </c>
      <c r="I289" s="3">
        <v>42123</v>
      </c>
      <c r="J289" s="3">
        <v>42123</v>
      </c>
      <c r="K289" s="3">
        <v>42183</v>
      </c>
      <c r="L289"/>
      <c r="N289"/>
      <c r="O289">
        <v>434.5</v>
      </c>
      <c r="P289">
        <v>270</v>
      </c>
      <c r="Q289" s="4">
        <v>117315</v>
      </c>
      <c r="R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 s="3">
        <v>42562</v>
      </c>
      <c r="AC289" t="s">
        <v>53</v>
      </c>
      <c r="AD289" t="s">
        <v>53</v>
      </c>
      <c r="AK289">
        <v>0</v>
      </c>
      <c r="AU289" s="3">
        <v>42453</v>
      </c>
      <c r="AV289" s="3">
        <v>42453</v>
      </c>
      <c r="AW289" t="s">
        <v>54</v>
      </c>
      <c r="AX289" t="str">
        <f t="shared" si="31"/>
        <v>FOR</v>
      </c>
      <c r="AY289" t="s">
        <v>55</v>
      </c>
    </row>
    <row r="290" spans="1:51" hidden="1">
      <c r="A290">
        <v>100210</v>
      </c>
      <c r="B290" t="s">
        <v>88</v>
      </c>
      <c r="C290" t="str">
        <f t="shared" si="33"/>
        <v>08082461008</v>
      </c>
      <c r="D290" t="str">
        <f t="shared" si="33"/>
        <v>08082461008</v>
      </c>
      <c r="E290" t="s">
        <v>52</v>
      </c>
      <c r="F290">
        <v>2015</v>
      </c>
      <c r="G290" t="str">
        <f>"            15054070"</f>
        <v xml:space="preserve">            15054070</v>
      </c>
      <c r="H290" s="3">
        <v>42101</v>
      </c>
      <c r="I290" s="3">
        <v>42123</v>
      </c>
      <c r="J290" s="3">
        <v>42123</v>
      </c>
      <c r="K290" s="3">
        <v>42183</v>
      </c>
      <c r="L290"/>
      <c r="N290"/>
      <c r="O290">
        <v>434.5</v>
      </c>
      <c r="P290">
        <v>270</v>
      </c>
      <c r="Q290" s="4">
        <v>117315</v>
      </c>
      <c r="R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 s="3">
        <v>42562</v>
      </c>
      <c r="AC290" t="s">
        <v>53</v>
      </c>
      <c r="AD290" t="s">
        <v>53</v>
      </c>
      <c r="AK290">
        <v>0</v>
      </c>
      <c r="AU290" s="3">
        <v>42453</v>
      </c>
      <c r="AV290" s="3">
        <v>42453</v>
      </c>
      <c r="AW290" t="s">
        <v>54</v>
      </c>
      <c r="AX290" t="str">
        <f t="shared" si="31"/>
        <v>FOR</v>
      </c>
      <c r="AY290" t="s">
        <v>55</v>
      </c>
    </row>
    <row r="291" spans="1:51" hidden="1">
      <c r="A291">
        <v>100210</v>
      </c>
      <c r="B291" t="s">
        <v>88</v>
      </c>
      <c r="C291" t="str">
        <f t="shared" si="33"/>
        <v>08082461008</v>
      </c>
      <c r="D291" t="str">
        <f t="shared" si="33"/>
        <v>08082461008</v>
      </c>
      <c r="E291" t="s">
        <v>52</v>
      </c>
      <c r="F291">
        <v>2015</v>
      </c>
      <c r="G291" t="str">
        <f>"            15054072"</f>
        <v xml:space="preserve">            15054072</v>
      </c>
      <c r="H291" s="3">
        <v>42101</v>
      </c>
      <c r="I291" s="3">
        <v>42172</v>
      </c>
      <c r="J291" s="3">
        <v>42171</v>
      </c>
      <c r="K291" s="3">
        <v>42231</v>
      </c>
      <c r="L291"/>
      <c r="N291"/>
      <c r="O291">
        <v>44</v>
      </c>
      <c r="P291">
        <v>222</v>
      </c>
      <c r="Q291" s="4">
        <v>9768</v>
      </c>
      <c r="R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 s="3">
        <v>42562</v>
      </c>
      <c r="AC291" t="s">
        <v>53</v>
      </c>
      <c r="AD291" t="s">
        <v>53</v>
      </c>
      <c r="AK291">
        <v>0</v>
      </c>
      <c r="AU291" s="3">
        <v>42453</v>
      </c>
      <c r="AV291" s="3">
        <v>42453</v>
      </c>
      <c r="AW291" t="s">
        <v>54</v>
      </c>
      <c r="AX291" t="str">
        <f t="shared" si="31"/>
        <v>FOR</v>
      </c>
      <c r="AY291" t="s">
        <v>55</v>
      </c>
    </row>
    <row r="292" spans="1:51" hidden="1">
      <c r="A292">
        <v>100210</v>
      </c>
      <c r="B292" t="s">
        <v>88</v>
      </c>
      <c r="C292" t="str">
        <f t="shared" si="33"/>
        <v>08082461008</v>
      </c>
      <c r="D292" t="str">
        <f t="shared" si="33"/>
        <v>08082461008</v>
      </c>
      <c r="E292" t="s">
        <v>52</v>
      </c>
      <c r="F292">
        <v>2015</v>
      </c>
      <c r="G292" t="str">
        <f>"            15054074"</f>
        <v xml:space="preserve">            15054074</v>
      </c>
      <c r="H292" s="3">
        <v>42101</v>
      </c>
      <c r="I292" s="3">
        <v>42172</v>
      </c>
      <c r="J292" s="3">
        <v>42171</v>
      </c>
      <c r="K292" s="3">
        <v>42231</v>
      </c>
      <c r="L292"/>
      <c r="N292"/>
      <c r="O292">
        <v>44</v>
      </c>
      <c r="P292">
        <v>222</v>
      </c>
      <c r="Q292" s="4">
        <v>9768</v>
      </c>
      <c r="R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 s="3">
        <v>42562</v>
      </c>
      <c r="AC292" t="s">
        <v>53</v>
      </c>
      <c r="AD292" t="s">
        <v>53</v>
      </c>
      <c r="AK292">
        <v>0</v>
      </c>
      <c r="AU292" s="3">
        <v>42453</v>
      </c>
      <c r="AV292" s="3">
        <v>42453</v>
      </c>
      <c r="AW292" t="s">
        <v>54</v>
      </c>
      <c r="AX292" t="str">
        <f t="shared" si="31"/>
        <v>FOR</v>
      </c>
      <c r="AY292" t="s">
        <v>55</v>
      </c>
    </row>
    <row r="293" spans="1:51" hidden="1">
      <c r="A293">
        <v>100210</v>
      </c>
      <c r="B293" t="s">
        <v>88</v>
      </c>
      <c r="C293" t="str">
        <f t="shared" si="33"/>
        <v>08082461008</v>
      </c>
      <c r="D293" t="str">
        <f t="shared" si="33"/>
        <v>08082461008</v>
      </c>
      <c r="E293" t="s">
        <v>52</v>
      </c>
      <c r="F293">
        <v>2015</v>
      </c>
      <c r="G293" t="str">
        <f>"            15054077"</f>
        <v xml:space="preserve">            15054077</v>
      </c>
      <c r="H293" s="3">
        <v>42101</v>
      </c>
      <c r="I293" s="3">
        <v>42172</v>
      </c>
      <c r="J293" s="3">
        <v>42171</v>
      </c>
      <c r="K293" s="3">
        <v>42231</v>
      </c>
      <c r="L293"/>
      <c r="N293"/>
      <c r="O293">
        <v>44</v>
      </c>
      <c r="P293">
        <v>222</v>
      </c>
      <c r="Q293" s="4">
        <v>9768</v>
      </c>
      <c r="R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 s="3">
        <v>42562</v>
      </c>
      <c r="AC293" t="s">
        <v>53</v>
      </c>
      <c r="AD293" t="s">
        <v>53</v>
      </c>
      <c r="AK293">
        <v>0</v>
      </c>
      <c r="AU293" s="3">
        <v>42453</v>
      </c>
      <c r="AV293" s="3">
        <v>42453</v>
      </c>
      <c r="AW293" t="s">
        <v>54</v>
      </c>
      <c r="AX293" t="str">
        <f t="shared" si="31"/>
        <v>FOR</v>
      </c>
      <c r="AY293" t="s">
        <v>55</v>
      </c>
    </row>
    <row r="294" spans="1:51" hidden="1">
      <c r="A294">
        <v>100210</v>
      </c>
      <c r="B294" t="s">
        <v>88</v>
      </c>
      <c r="C294" t="str">
        <f t="shared" si="33"/>
        <v>08082461008</v>
      </c>
      <c r="D294" t="str">
        <f t="shared" si="33"/>
        <v>08082461008</v>
      </c>
      <c r="E294" t="s">
        <v>52</v>
      </c>
      <c r="F294">
        <v>2015</v>
      </c>
      <c r="G294" t="str">
        <f>"            15054079"</f>
        <v xml:space="preserve">            15054079</v>
      </c>
      <c r="H294" s="3">
        <v>42101</v>
      </c>
      <c r="I294" s="3">
        <v>42123</v>
      </c>
      <c r="J294" s="3">
        <v>42123</v>
      </c>
      <c r="K294" s="3">
        <v>42183</v>
      </c>
      <c r="L294"/>
      <c r="N294"/>
      <c r="O294">
        <v>44</v>
      </c>
      <c r="P294">
        <v>270</v>
      </c>
      <c r="Q294" s="4">
        <v>11880</v>
      </c>
      <c r="R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 s="3">
        <v>42562</v>
      </c>
      <c r="AC294" t="s">
        <v>53</v>
      </c>
      <c r="AD294" t="s">
        <v>53</v>
      </c>
      <c r="AK294">
        <v>0</v>
      </c>
      <c r="AU294" s="3">
        <v>42453</v>
      </c>
      <c r="AV294" s="3">
        <v>42453</v>
      </c>
      <c r="AW294" t="s">
        <v>54</v>
      </c>
      <c r="AX294" t="str">
        <f t="shared" si="31"/>
        <v>FOR</v>
      </c>
      <c r="AY294" t="s">
        <v>55</v>
      </c>
    </row>
    <row r="295" spans="1:51" hidden="1">
      <c r="A295">
        <v>100210</v>
      </c>
      <c r="B295" t="s">
        <v>88</v>
      </c>
      <c r="C295" t="str">
        <f t="shared" si="33"/>
        <v>08082461008</v>
      </c>
      <c r="D295" t="str">
        <f t="shared" si="33"/>
        <v>08082461008</v>
      </c>
      <c r="E295" t="s">
        <v>52</v>
      </c>
      <c r="F295">
        <v>2015</v>
      </c>
      <c r="G295" t="str">
        <f>"            15054080"</f>
        <v xml:space="preserve">            15054080</v>
      </c>
      <c r="H295" s="3">
        <v>42101</v>
      </c>
      <c r="I295" s="3">
        <v>42172</v>
      </c>
      <c r="J295" s="3">
        <v>42171</v>
      </c>
      <c r="K295" s="3">
        <v>42231</v>
      </c>
      <c r="L295"/>
      <c r="N295"/>
      <c r="O295">
        <v>44</v>
      </c>
      <c r="P295">
        <v>222</v>
      </c>
      <c r="Q295" s="4">
        <v>9768</v>
      </c>
      <c r="R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 s="3">
        <v>42562</v>
      </c>
      <c r="AC295" t="s">
        <v>53</v>
      </c>
      <c r="AD295" t="s">
        <v>53</v>
      </c>
      <c r="AK295">
        <v>0</v>
      </c>
      <c r="AU295" s="3">
        <v>42453</v>
      </c>
      <c r="AV295" s="3">
        <v>42453</v>
      </c>
      <c r="AW295" t="s">
        <v>54</v>
      </c>
      <c r="AX295" t="str">
        <f t="shared" si="31"/>
        <v>FOR</v>
      </c>
      <c r="AY295" t="s">
        <v>55</v>
      </c>
    </row>
    <row r="296" spans="1:51" hidden="1">
      <c r="A296">
        <v>100210</v>
      </c>
      <c r="B296" t="s">
        <v>88</v>
      </c>
      <c r="C296" t="str">
        <f t="shared" si="33"/>
        <v>08082461008</v>
      </c>
      <c r="D296" t="str">
        <f t="shared" si="33"/>
        <v>08082461008</v>
      </c>
      <c r="E296" t="s">
        <v>52</v>
      </c>
      <c r="F296">
        <v>2015</v>
      </c>
      <c r="G296" t="str">
        <f>"            15054082"</f>
        <v xml:space="preserve">            15054082</v>
      </c>
      <c r="H296" s="3">
        <v>42101</v>
      </c>
      <c r="I296" s="3">
        <v>42139</v>
      </c>
      <c r="J296" s="3">
        <v>42137</v>
      </c>
      <c r="K296" s="3">
        <v>42197</v>
      </c>
      <c r="L296"/>
      <c r="N296"/>
      <c r="O296">
        <v>44</v>
      </c>
      <c r="P296">
        <v>256</v>
      </c>
      <c r="Q296" s="4">
        <v>11264</v>
      </c>
      <c r="R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 s="3">
        <v>42562</v>
      </c>
      <c r="AC296" t="s">
        <v>53</v>
      </c>
      <c r="AD296" t="s">
        <v>53</v>
      </c>
      <c r="AK296">
        <v>0</v>
      </c>
      <c r="AU296" s="3">
        <v>42453</v>
      </c>
      <c r="AV296" s="3">
        <v>42453</v>
      </c>
      <c r="AW296" t="s">
        <v>54</v>
      </c>
      <c r="AX296" t="str">
        <f t="shared" si="31"/>
        <v>FOR</v>
      </c>
      <c r="AY296" t="s">
        <v>55</v>
      </c>
    </row>
    <row r="297" spans="1:51" hidden="1">
      <c r="A297">
        <v>100210</v>
      </c>
      <c r="B297" t="s">
        <v>88</v>
      </c>
      <c r="C297" t="str">
        <f t="shared" si="33"/>
        <v>08082461008</v>
      </c>
      <c r="D297" t="str">
        <f t="shared" si="33"/>
        <v>08082461008</v>
      </c>
      <c r="E297" t="s">
        <v>52</v>
      </c>
      <c r="F297">
        <v>2015</v>
      </c>
      <c r="G297" t="str">
        <f>"            15054590"</f>
        <v xml:space="preserve">            15054590</v>
      </c>
      <c r="H297" s="3">
        <v>42101</v>
      </c>
      <c r="I297" s="3">
        <v>42172</v>
      </c>
      <c r="J297" s="3">
        <v>42171</v>
      </c>
      <c r="K297" s="3">
        <v>42231</v>
      </c>
      <c r="L297"/>
      <c r="N297"/>
      <c r="O297" s="4">
        <v>9774</v>
      </c>
      <c r="P297">
        <v>222</v>
      </c>
      <c r="Q297" s="4">
        <v>2169828</v>
      </c>
      <c r="R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 s="3">
        <v>42562</v>
      </c>
      <c r="AC297" t="s">
        <v>53</v>
      </c>
      <c r="AD297" t="s">
        <v>53</v>
      </c>
      <c r="AK297">
        <v>0</v>
      </c>
      <c r="AU297" s="3">
        <v>42453</v>
      </c>
      <c r="AV297" s="3">
        <v>42453</v>
      </c>
      <c r="AW297" t="s">
        <v>54</v>
      </c>
      <c r="AX297" t="str">
        <f t="shared" si="31"/>
        <v>FOR</v>
      </c>
      <c r="AY297" t="s">
        <v>55</v>
      </c>
    </row>
    <row r="298" spans="1:51" hidden="1">
      <c r="A298">
        <v>100210</v>
      </c>
      <c r="B298" t="s">
        <v>88</v>
      </c>
      <c r="C298" t="str">
        <f t="shared" si="33"/>
        <v>08082461008</v>
      </c>
      <c r="D298" t="str">
        <f t="shared" si="33"/>
        <v>08082461008</v>
      </c>
      <c r="E298" t="s">
        <v>52</v>
      </c>
      <c r="F298">
        <v>2015</v>
      </c>
      <c r="G298" t="str">
        <f>"            15056829"</f>
        <v xml:space="preserve">            15056829</v>
      </c>
      <c r="H298" s="3">
        <v>42104</v>
      </c>
      <c r="I298" s="3">
        <v>42139</v>
      </c>
      <c r="J298" s="3">
        <v>42137</v>
      </c>
      <c r="K298" s="3">
        <v>42197</v>
      </c>
      <c r="L298"/>
      <c r="N298"/>
      <c r="O298" s="4">
        <v>1450</v>
      </c>
      <c r="P298">
        <v>256</v>
      </c>
      <c r="Q298" s="4">
        <v>371200</v>
      </c>
      <c r="R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 s="3">
        <v>42562</v>
      </c>
      <c r="AC298" t="s">
        <v>53</v>
      </c>
      <c r="AD298" t="s">
        <v>53</v>
      </c>
      <c r="AK298">
        <v>0</v>
      </c>
      <c r="AU298" s="3">
        <v>42453</v>
      </c>
      <c r="AV298" s="3">
        <v>42453</v>
      </c>
      <c r="AW298" t="s">
        <v>54</v>
      </c>
      <c r="AX298" t="str">
        <f t="shared" si="31"/>
        <v>FOR</v>
      </c>
      <c r="AY298" t="s">
        <v>55</v>
      </c>
    </row>
    <row r="299" spans="1:51" hidden="1">
      <c r="A299">
        <v>100210</v>
      </c>
      <c r="B299" t="s">
        <v>88</v>
      </c>
      <c r="C299" t="str">
        <f t="shared" si="33"/>
        <v>08082461008</v>
      </c>
      <c r="D299" t="str">
        <f t="shared" si="33"/>
        <v>08082461008</v>
      </c>
      <c r="E299" t="s">
        <v>52</v>
      </c>
      <c r="F299">
        <v>2015</v>
      </c>
      <c r="G299" t="str">
        <f>"            15056863"</f>
        <v xml:space="preserve">            15056863</v>
      </c>
      <c r="H299" s="3">
        <v>42104</v>
      </c>
      <c r="I299" s="3">
        <v>42139</v>
      </c>
      <c r="J299" s="3">
        <v>42137</v>
      </c>
      <c r="K299" s="3">
        <v>42197</v>
      </c>
      <c r="L299"/>
      <c r="N299"/>
      <c r="O299" s="4">
        <v>5690.15</v>
      </c>
      <c r="P299">
        <v>256</v>
      </c>
      <c r="Q299" s="4">
        <v>1456678.4</v>
      </c>
      <c r="R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 s="3">
        <v>42562</v>
      </c>
      <c r="AC299" t="s">
        <v>53</v>
      </c>
      <c r="AD299" t="s">
        <v>53</v>
      </c>
      <c r="AK299">
        <v>0</v>
      </c>
      <c r="AU299" s="3">
        <v>42453</v>
      </c>
      <c r="AV299" s="3">
        <v>42453</v>
      </c>
      <c r="AW299" t="s">
        <v>54</v>
      </c>
      <c r="AX299" t="str">
        <f t="shared" si="31"/>
        <v>FOR</v>
      </c>
      <c r="AY299" t="s">
        <v>55</v>
      </c>
    </row>
    <row r="300" spans="1:51" hidden="1">
      <c r="A300">
        <v>100210</v>
      </c>
      <c r="B300" t="s">
        <v>88</v>
      </c>
      <c r="C300" t="str">
        <f t="shared" si="33"/>
        <v>08082461008</v>
      </c>
      <c r="D300" t="str">
        <f t="shared" si="33"/>
        <v>08082461008</v>
      </c>
      <c r="E300" t="s">
        <v>52</v>
      </c>
      <c r="F300">
        <v>2015</v>
      </c>
      <c r="G300" t="str">
        <f>"            15057251"</f>
        <v xml:space="preserve">            15057251</v>
      </c>
      <c r="H300" s="3">
        <v>42107</v>
      </c>
      <c r="I300" s="3">
        <v>42139</v>
      </c>
      <c r="J300" s="3">
        <v>42137</v>
      </c>
      <c r="K300" s="3">
        <v>42197</v>
      </c>
      <c r="L300"/>
      <c r="N300"/>
      <c r="O300" s="4">
        <v>3000</v>
      </c>
      <c r="P300">
        <v>256</v>
      </c>
      <c r="Q300" s="4">
        <v>768000</v>
      </c>
      <c r="R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 s="3">
        <v>42562</v>
      </c>
      <c r="AC300" t="s">
        <v>53</v>
      </c>
      <c r="AD300" t="s">
        <v>53</v>
      </c>
      <c r="AK300">
        <v>0</v>
      </c>
      <c r="AU300" s="3">
        <v>42453</v>
      </c>
      <c r="AV300" s="3">
        <v>42453</v>
      </c>
      <c r="AW300" t="s">
        <v>54</v>
      </c>
      <c r="AX300" t="str">
        <f t="shared" si="31"/>
        <v>FOR</v>
      </c>
      <c r="AY300" t="s">
        <v>55</v>
      </c>
    </row>
    <row r="301" spans="1:51" hidden="1">
      <c r="A301">
        <v>100210</v>
      </c>
      <c r="B301" t="s">
        <v>88</v>
      </c>
      <c r="C301" t="str">
        <f t="shared" si="33"/>
        <v>08082461008</v>
      </c>
      <c r="D301" t="str">
        <f t="shared" si="33"/>
        <v>08082461008</v>
      </c>
      <c r="E301" t="s">
        <v>52</v>
      </c>
      <c r="F301">
        <v>2015</v>
      </c>
      <c r="G301" t="str">
        <f>"            15058573"</f>
        <v xml:space="preserve">            15058573</v>
      </c>
      <c r="H301" s="3">
        <v>42109</v>
      </c>
      <c r="I301" s="3">
        <v>42123</v>
      </c>
      <c r="J301" s="3">
        <v>42123</v>
      </c>
      <c r="K301" s="3">
        <v>42183</v>
      </c>
      <c r="L301"/>
      <c r="N301"/>
      <c r="O301" s="4">
        <v>2594.1999999999998</v>
      </c>
      <c r="P301">
        <v>270</v>
      </c>
      <c r="Q301" s="4">
        <v>700434</v>
      </c>
      <c r="R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 s="3">
        <v>42562</v>
      </c>
      <c r="AC301" t="s">
        <v>53</v>
      </c>
      <c r="AD301" t="s">
        <v>53</v>
      </c>
      <c r="AK301">
        <v>0</v>
      </c>
      <c r="AU301" s="3">
        <v>42453</v>
      </c>
      <c r="AV301" s="3">
        <v>42453</v>
      </c>
      <c r="AW301" t="s">
        <v>54</v>
      </c>
      <c r="AX301" t="str">
        <f t="shared" si="31"/>
        <v>FOR</v>
      </c>
      <c r="AY301" t="s">
        <v>55</v>
      </c>
    </row>
    <row r="302" spans="1:51" hidden="1">
      <c r="A302">
        <v>100210</v>
      </c>
      <c r="B302" t="s">
        <v>88</v>
      </c>
      <c r="C302" t="str">
        <f t="shared" si="33"/>
        <v>08082461008</v>
      </c>
      <c r="D302" t="str">
        <f t="shared" si="33"/>
        <v>08082461008</v>
      </c>
      <c r="E302" t="s">
        <v>52</v>
      </c>
      <c r="F302">
        <v>2015</v>
      </c>
      <c r="G302" t="str">
        <f>"            15061021"</f>
        <v xml:space="preserve">            15061021</v>
      </c>
      <c r="H302" s="3">
        <v>42114</v>
      </c>
      <c r="I302" s="3">
        <v>42139</v>
      </c>
      <c r="J302" s="3">
        <v>42137</v>
      </c>
      <c r="K302" s="3">
        <v>42197</v>
      </c>
      <c r="L302"/>
      <c r="N302"/>
      <c r="O302">
        <v>620</v>
      </c>
      <c r="P302">
        <v>256</v>
      </c>
      <c r="Q302" s="4">
        <v>158720</v>
      </c>
      <c r="R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 s="3">
        <v>42562</v>
      </c>
      <c r="AC302" t="s">
        <v>53</v>
      </c>
      <c r="AD302" t="s">
        <v>53</v>
      </c>
      <c r="AK302">
        <v>0</v>
      </c>
      <c r="AU302" s="3">
        <v>42453</v>
      </c>
      <c r="AV302" s="3">
        <v>42453</v>
      </c>
      <c r="AW302" t="s">
        <v>54</v>
      </c>
      <c r="AX302" t="str">
        <f t="shared" si="31"/>
        <v>FOR</v>
      </c>
      <c r="AY302" t="s">
        <v>55</v>
      </c>
    </row>
    <row r="303" spans="1:51" hidden="1">
      <c r="A303">
        <v>100210</v>
      </c>
      <c r="B303" t="s">
        <v>88</v>
      </c>
      <c r="C303" t="str">
        <f t="shared" si="33"/>
        <v>08082461008</v>
      </c>
      <c r="D303" t="str">
        <f t="shared" si="33"/>
        <v>08082461008</v>
      </c>
      <c r="E303" t="s">
        <v>52</v>
      </c>
      <c r="F303">
        <v>2015</v>
      </c>
      <c r="G303" t="str">
        <f>"            15061390"</f>
        <v xml:space="preserve">            15061390</v>
      </c>
      <c r="H303" s="3">
        <v>42114</v>
      </c>
      <c r="I303" s="3">
        <v>42123</v>
      </c>
      <c r="J303" s="3">
        <v>42123</v>
      </c>
      <c r="K303" s="3">
        <v>42183</v>
      </c>
      <c r="L303"/>
      <c r="N303"/>
      <c r="O303" s="4">
        <v>1064.8800000000001</v>
      </c>
      <c r="P303">
        <v>270</v>
      </c>
      <c r="Q303" s="4">
        <v>287517.59999999998</v>
      </c>
      <c r="R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 s="3">
        <v>42562</v>
      </c>
      <c r="AC303" t="s">
        <v>53</v>
      </c>
      <c r="AD303" t="s">
        <v>53</v>
      </c>
      <c r="AK303">
        <v>0</v>
      </c>
      <c r="AU303" s="3">
        <v>42453</v>
      </c>
      <c r="AV303" s="3">
        <v>42453</v>
      </c>
      <c r="AW303" t="s">
        <v>54</v>
      </c>
      <c r="AX303" t="str">
        <f t="shared" si="31"/>
        <v>FOR</v>
      </c>
      <c r="AY303" t="s">
        <v>55</v>
      </c>
    </row>
    <row r="304" spans="1:51" hidden="1">
      <c r="A304">
        <v>100210</v>
      </c>
      <c r="B304" t="s">
        <v>88</v>
      </c>
      <c r="C304" t="str">
        <f t="shared" si="33"/>
        <v>08082461008</v>
      </c>
      <c r="D304" t="str">
        <f t="shared" si="33"/>
        <v>08082461008</v>
      </c>
      <c r="E304" t="s">
        <v>52</v>
      </c>
      <c r="F304">
        <v>2015</v>
      </c>
      <c r="G304" t="str">
        <f>"            15061884"</f>
        <v xml:space="preserve">            15061884</v>
      </c>
      <c r="H304" s="3">
        <v>42115</v>
      </c>
      <c r="I304" s="3">
        <v>42123</v>
      </c>
      <c r="J304" s="3">
        <v>42123</v>
      </c>
      <c r="K304" s="3">
        <v>42183</v>
      </c>
      <c r="L304"/>
      <c r="N304"/>
      <c r="O304">
        <v>110</v>
      </c>
      <c r="P304">
        <v>270</v>
      </c>
      <c r="Q304" s="4">
        <v>29700</v>
      </c>
      <c r="R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 s="3">
        <v>42562</v>
      </c>
      <c r="AC304" t="s">
        <v>53</v>
      </c>
      <c r="AD304" t="s">
        <v>53</v>
      </c>
      <c r="AK304">
        <v>0</v>
      </c>
      <c r="AU304" s="3">
        <v>42453</v>
      </c>
      <c r="AV304" s="3">
        <v>42453</v>
      </c>
      <c r="AW304" t="s">
        <v>54</v>
      </c>
      <c r="AX304" t="str">
        <f t="shared" si="31"/>
        <v>FOR</v>
      </c>
      <c r="AY304" t="s">
        <v>55</v>
      </c>
    </row>
    <row r="305" spans="1:51" hidden="1">
      <c r="A305">
        <v>100210</v>
      </c>
      <c r="B305" t="s">
        <v>88</v>
      </c>
      <c r="C305" t="str">
        <f t="shared" si="33"/>
        <v>08082461008</v>
      </c>
      <c r="D305" t="str">
        <f t="shared" si="33"/>
        <v>08082461008</v>
      </c>
      <c r="E305" t="s">
        <v>52</v>
      </c>
      <c r="F305">
        <v>2015</v>
      </c>
      <c r="G305" t="str">
        <f>"            15061885"</f>
        <v xml:space="preserve">            15061885</v>
      </c>
      <c r="H305" s="3">
        <v>42115</v>
      </c>
      <c r="I305" s="3">
        <v>42142</v>
      </c>
      <c r="J305" s="3">
        <v>42137</v>
      </c>
      <c r="K305" s="3">
        <v>42197</v>
      </c>
      <c r="L305"/>
      <c r="N305"/>
      <c r="O305">
        <v>110</v>
      </c>
      <c r="P305">
        <v>256</v>
      </c>
      <c r="Q305" s="4">
        <v>28160</v>
      </c>
      <c r="R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 s="3">
        <v>42562</v>
      </c>
      <c r="AC305" t="s">
        <v>53</v>
      </c>
      <c r="AD305" t="s">
        <v>53</v>
      </c>
      <c r="AK305">
        <v>0</v>
      </c>
      <c r="AU305" s="3">
        <v>42453</v>
      </c>
      <c r="AV305" s="3">
        <v>42453</v>
      </c>
      <c r="AW305" t="s">
        <v>54</v>
      </c>
      <c r="AX305" t="str">
        <f t="shared" si="31"/>
        <v>FOR</v>
      </c>
      <c r="AY305" t="s">
        <v>55</v>
      </c>
    </row>
    <row r="306" spans="1:51" hidden="1">
      <c r="A306">
        <v>100210</v>
      </c>
      <c r="B306" t="s">
        <v>88</v>
      </c>
      <c r="C306" t="str">
        <f t="shared" si="33"/>
        <v>08082461008</v>
      </c>
      <c r="D306" t="str">
        <f t="shared" si="33"/>
        <v>08082461008</v>
      </c>
      <c r="E306" t="s">
        <v>52</v>
      </c>
      <c r="F306">
        <v>2015</v>
      </c>
      <c r="G306" t="str">
        <f>"            15061886"</f>
        <v xml:space="preserve">            15061886</v>
      </c>
      <c r="H306" s="3">
        <v>42115</v>
      </c>
      <c r="I306" s="3">
        <v>42123</v>
      </c>
      <c r="J306" s="3">
        <v>42123</v>
      </c>
      <c r="K306" s="3">
        <v>42183</v>
      </c>
      <c r="L306"/>
      <c r="N306"/>
      <c r="O306">
        <v>434.5</v>
      </c>
      <c r="P306">
        <v>270</v>
      </c>
      <c r="Q306" s="4">
        <v>117315</v>
      </c>
      <c r="R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 s="3">
        <v>42562</v>
      </c>
      <c r="AC306" t="s">
        <v>53</v>
      </c>
      <c r="AD306" t="s">
        <v>53</v>
      </c>
      <c r="AK306">
        <v>0</v>
      </c>
      <c r="AU306" s="3">
        <v>42453</v>
      </c>
      <c r="AV306" s="3">
        <v>42453</v>
      </c>
      <c r="AW306" t="s">
        <v>54</v>
      </c>
      <c r="AX306" t="str">
        <f t="shared" si="31"/>
        <v>FOR</v>
      </c>
      <c r="AY306" t="s">
        <v>55</v>
      </c>
    </row>
    <row r="307" spans="1:51" hidden="1">
      <c r="A307">
        <v>100210</v>
      </c>
      <c r="B307" t="s">
        <v>88</v>
      </c>
      <c r="C307" t="str">
        <f t="shared" ref="C307:D326" si="34">"08082461008"</f>
        <v>08082461008</v>
      </c>
      <c r="D307" t="str">
        <f t="shared" si="34"/>
        <v>08082461008</v>
      </c>
      <c r="E307" t="s">
        <v>52</v>
      </c>
      <c r="F307">
        <v>2015</v>
      </c>
      <c r="G307" t="str">
        <f>"            15061888"</f>
        <v xml:space="preserve">            15061888</v>
      </c>
      <c r="H307" s="3">
        <v>42115</v>
      </c>
      <c r="I307" s="3">
        <v>42123</v>
      </c>
      <c r="J307" s="3">
        <v>42123</v>
      </c>
      <c r="K307" s="3">
        <v>42183</v>
      </c>
      <c r="L307"/>
      <c r="N307"/>
      <c r="O307">
        <v>434.5</v>
      </c>
      <c r="P307">
        <v>270</v>
      </c>
      <c r="Q307" s="4">
        <v>117315</v>
      </c>
      <c r="R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 s="3">
        <v>42562</v>
      </c>
      <c r="AC307" t="s">
        <v>53</v>
      </c>
      <c r="AD307" t="s">
        <v>53</v>
      </c>
      <c r="AK307">
        <v>0</v>
      </c>
      <c r="AU307" s="3">
        <v>42453</v>
      </c>
      <c r="AV307" s="3">
        <v>42453</v>
      </c>
      <c r="AW307" t="s">
        <v>54</v>
      </c>
      <c r="AX307" t="str">
        <f t="shared" si="31"/>
        <v>FOR</v>
      </c>
      <c r="AY307" t="s">
        <v>55</v>
      </c>
    </row>
    <row r="308" spans="1:51" hidden="1">
      <c r="A308">
        <v>100210</v>
      </c>
      <c r="B308" t="s">
        <v>88</v>
      </c>
      <c r="C308" t="str">
        <f t="shared" si="34"/>
        <v>08082461008</v>
      </c>
      <c r="D308" t="str">
        <f t="shared" si="34"/>
        <v>08082461008</v>
      </c>
      <c r="E308" t="s">
        <v>52</v>
      </c>
      <c r="F308">
        <v>2015</v>
      </c>
      <c r="G308" t="str">
        <f>"            15061889"</f>
        <v xml:space="preserve">            15061889</v>
      </c>
      <c r="H308" s="3">
        <v>42115</v>
      </c>
      <c r="I308" s="3">
        <v>42139</v>
      </c>
      <c r="J308" s="3">
        <v>42137</v>
      </c>
      <c r="K308" s="3">
        <v>42197</v>
      </c>
      <c r="L308"/>
      <c r="N308"/>
      <c r="O308">
        <v>434.5</v>
      </c>
      <c r="P308">
        <v>256</v>
      </c>
      <c r="Q308" s="4">
        <v>111232</v>
      </c>
      <c r="R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 s="3">
        <v>42562</v>
      </c>
      <c r="AC308" t="s">
        <v>53</v>
      </c>
      <c r="AD308" t="s">
        <v>53</v>
      </c>
      <c r="AK308">
        <v>0</v>
      </c>
      <c r="AU308" s="3">
        <v>42453</v>
      </c>
      <c r="AV308" s="3">
        <v>42453</v>
      </c>
      <c r="AW308" t="s">
        <v>54</v>
      </c>
      <c r="AX308" t="str">
        <f t="shared" si="31"/>
        <v>FOR</v>
      </c>
      <c r="AY308" t="s">
        <v>55</v>
      </c>
    </row>
    <row r="309" spans="1:51" hidden="1">
      <c r="A309">
        <v>100210</v>
      </c>
      <c r="B309" t="s">
        <v>88</v>
      </c>
      <c r="C309" t="str">
        <f t="shared" si="34"/>
        <v>08082461008</v>
      </c>
      <c r="D309" t="str">
        <f t="shared" si="34"/>
        <v>08082461008</v>
      </c>
      <c r="E309" t="s">
        <v>52</v>
      </c>
      <c r="F309">
        <v>2015</v>
      </c>
      <c r="G309" t="str">
        <f>"            15061890"</f>
        <v xml:space="preserve">            15061890</v>
      </c>
      <c r="H309" s="3">
        <v>42115</v>
      </c>
      <c r="I309" s="3">
        <v>42123</v>
      </c>
      <c r="J309" s="3">
        <v>42123</v>
      </c>
      <c r="K309" s="3">
        <v>42183</v>
      </c>
      <c r="L309"/>
      <c r="N309"/>
      <c r="O309">
        <v>434.5</v>
      </c>
      <c r="P309">
        <v>270</v>
      </c>
      <c r="Q309" s="4">
        <v>117315</v>
      </c>
      <c r="R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 s="3">
        <v>42562</v>
      </c>
      <c r="AC309" t="s">
        <v>53</v>
      </c>
      <c r="AD309" t="s">
        <v>53</v>
      </c>
      <c r="AK309">
        <v>0</v>
      </c>
      <c r="AU309" s="3">
        <v>42453</v>
      </c>
      <c r="AV309" s="3">
        <v>42453</v>
      </c>
      <c r="AW309" t="s">
        <v>54</v>
      </c>
      <c r="AX309" t="str">
        <f t="shared" si="31"/>
        <v>FOR</v>
      </c>
      <c r="AY309" t="s">
        <v>55</v>
      </c>
    </row>
    <row r="310" spans="1:51" hidden="1">
      <c r="A310">
        <v>100210</v>
      </c>
      <c r="B310" t="s">
        <v>88</v>
      </c>
      <c r="C310" t="str">
        <f t="shared" si="34"/>
        <v>08082461008</v>
      </c>
      <c r="D310" t="str">
        <f t="shared" si="34"/>
        <v>08082461008</v>
      </c>
      <c r="E310" t="s">
        <v>52</v>
      </c>
      <c r="F310">
        <v>2015</v>
      </c>
      <c r="G310" t="str">
        <f>"            15061892"</f>
        <v xml:space="preserve">            15061892</v>
      </c>
      <c r="H310" s="3">
        <v>42115</v>
      </c>
      <c r="I310" s="3">
        <v>42139</v>
      </c>
      <c r="J310" s="3">
        <v>42137</v>
      </c>
      <c r="K310" s="3">
        <v>42197</v>
      </c>
      <c r="L310"/>
      <c r="N310"/>
      <c r="O310">
        <v>434.5</v>
      </c>
      <c r="P310">
        <v>256</v>
      </c>
      <c r="Q310" s="4">
        <v>111232</v>
      </c>
      <c r="R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s="3">
        <v>42562</v>
      </c>
      <c r="AC310" t="s">
        <v>53</v>
      </c>
      <c r="AD310" t="s">
        <v>53</v>
      </c>
      <c r="AK310">
        <v>0</v>
      </c>
      <c r="AU310" s="3">
        <v>42453</v>
      </c>
      <c r="AV310" s="3">
        <v>42453</v>
      </c>
      <c r="AW310" t="s">
        <v>54</v>
      </c>
      <c r="AX310" t="str">
        <f t="shared" si="31"/>
        <v>FOR</v>
      </c>
      <c r="AY310" t="s">
        <v>55</v>
      </c>
    </row>
    <row r="311" spans="1:51" hidden="1">
      <c r="A311">
        <v>100210</v>
      </c>
      <c r="B311" t="s">
        <v>88</v>
      </c>
      <c r="C311" t="str">
        <f t="shared" si="34"/>
        <v>08082461008</v>
      </c>
      <c r="D311" t="str">
        <f t="shared" si="34"/>
        <v>08082461008</v>
      </c>
      <c r="E311" t="s">
        <v>52</v>
      </c>
      <c r="F311">
        <v>2015</v>
      </c>
      <c r="G311" t="str">
        <f>"            15061893"</f>
        <v xml:space="preserve">            15061893</v>
      </c>
      <c r="H311" s="3">
        <v>42115</v>
      </c>
      <c r="I311" s="3">
        <v>42123</v>
      </c>
      <c r="J311" s="3">
        <v>42123</v>
      </c>
      <c r="K311" s="3">
        <v>42183</v>
      </c>
      <c r="L311"/>
      <c r="N311"/>
      <c r="O311">
        <v>434.5</v>
      </c>
      <c r="P311">
        <v>270</v>
      </c>
      <c r="Q311" s="4">
        <v>117315</v>
      </c>
      <c r="R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 s="3">
        <v>42562</v>
      </c>
      <c r="AC311" t="s">
        <v>53</v>
      </c>
      <c r="AD311" t="s">
        <v>53</v>
      </c>
      <c r="AK311">
        <v>0</v>
      </c>
      <c r="AU311" s="3">
        <v>42453</v>
      </c>
      <c r="AV311" s="3">
        <v>42453</v>
      </c>
      <c r="AW311" t="s">
        <v>54</v>
      </c>
      <c r="AX311" t="str">
        <f t="shared" si="31"/>
        <v>FOR</v>
      </c>
      <c r="AY311" t="s">
        <v>55</v>
      </c>
    </row>
    <row r="312" spans="1:51" hidden="1">
      <c r="A312">
        <v>100210</v>
      </c>
      <c r="B312" t="s">
        <v>88</v>
      </c>
      <c r="C312" t="str">
        <f t="shared" si="34"/>
        <v>08082461008</v>
      </c>
      <c r="D312" t="str">
        <f t="shared" si="34"/>
        <v>08082461008</v>
      </c>
      <c r="E312" t="s">
        <v>52</v>
      </c>
      <c r="F312">
        <v>2015</v>
      </c>
      <c r="G312" t="str">
        <f>"            15061894"</f>
        <v xml:space="preserve">            15061894</v>
      </c>
      <c r="H312" s="3">
        <v>42115</v>
      </c>
      <c r="I312" s="3">
        <v>42123</v>
      </c>
      <c r="J312" s="3">
        <v>42123</v>
      </c>
      <c r="K312" s="3">
        <v>42183</v>
      </c>
      <c r="L312"/>
      <c r="N312"/>
      <c r="O312">
        <v>44</v>
      </c>
      <c r="P312">
        <v>270</v>
      </c>
      <c r="Q312" s="4">
        <v>11880</v>
      </c>
      <c r="R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 s="3">
        <v>42562</v>
      </c>
      <c r="AC312" t="s">
        <v>53</v>
      </c>
      <c r="AD312" t="s">
        <v>53</v>
      </c>
      <c r="AK312">
        <v>0</v>
      </c>
      <c r="AU312" s="3">
        <v>42453</v>
      </c>
      <c r="AV312" s="3">
        <v>42453</v>
      </c>
      <c r="AW312" t="s">
        <v>54</v>
      </c>
      <c r="AX312" t="str">
        <f t="shared" ref="AX312:AX375" si="35">"FOR"</f>
        <v>FOR</v>
      </c>
      <c r="AY312" t="s">
        <v>55</v>
      </c>
    </row>
    <row r="313" spans="1:51" hidden="1">
      <c r="A313">
        <v>100210</v>
      </c>
      <c r="B313" t="s">
        <v>88</v>
      </c>
      <c r="C313" t="str">
        <f t="shared" si="34"/>
        <v>08082461008</v>
      </c>
      <c r="D313" t="str">
        <f t="shared" si="34"/>
        <v>08082461008</v>
      </c>
      <c r="E313" t="s">
        <v>52</v>
      </c>
      <c r="F313">
        <v>2015</v>
      </c>
      <c r="G313" t="str">
        <f>"            15061896"</f>
        <v xml:space="preserve">            15061896</v>
      </c>
      <c r="H313" s="3">
        <v>42115</v>
      </c>
      <c r="I313" s="3">
        <v>42123</v>
      </c>
      <c r="J313" s="3">
        <v>42123</v>
      </c>
      <c r="K313" s="3">
        <v>42183</v>
      </c>
      <c r="L313"/>
      <c r="N313"/>
      <c r="O313">
        <v>44</v>
      </c>
      <c r="P313">
        <v>270</v>
      </c>
      <c r="Q313" s="4">
        <v>11880</v>
      </c>
      <c r="R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 s="3">
        <v>42562</v>
      </c>
      <c r="AC313" t="s">
        <v>53</v>
      </c>
      <c r="AD313" t="s">
        <v>53</v>
      </c>
      <c r="AK313">
        <v>0</v>
      </c>
      <c r="AU313" s="3">
        <v>42453</v>
      </c>
      <c r="AV313" s="3">
        <v>42453</v>
      </c>
      <c r="AW313" t="s">
        <v>54</v>
      </c>
      <c r="AX313" t="str">
        <f t="shared" si="35"/>
        <v>FOR</v>
      </c>
      <c r="AY313" t="s">
        <v>55</v>
      </c>
    </row>
    <row r="314" spans="1:51" hidden="1">
      <c r="A314">
        <v>100210</v>
      </c>
      <c r="B314" t="s">
        <v>88</v>
      </c>
      <c r="C314" t="str">
        <f t="shared" si="34"/>
        <v>08082461008</v>
      </c>
      <c r="D314" t="str">
        <f t="shared" si="34"/>
        <v>08082461008</v>
      </c>
      <c r="E314" t="s">
        <v>52</v>
      </c>
      <c r="F314">
        <v>2015</v>
      </c>
      <c r="G314" t="str">
        <f>"            15061905"</f>
        <v xml:space="preserve">            15061905</v>
      </c>
      <c r="H314" s="3">
        <v>42115</v>
      </c>
      <c r="I314" s="3">
        <v>42123</v>
      </c>
      <c r="J314" s="3">
        <v>42123</v>
      </c>
      <c r="K314" s="3">
        <v>42183</v>
      </c>
      <c r="L314"/>
      <c r="N314"/>
      <c r="O314">
        <v>44</v>
      </c>
      <c r="P314">
        <v>270</v>
      </c>
      <c r="Q314" s="4">
        <v>11880</v>
      </c>
      <c r="R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 s="3">
        <v>42562</v>
      </c>
      <c r="AC314" t="s">
        <v>53</v>
      </c>
      <c r="AD314" t="s">
        <v>53</v>
      </c>
      <c r="AK314">
        <v>0</v>
      </c>
      <c r="AU314" s="3">
        <v>42453</v>
      </c>
      <c r="AV314" s="3">
        <v>42453</v>
      </c>
      <c r="AW314" t="s">
        <v>54</v>
      </c>
      <c r="AX314" t="str">
        <f t="shared" si="35"/>
        <v>FOR</v>
      </c>
      <c r="AY314" t="s">
        <v>55</v>
      </c>
    </row>
    <row r="315" spans="1:51" hidden="1">
      <c r="A315">
        <v>100210</v>
      </c>
      <c r="B315" t="s">
        <v>88</v>
      </c>
      <c r="C315" t="str">
        <f t="shared" si="34"/>
        <v>08082461008</v>
      </c>
      <c r="D315" t="str">
        <f t="shared" si="34"/>
        <v>08082461008</v>
      </c>
      <c r="E315" t="s">
        <v>52</v>
      </c>
      <c r="F315">
        <v>2015</v>
      </c>
      <c r="G315" t="str">
        <f>"            15061906"</f>
        <v xml:space="preserve">            15061906</v>
      </c>
      <c r="H315" s="3">
        <v>42115</v>
      </c>
      <c r="I315" s="3">
        <v>42123</v>
      </c>
      <c r="J315" s="3">
        <v>42123</v>
      </c>
      <c r="K315" s="3">
        <v>42183</v>
      </c>
      <c r="L315"/>
      <c r="N315"/>
      <c r="O315">
        <v>44</v>
      </c>
      <c r="P315">
        <v>270</v>
      </c>
      <c r="Q315" s="4">
        <v>11880</v>
      </c>
      <c r="R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 s="3">
        <v>42562</v>
      </c>
      <c r="AC315" t="s">
        <v>53</v>
      </c>
      <c r="AD315" t="s">
        <v>53</v>
      </c>
      <c r="AK315">
        <v>0</v>
      </c>
      <c r="AU315" s="3">
        <v>42453</v>
      </c>
      <c r="AV315" s="3">
        <v>42453</v>
      </c>
      <c r="AW315" t="s">
        <v>54</v>
      </c>
      <c r="AX315" t="str">
        <f t="shared" si="35"/>
        <v>FOR</v>
      </c>
      <c r="AY315" t="s">
        <v>55</v>
      </c>
    </row>
    <row r="316" spans="1:51" hidden="1">
      <c r="A316">
        <v>100210</v>
      </c>
      <c r="B316" t="s">
        <v>88</v>
      </c>
      <c r="C316" t="str">
        <f t="shared" si="34"/>
        <v>08082461008</v>
      </c>
      <c r="D316" t="str">
        <f t="shared" si="34"/>
        <v>08082461008</v>
      </c>
      <c r="E316" t="s">
        <v>52</v>
      </c>
      <c r="F316">
        <v>2015</v>
      </c>
      <c r="G316" t="str">
        <f>"            15061908"</f>
        <v xml:space="preserve">            15061908</v>
      </c>
      <c r="H316" s="3">
        <v>42115</v>
      </c>
      <c r="I316" s="3">
        <v>42123</v>
      </c>
      <c r="J316" s="3">
        <v>42123</v>
      </c>
      <c r="K316" s="3">
        <v>42183</v>
      </c>
      <c r="L316"/>
      <c r="N316"/>
      <c r="O316">
        <v>44</v>
      </c>
      <c r="P316">
        <v>270</v>
      </c>
      <c r="Q316" s="4">
        <v>11880</v>
      </c>
      <c r="R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 s="3">
        <v>42562</v>
      </c>
      <c r="AC316" t="s">
        <v>53</v>
      </c>
      <c r="AD316" t="s">
        <v>53</v>
      </c>
      <c r="AK316">
        <v>0</v>
      </c>
      <c r="AU316" s="3">
        <v>42453</v>
      </c>
      <c r="AV316" s="3">
        <v>42453</v>
      </c>
      <c r="AW316" t="s">
        <v>54</v>
      </c>
      <c r="AX316" t="str">
        <f t="shared" si="35"/>
        <v>FOR</v>
      </c>
      <c r="AY316" t="s">
        <v>55</v>
      </c>
    </row>
    <row r="317" spans="1:51" hidden="1">
      <c r="A317">
        <v>100210</v>
      </c>
      <c r="B317" t="s">
        <v>88</v>
      </c>
      <c r="C317" t="str">
        <f t="shared" si="34"/>
        <v>08082461008</v>
      </c>
      <c r="D317" t="str">
        <f t="shared" si="34"/>
        <v>08082461008</v>
      </c>
      <c r="E317" t="s">
        <v>52</v>
      </c>
      <c r="F317">
        <v>2015</v>
      </c>
      <c r="G317" t="str">
        <f>"            15061910"</f>
        <v xml:space="preserve">            15061910</v>
      </c>
      <c r="H317" s="3">
        <v>42115</v>
      </c>
      <c r="I317" s="3">
        <v>42123</v>
      </c>
      <c r="J317" s="3">
        <v>42123</v>
      </c>
      <c r="K317" s="3">
        <v>42183</v>
      </c>
      <c r="L317"/>
      <c r="N317"/>
      <c r="O317">
        <v>44</v>
      </c>
      <c r="P317">
        <v>270</v>
      </c>
      <c r="Q317" s="4">
        <v>11880</v>
      </c>
      <c r="R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 s="3">
        <v>42562</v>
      </c>
      <c r="AC317" t="s">
        <v>53</v>
      </c>
      <c r="AD317" t="s">
        <v>53</v>
      </c>
      <c r="AK317">
        <v>0</v>
      </c>
      <c r="AU317" s="3">
        <v>42453</v>
      </c>
      <c r="AV317" s="3">
        <v>42453</v>
      </c>
      <c r="AW317" t="s">
        <v>54</v>
      </c>
      <c r="AX317" t="str">
        <f t="shared" si="35"/>
        <v>FOR</v>
      </c>
      <c r="AY317" t="s">
        <v>55</v>
      </c>
    </row>
    <row r="318" spans="1:51" hidden="1">
      <c r="A318">
        <v>100210</v>
      </c>
      <c r="B318" t="s">
        <v>88</v>
      </c>
      <c r="C318" t="str">
        <f t="shared" si="34"/>
        <v>08082461008</v>
      </c>
      <c r="D318" t="str">
        <f t="shared" si="34"/>
        <v>08082461008</v>
      </c>
      <c r="E318" t="s">
        <v>52</v>
      </c>
      <c r="F318">
        <v>2015</v>
      </c>
      <c r="G318" t="str">
        <f>"            15062115"</f>
        <v xml:space="preserve">            15062115</v>
      </c>
      <c r="H318" s="3">
        <v>42115</v>
      </c>
      <c r="I318" s="3">
        <v>42123</v>
      </c>
      <c r="J318" s="3">
        <v>42123</v>
      </c>
      <c r="K318" s="3">
        <v>42183</v>
      </c>
      <c r="L318"/>
      <c r="N318"/>
      <c r="O318" s="4">
        <v>2305.6</v>
      </c>
      <c r="P318">
        <v>270</v>
      </c>
      <c r="Q318" s="4">
        <v>622512</v>
      </c>
      <c r="R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 s="3">
        <v>42562</v>
      </c>
      <c r="AC318" t="s">
        <v>53</v>
      </c>
      <c r="AD318" t="s">
        <v>53</v>
      </c>
      <c r="AK318">
        <v>0</v>
      </c>
      <c r="AU318" s="3">
        <v>42453</v>
      </c>
      <c r="AV318" s="3">
        <v>42453</v>
      </c>
      <c r="AW318" t="s">
        <v>54</v>
      </c>
      <c r="AX318" t="str">
        <f t="shared" si="35"/>
        <v>FOR</v>
      </c>
      <c r="AY318" t="s">
        <v>55</v>
      </c>
    </row>
    <row r="319" spans="1:51" hidden="1">
      <c r="A319">
        <v>100210</v>
      </c>
      <c r="B319" t="s">
        <v>88</v>
      </c>
      <c r="C319" t="str">
        <f t="shared" si="34"/>
        <v>08082461008</v>
      </c>
      <c r="D319" t="str">
        <f t="shared" si="34"/>
        <v>08082461008</v>
      </c>
      <c r="E319" t="s">
        <v>52</v>
      </c>
      <c r="F319">
        <v>2015</v>
      </c>
      <c r="G319" t="str">
        <f>"            15062181"</f>
        <v xml:space="preserve">            15062181</v>
      </c>
      <c r="H319" s="3">
        <v>42115</v>
      </c>
      <c r="I319" s="3">
        <v>42142</v>
      </c>
      <c r="J319" s="3">
        <v>42137</v>
      </c>
      <c r="K319" s="3">
        <v>42197</v>
      </c>
      <c r="L319"/>
      <c r="N319"/>
      <c r="O319" s="4">
        <v>4169.6400000000003</v>
      </c>
      <c r="P319">
        <v>256</v>
      </c>
      <c r="Q319" s="4">
        <v>1067427.8400000001</v>
      </c>
      <c r="R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 s="3">
        <v>42562</v>
      </c>
      <c r="AC319" t="s">
        <v>53</v>
      </c>
      <c r="AD319" t="s">
        <v>53</v>
      </c>
      <c r="AK319">
        <v>0</v>
      </c>
      <c r="AU319" s="3">
        <v>42453</v>
      </c>
      <c r="AV319" s="3">
        <v>42453</v>
      </c>
      <c r="AW319" t="s">
        <v>54</v>
      </c>
      <c r="AX319" t="str">
        <f t="shared" si="35"/>
        <v>FOR</v>
      </c>
      <c r="AY319" t="s">
        <v>55</v>
      </c>
    </row>
    <row r="320" spans="1:51" hidden="1">
      <c r="A320">
        <v>100210</v>
      </c>
      <c r="B320" t="s">
        <v>88</v>
      </c>
      <c r="C320" t="str">
        <f t="shared" si="34"/>
        <v>08082461008</v>
      </c>
      <c r="D320" t="str">
        <f t="shared" si="34"/>
        <v>08082461008</v>
      </c>
      <c r="E320" t="s">
        <v>52</v>
      </c>
      <c r="F320">
        <v>2015</v>
      </c>
      <c r="G320" t="str">
        <f>"            15062381"</f>
        <v xml:space="preserve">            15062381</v>
      </c>
      <c r="H320" s="3">
        <v>42115</v>
      </c>
      <c r="I320" s="3">
        <v>42142</v>
      </c>
      <c r="J320" s="3">
        <v>42137</v>
      </c>
      <c r="K320" s="3">
        <v>42197</v>
      </c>
      <c r="L320"/>
      <c r="N320"/>
      <c r="O320" s="4">
        <v>2594.1999999999998</v>
      </c>
      <c r="P320">
        <v>256</v>
      </c>
      <c r="Q320" s="4">
        <v>664115.19999999995</v>
      </c>
      <c r="R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 s="3">
        <v>42562</v>
      </c>
      <c r="AC320" t="s">
        <v>53</v>
      </c>
      <c r="AD320" t="s">
        <v>53</v>
      </c>
      <c r="AK320">
        <v>0</v>
      </c>
      <c r="AU320" s="3">
        <v>42453</v>
      </c>
      <c r="AV320" s="3">
        <v>42453</v>
      </c>
      <c r="AW320" t="s">
        <v>54</v>
      </c>
      <c r="AX320" t="str">
        <f t="shared" si="35"/>
        <v>FOR</v>
      </c>
      <c r="AY320" t="s">
        <v>55</v>
      </c>
    </row>
    <row r="321" spans="1:51" hidden="1">
      <c r="A321">
        <v>100210</v>
      </c>
      <c r="B321" t="s">
        <v>88</v>
      </c>
      <c r="C321" t="str">
        <f t="shared" si="34"/>
        <v>08082461008</v>
      </c>
      <c r="D321" t="str">
        <f t="shared" si="34"/>
        <v>08082461008</v>
      </c>
      <c r="E321" t="s">
        <v>52</v>
      </c>
      <c r="F321">
        <v>2015</v>
      </c>
      <c r="G321" t="str">
        <f>"            15067526"</f>
        <v xml:space="preserve">            15067526</v>
      </c>
      <c r="H321" s="3">
        <v>42122</v>
      </c>
      <c r="I321" s="3">
        <v>42158</v>
      </c>
      <c r="J321" s="3">
        <v>42153</v>
      </c>
      <c r="K321" s="3">
        <v>42213</v>
      </c>
      <c r="L321"/>
      <c r="N321"/>
      <c r="O321" s="4">
        <v>4386</v>
      </c>
      <c r="P321">
        <v>240</v>
      </c>
      <c r="Q321" s="4">
        <v>1052640</v>
      </c>
      <c r="R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 s="3">
        <v>42562</v>
      </c>
      <c r="AC321" t="s">
        <v>53</v>
      </c>
      <c r="AD321" t="s">
        <v>53</v>
      </c>
      <c r="AK321">
        <v>0</v>
      </c>
      <c r="AU321" s="3">
        <v>42453</v>
      </c>
      <c r="AV321" s="3">
        <v>42453</v>
      </c>
      <c r="AW321" t="s">
        <v>54</v>
      </c>
      <c r="AX321" t="str">
        <f t="shared" si="35"/>
        <v>FOR</v>
      </c>
      <c r="AY321" t="s">
        <v>55</v>
      </c>
    </row>
    <row r="322" spans="1:51" hidden="1">
      <c r="A322">
        <v>100210</v>
      </c>
      <c r="B322" t="s">
        <v>88</v>
      </c>
      <c r="C322" t="str">
        <f t="shared" si="34"/>
        <v>08082461008</v>
      </c>
      <c r="D322" t="str">
        <f t="shared" si="34"/>
        <v>08082461008</v>
      </c>
      <c r="E322" t="s">
        <v>52</v>
      </c>
      <c r="F322">
        <v>2015</v>
      </c>
      <c r="G322" t="str">
        <f>"            15067568"</f>
        <v xml:space="preserve">            15067568</v>
      </c>
      <c r="H322" s="3">
        <v>42122</v>
      </c>
      <c r="I322" s="3">
        <v>42158</v>
      </c>
      <c r="J322" s="3">
        <v>42153</v>
      </c>
      <c r="K322" s="3">
        <v>42213</v>
      </c>
      <c r="L322"/>
      <c r="N322"/>
      <c r="O322" s="4">
        <v>1841.76</v>
      </c>
      <c r="P322">
        <v>240</v>
      </c>
      <c r="Q322" s="4">
        <v>442022.40000000002</v>
      </c>
      <c r="R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 s="3">
        <v>42562</v>
      </c>
      <c r="AC322" t="s">
        <v>53</v>
      </c>
      <c r="AD322" t="s">
        <v>53</v>
      </c>
      <c r="AK322">
        <v>0</v>
      </c>
      <c r="AU322" s="3">
        <v>42453</v>
      </c>
      <c r="AV322" s="3">
        <v>42453</v>
      </c>
      <c r="AW322" t="s">
        <v>54</v>
      </c>
      <c r="AX322" t="str">
        <f t="shared" si="35"/>
        <v>FOR</v>
      </c>
      <c r="AY322" t="s">
        <v>55</v>
      </c>
    </row>
    <row r="323" spans="1:51" hidden="1">
      <c r="A323">
        <v>100210</v>
      </c>
      <c r="B323" t="s">
        <v>88</v>
      </c>
      <c r="C323" t="str">
        <f t="shared" si="34"/>
        <v>08082461008</v>
      </c>
      <c r="D323" t="str">
        <f t="shared" si="34"/>
        <v>08082461008</v>
      </c>
      <c r="E323" t="s">
        <v>52</v>
      </c>
      <c r="F323">
        <v>2015</v>
      </c>
      <c r="G323" t="str">
        <f>"            15068146"</f>
        <v xml:space="preserve">            15068146</v>
      </c>
      <c r="H323" s="3">
        <v>42123</v>
      </c>
      <c r="I323" s="3">
        <v>42124</v>
      </c>
      <c r="J323" s="3">
        <v>42124</v>
      </c>
      <c r="K323" s="3">
        <v>42184</v>
      </c>
      <c r="L323"/>
      <c r="N323"/>
      <c r="O323">
        <v>620</v>
      </c>
      <c r="P323">
        <v>269</v>
      </c>
      <c r="Q323" s="4">
        <v>166780</v>
      </c>
      <c r="R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 s="3">
        <v>42562</v>
      </c>
      <c r="AC323" t="s">
        <v>53</v>
      </c>
      <c r="AD323" t="s">
        <v>53</v>
      </c>
      <c r="AK323">
        <v>0</v>
      </c>
      <c r="AU323" s="3">
        <v>42453</v>
      </c>
      <c r="AV323" s="3">
        <v>42453</v>
      </c>
      <c r="AW323" t="s">
        <v>54</v>
      </c>
      <c r="AX323" t="str">
        <f t="shared" si="35"/>
        <v>FOR</v>
      </c>
      <c r="AY323" t="s">
        <v>55</v>
      </c>
    </row>
    <row r="324" spans="1:51" hidden="1">
      <c r="A324">
        <v>100210</v>
      </c>
      <c r="B324" t="s">
        <v>88</v>
      </c>
      <c r="C324" t="str">
        <f t="shared" si="34"/>
        <v>08082461008</v>
      </c>
      <c r="D324" t="str">
        <f t="shared" si="34"/>
        <v>08082461008</v>
      </c>
      <c r="E324" t="s">
        <v>52</v>
      </c>
      <c r="F324">
        <v>2015</v>
      </c>
      <c r="G324" t="str">
        <f>"            15069655"</f>
        <v xml:space="preserve">            15069655</v>
      </c>
      <c r="H324" s="3">
        <v>42128</v>
      </c>
      <c r="I324" s="3">
        <v>42129</v>
      </c>
      <c r="J324" s="3">
        <v>42129</v>
      </c>
      <c r="K324" s="3">
        <v>42189</v>
      </c>
      <c r="L324"/>
      <c r="N324"/>
      <c r="O324">
        <v>199.8</v>
      </c>
      <c r="P324">
        <v>264</v>
      </c>
      <c r="Q324" s="4">
        <v>52747.199999999997</v>
      </c>
      <c r="R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 s="3">
        <v>42562</v>
      </c>
      <c r="AC324" t="s">
        <v>53</v>
      </c>
      <c r="AD324" t="s">
        <v>53</v>
      </c>
      <c r="AK324">
        <v>0</v>
      </c>
      <c r="AU324" s="3">
        <v>42453</v>
      </c>
      <c r="AV324" s="3">
        <v>42453</v>
      </c>
      <c r="AW324" t="s">
        <v>54</v>
      </c>
      <c r="AX324" t="str">
        <f t="shared" si="35"/>
        <v>FOR</v>
      </c>
      <c r="AY324" t="s">
        <v>55</v>
      </c>
    </row>
    <row r="325" spans="1:51" hidden="1">
      <c r="A325">
        <v>100210</v>
      </c>
      <c r="B325" t="s">
        <v>88</v>
      </c>
      <c r="C325" t="str">
        <f t="shared" si="34"/>
        <v>08082461008</v>
      </c>
      <c r="D325" t="str">
        <f t="shared" si="34"/>
        <v>08082461008</v>
      </c>
      <c r="E325" t="s">
        <v>52</v>
      </c>
      <c r="F325">
        <v>2015</v>
      </c>
      <c r="G325" t="str">
        <f>"            15069661"</f>
        <v xml:space="preserve">            15069661</v>
      </c>
      <c r="H325" s="3">
        <v>42128</v>
      </c>
      <c r="I325" s="3">
        <v>42129</v>
      </c>
      <c r="J325" s="3">
        <v>42129</v>
      </c>
      <c r="K325" s="3">
        <v>42189</v>
      </c>
      <c r="L325"/>
      <c r="N325"/>
      <c r="O325">
        <v>399.6</v>
      </c>
      <c r="P325">
        <v>264</v>
      </c>
      <c r="Q325" s="4">
        <v>105494.39999999999</v>
      </c>
      <c r="R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 s="3">
        <v>42562</v>
      </c>
      <c r="AC325" t="s">
        <v>53</v>
      </c>
      <c r="AD325" t="s">
        <v>53</v>
      </c>
      <c r="AK325">
        <v>0</v>
      </c>
      <c r="AU325" s="3">
        <v>42453</v>
      </c>
      <c r="AV325" s="3">
        <v>42453</v>
      </c>
      <c r="AW325" t="s">
        <v>54</v>
      </c>
      <c r="AX325" t="str">
        <f t="shared" si="35"/>
        <v>FOR</v>
      </c>
      <c r="AY325" t="s">
        <v>55</v>
      </c>
    </row>
    <row r="326" spans="1:51" hidden="1">
      <c r="A326">
        <v>100210</v>
      </c>
      <c r="B326" t="s">
        <v>88</v>
      </c>
      <c r="C326" t="str">
        <f t="shared" si="34"/>
        <v>08082461008</v>
      </c>
      <c r="D326" t="str">
        <f t="shared" si="34"/>
        <v>08082461008</v>
      </c>
      <c r="E326" t="s">
        <v>52</v>
      </c>
      <c r="F326">
        <v>2015</v>
      </c>
      <c r="G326" t="str">
        <f>"            15071172"</f>
        <v xml:space="preserve">            15071172</v>
      </c>
      <c r="H326" s="3">
        <v>42130</v>
      </c>
      <c r="I326" s="3">
        <v>42131</v>
      </c>
      <c r="J326" s="3">
        <v>42131</v>
      </c>
      <c r="K326" s="3">
        <v>42191</v>
      </c>
      <c r="L326"/>
      <c r="N326"/>
      <c r="O326">
        <v>620</v>
      </c>
      <c r="P326">
        <v>262</v>
      </c>
      <c r="Q326" s="4">
        <v>162440</v>
      </c>
      <c r="R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 s="3">
        <v>42562</v>
      </c>
      <c r="AC326" t="s">
        <v>53</v>
      </c>
      <c r="AD326" t="s">
        <v>53</v>
      </c>
      <c r="AK326">
        <v>0</v>
      </c>
      <c r="AU326" s="3">
        <v>42453</v>
      </c>
      <c r="AV326" s="3">
        <v>42453</v>
      </c>
      <c r="AW326" t="s">
        <v>54</v>
      </c>
      <c r="AX326" t="str">
        <f t="shared" si="35"/>
        <v>FOR</v>
      </c>
      <c r="AY326" t="s">
        <v>55</v>
      </c>
    </row>
    <row r="327" spans="1:51" hidden="1">
      <c r="A327">
        <v>100210</v>
      </c>
      <c r="B327" t="s">
        <v>88</v>
      </c>
      <c r="C327" t="str">
        <f t="shared" ref="C327:D346" si="36">"08082461008"</f>
        <v>08082461008</v>
      </c>
      <c r="D327" t="str">
        <f t="shared" si="36"/>
        <v>08082461008</v>
      </c>
      <c r="E327" t="s">
        <v>52</v>
      </c>
      <c r="F327">
        <v>2015</v>
      </c>
      <c r="G327" t="str">
        <f>"            15071173"</f>
        <v xml:space="preserve">            15071173</v>
      </c>
      <c r="H327" s="3">
        <v>42130</v>
      </c>
      <c r="I327" s="3">
        <v>42131</v>
      </c>
      <c r="J327" s="3">
        <v>42131</v>
      </c>
      <c r="K327" s="3">
        <v>42191</v>
      </c>
      <c r="L327"/>
      <c r="N327"/>
      <c r="O327">
        <v>620</v>
      </c>
      <c r="P327">
        <v>262</v>
      </c>
      <c r="Q327" s="4">
        <v>162440</v>
      </c>
      <c r="R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 s="3">
        <v>42562</v>
      </c>
      <c r="AC327" t="s">
        <v>53</v>
      </c>
      <c r="AD327" t="s">
        <v>53</v>
      </c>
      <c r="AK327">
        <v>0</v>
      </c>
      <c r="AU327" s="3">
        <v>42453</v>
      </c>
      <c r="AV327" s="3">
        <v>42453</v>
      </c>
      <c r="AW327" t="s">
        <v>54</v>
      </c>
      <c r="AX327" t="str">
        <f t="shared" si="35"/>
        <v>FOR</v>
      </c>
      <c r="AY327" t="s">
        <v>55</v>
      </c>
    </row>
    <row r="328" spans="1:51" hidden="1">
      <c r="A328">
        <v>100210</v>
      </c>
      <c r="B328" t="s">
        <v>88</v>
      </c>
      <c r="C328" t="str">
        <f t="shared" si="36"/>
        <v>08082461008</v>
      </c>
      <c r="D328" t="str">
        <f t="shared" si="36"/>
        <v>08082461008</v>
      </c>
      <c r="E328" t="s">
        <v>52</v>
      </c>
      <c r="F328">
        <v>2015</v>
      </c>
      <c r="G328" t="str">
        <f>"            15071174"</f>
        <v xml:space="preserve">            15071174</v>
      </c>
      <c r="H328" s="3">
        <v>42130</v>
      </c>
      <c r="I328" s="3">
        <v>42131</v>
      </c>
      <c r="J328" s="3">
        <v>42131</v>
      </c>
      <c r="K328" s="3">
        <v>42191</v>
      </c>
      <c r="L328"/>
      <c r="N328"/>
      <c r="O328">
        <v>620</v>
      </c>
      <c r="P328">
        <v>262</v>
      </c>
      <c r="Q328" s="4">
        <v>162440</v>
      </c>
      <c r="R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 s="3">
        <v>42562</v>
      </c>
      <c r="AC328" t="s">
        <v>53</v>
      </c>
      <c r="AD328" t="s">
        <v>53</v>
      </c>
      <c r="AK328">
        <v>0</v>
      </c>
      <c r="AU328" s="3">
        <v>42453</v>
      </c>
      <c r="AV328" s="3">
        <v>42453</v>
      </c>
      <c r="AW328" t="s">
        <v>54</v>
      </c>
      <c r="AX328" t="str">
        <f t="shared" si="35"/>
        <v>FOR</v>
      </c>
      <c r="AY328" t="s">
        <v>55</v>
      </c>
    </row>
    <row r="329" spans="1:51" hidden="1">
      <c r="A329">
        <v>100210</v>
      </c>
      <c r="B329" t="s">
        <v>88</v>
      </c>
      <c r="C329" t="str">
        <f t="shared" si="36"/>
        <v>08082461008</v>
      </c>
      <c r="D329" t="str">
        <f t="shared" si="36"/>
        <v>08082461008</v>
      </c>
      <c r="E329" t="s">
        <v>52</v>
      </c>
      <c r="F329">
        <v>2015</v>
      </c>
      <c r="G329" t="str">
        <f>"            15071265"</f>
        <v xml:space="preserve">            15071265</v>
      </c>
      <c r="H329" s="3">
        <v>42130</v>
      </c>
      <c r="I329" s="3">
        <v>42131</v>
      </c>
      <c r="J329" s="3">
        <v>42131</v>
      </c>
      <c r="K329" s="3">
        <v>42191</v>
      </c>
      <c r="L329"/>
      <c r="N329"/>
      <c r="O329" s="4">
        <v>2970</v>
      </c>
      <c r="P329">
        <v>262</v>
      </c>
      <c r="Q329" s="4">
        <v>778140</v>
      </c>
      <c r="R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 s="3">
        <v>42562</v>
      </c>
      <c r="AC329" t="s">
        <v>53</v>
      </c>
      <c r="AD329" t="s">
        <v>53</v>
      </c>
      <c r="AK329">
        <v>0</v>
      </c>
      <c r="AU329" s="3">
        <v>42453</v>
      </c>
      <c r="AV329" s="3">
        <v>42453</v>
      </c>
      <c r="AW329" t="s">
        <v>54</v>
      </c>
      <c r="AX329" t="str">
        <f t="shared" si="35"/>
        <v>FOR</v>
      </c>
      <c r="AY329" t="s">
        <v>55</v>
      </c>
    </row>
    <row r="330" spans="1:51" hidden="1">
      <c r="A330">
        <v>100210</v>
      </c>
      <c r="B330" t="s">
        <v>88</v>
      </c>
      <c r="C330" t="str">
        <f t="shared" si="36"/>
        <v>08082461008</v>
      </c>
      <c r="D330" t="str">
        <f t="shared" si="36"/>
        <v>08082461008</v>
      </c>
      <c r="E330" t="s">
        <v>52</v>
      </c>
      <c r="F330">
        <v>2015</v>
      </c>
      <c r="G330" t="str">
        <f>"            15071510"</f>
        <v xml:space="preserve">            15071510</v>
      </c>
      <c r="H330" s="3">
        <v>42130</v>
      </c>
      <c r="I330" s="3">
        <v>42131</v>
      </c>
      <c r="J330" s="3">
        <v>42131</v>
      </c>
      <c r="K330" s="3">
        <v>42191</v>
      </c>
      <c r="L330"/>
      <c r="N330"/>
      <c r="O330" s="4">
        <v>8556</v>
      </c>
      <c r="P330">
        <v>262</v>
      </c>
      <c r="Q330" s="4">
        <v>2241672</v>
      </c>
      <c r="R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 s="3">
        <v>42562</v>
      </c>
      <c r="AC330" t="s">
        <v>53</v>
      </c>
      <c r="AD330" t="s">
        <v>53</v>
      </c>
      <c r="AK330">
        <v>0</v>
      </c>
      <c r="AU330" s="3">
        <v>42453</v>
      </c>
      <c r="AV330" s="3">
        <v>42453</v>
      </c>
      <c r="AW330" t="s">
        <v>54</v>
      </c>
      <c r="AX330" t="str">
        <f t="shared" si="35"/>
        <v>FOR</v>
      </c>
      <c r="AY330" t="s">
        <v>55</v>
      </c>
    </row>
    <row r="331" spans="1:51" hidden="1">
      <c r="A331">
        <v>100210</v>
      </c>
      <c r="B331" t="s">
        <v>88</v>
      </c>
      <c r="C331" t="str">
        <f t="shared" si="36"/>
        <v>08082461008</v>
      </c>
      <c r="D331" t="str">
        <f t="shared" si="36"/>
        <v>08082461008</v>
      </c>
      <c r="E331" t="s">
        <v>52</v>
      </c>
      <c r="F331">
        <v>2015</v>
      </c>
      <c r="G331" t="str">
        <f>"            15074325"</f>
        <v xml:space="preserve">            15074325</v>
      </c>
      <c r="H331" s="3">
        <v>42135</v>
      </c>
      <c r="I331" s="3">
        <v>42178</v>
      </c>
      <c r="J331" s="3">
        <v>42177</v>
      </c>
      <c r="K331" s="3">
        <v>42237</v>
      </c>
      <c r="L331"/>
      <c r="N331"/>
      <c r="O331">
        <v>148.80000000000001</v>
      </c>
      <c r="P331">
        <v>216</v>
      </c>
      <c r="Q331" s="4">
        <v>32140.799999999999</v>
      </c>
      <c r="R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 s="3">
        <v>42562</v>
      </c>
      <c r="AC331" t="s">
        <v>53</v>
      </c>
      <c r="AD331" t="s">
        <v>53</v>
      </c>
      <c r="AK331">
        <v>0</v>
      </c>
      <c r="AU331" s="3">
        <v>42453</v>
      </c>
      <c r="AV331" s="3">
        <v>42453</v>
      </c>
      <c r="AW331" t="s">
        <v>54</v>
      </c>
      <c r="AX331" t="str">
        <f t="shared" si="35"/>
        <v>FOR</v>
      </c>
      <c r="AY331" t="s">
        <v>55</v>
      </c>
    </row>
    <row r="332" spans="1:51" hidden="1">
      <c r="A332">
        <v>100210</v>
      </c>
      <c r="B332" t="s">
        <v>88</v>
      </c>
      <c r="C332" t="str">
        <f t="shared" si="36"/>
        <v>08082461008</v>
      </c>
      <c r="D332" t="str">
        <f t="shared" si="36"/>
        <v>08082461008</v>
      </c>
      <c r="E332" t="s">
        <v>52</v>
      </c>
      <c r="F332">
        <v>2015</v>
      </c>
      <c r="G332" t="str">
        <f>"            15074885"</f>
        <v xml:space="preserve">            15074885</v>
      </c>
      <c r="H332" s="3">
        <v>42136</v>
      </c>
      <c r="I332" s="3">
        <v>42139</v>
      </c>
      <c r="J332" s="3">
        <v>42137</v>
      </c>
      <c r="K332" s="3">
        <v>42197</v>
      </c>
      <c r="L332"/>
      <c r="N332"/>
      <c r="O332">
        <v>620</v>
      </c>
      <c r="P332">
        <v>256</v>
      </c>
      <c r="Q332" s="4">
        <v>158720</v>
      </c>
      <c r="R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 s="3">
        <v>42562</v>
      </c>
      <c r="AC332" t="s">
        <v>53</v>
      </c>
      <c r="AD332" t="s">
        <v>53</v>
      </c>
      <c r="AK332">
        <v>0</v>
      </c>
      <c r="AU332" s="3">
        <v>42453</v>
      </c>
      <c r="AV332" s="3">
        <v>42453</v>
      </c>
      <c r="AW332" t="s">
        <v>54</v>
      </c>
      <c r="AX332" t="str">
        <f t="shared" si="35"/>
        <v>FOR</v>
      </c>
      <c r="AY332" t="s">
        <v>55</v>
      </c>
    </row>
    <row r="333" spans="1:51" hidden="1">
      <c r="A333">
        <v>100210</v>
      </c>
      <c r="B333" t="s">
        <v>88</v>
      </c>
      <c r="C333" t="str">
        <f t="shared" si="36"/>
        <v>08082461008</v>
      </c>
      <c r="D333" t="str">
        <f t="shared" si="36"/>
        <v>08082461008</v>
      </c>
      <c r="E333" t="s">
        <v>52</v>
      </c>
      <c r="F333">
        <v>2015</v>
      </c>
      <c r="G333" t="str">
        <f>"            15074886"</f>
        <v xml:space="preserve">            15074886</v>
      </c>
      <c r="H333" s="3">
        <v>42136</v>
      </c>
      <c r="I333" s="3">
        <v>42139</v>
      </c>
      <c r="J333" s="3">
        <v>42137</v>
      </c>
      <c r="K333" s="3">
        <v>42197</v>
      </c>
      <c r="L333"/>
      <c r="N333"/>
      <c r="O333">
        <v>620</v>
      </c>
      <c r="P333">
        <v>256</v>
      </c>
      <c r="Q333" s="4">
        <v>158720</v>
      </c>
      <c r="R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 s="3">
        <v>42562</v>
      </c>
      <c r="AC333" t="s">
        <v>53</v>
      </c>
      <c r="AD333" t="s">
        <v>53</v>
      </c>
      <c r="AK333">
        <v>0</v>
      </c>
      <c r="AU333" s="3">
        <v>42453</v>
      </c>
      <c r="AV333" s="3">
        <v>42453</v>
      </c>
      <c r="AW333" t="s">
        <v>54</v>
      </c>
      <c r="AX333" t="str">
        <f t="shared" si="35"/>
        <v>FOR</v>
      </c>
      <c r="AY333" t="s">
        <v>55</v>
      </c>
    </row>
    <row r="334" spans="1:51" hidden="1">
      <c r="A334">
        <v>100210</v>
      </c>
      <c r="B334" t="s">
        <v>88</v>
      </c>
      <c r="C334" t="str">
        <f t="shared" si="36"/>
        <v>08082461008</v>
      </c>
      <c r="D334" t="str">
        <f t="shared" si="36"/>
        <v>08082461008</v>
      </c>
      <c r="E334" t="s">
        <v>52</v>
      </c>
      <c r="F334">
        <v>2015</v>
      </c>
      <c r="G334" t="str">
        <f>"            15075016"</f>
        <v xml:space="preserve">            15075016</v>
      </c>
      <c r="H334" s="3">
        <v>42136</v>
      </c>
      <c r="I334" s="3">
        <v>42139</v>
      </c>
      <c r="J334" s="3">
        <v>42137</v>
      </c>
      <c r="K334" s="3">
        <v>42197</v>
      </c>
      <c r="L334"/>
      <c r="N334"/>
      <c r="O334">
        <v>594</v>
      </c>
      <c r="P334">
        <v>256</v>
      </c>
      <c r="Q334" s="4">
        <v>152064</v>
      </c>
      <c r="R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 s="3">
        <v>42562</v>
      </c>
      <c r="AC334" t="s">
        <v>53</v>
      </c>
      <c r="AD334" t="s">
        <v>53</v>
      </c>
      <c r="AK334">
        <v>0</v>
      </c>
      <c r="AU334" s="3">
        <v>42453</v>
      </c>
      <c r="AV334" s="3">
        <v>42453</v>
      </c>
      <c r="AW334" t="s">
        <v>54</v>
      </c>
      <c r="AX334" t="str">
        <f t="shared" si="35"/>
        <v>FOR</v>
      </c>
      <c r="AY334" t="s">
        <v>55</v>
      </c>
    </row>
    <row r="335" spans="1:51" hidden="1">
      <c r="A335">
        <v>100210</v>
      </c>
      <c r="B335" t="s">
        <v>88</v>
      </c>
      <c r="C335" t="str">
        <f t="shared" si="36"/>
        <v>08082461008</v>
      </c>
      <c r="D335" t="str">
        <f t="shared" si="36"/>
        <v>08082461008</v>
      </c>
      <c r="E335" t="s">
        <v>52</v>
      </c>
      <c r="F335">
        <v>2015</v>
      </c>
      <c r="G335" t="str">
        <f>"            15076222"</f>
        <v xml:space="preserve">            15076222</v>
      </c>
      <c r="H335" s="3">
        <v>42137</v>
      </c>
      <c r="I335" s="3">
        <v>42158</v>
      </c>
      <c r="J335" s="3">
        <v>42138</v>
      </c>
      <c r="K335" s="3">
        <v>42198</v>
      </c>
      <c r="L335"/>
      <c r="N335"/>
      <c r="O335" s="4">
        <v>7200</v>
      </c>
      <c r="P335">
        <v>255</v>
      </c>
      <c r="Q335" s="4">
        <v>1836000</v>
      </c>
      <c r="R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 s="3">
        <v>42562</v>
      </c>
      <c r="AC335" t="s">
        <v>53</v>
      </c>
      <c r="AD335" t="s">
        <v>53</v>
      </c>
      <c r="AK335">
        <v>0</v>
      </c>
      <c r="AU335" s="3">
        <v>42453</v>
      </c>
      <c r="AV335" s="3">
        <v>42453</v>
      </c>
      <c r="AW335" t="s">
        <v>54</v>
      </c>
      <c r="AX335" t="str">
        <f t="shared" si="35"/>
        <v>FOR</v>
      </c>
      <c r="AY335" t="s">
        <v>55</v>
      </c>
    </row>
    <row r="336" spans="1:51" hidden="1">
      <c r="A336">
        <v>100210</v>
      </c>
      <c r="B336" t="s">
        <v>88</v>
      </c>
      <c r="C336" t="str">
        <f t="shared" si="36"/>
        <v>08082461008</v>
      </c>
      <c r="D336" t="str">
        <f t="shared" si="36"/>
        <v>08082461008</v>
      </c>
      <c r="E336" t="s">
        <v>52</v>
      </c>
      <c r="F336">
        <v>2015</v>
      </c>
      <c r="G336" t="str">
        <f>"            15076860"</f>
        <v xml:space="preserve">            15076860</v>
      </c>
      <c r="H336" s="3">
        <v>42138</v>
      </c>
      <c r="I336" s="3">
        <v>42174</v>
      </c>
      <c r="J336" s="3">
        <v>42139</v>
      </c>
      <c r="K336" s="3">
        <v>42199</v>
      </c>
      <c r="L336"/>
      <c r="N336"/>
      <c r="O336" s="4">
        <v>2103.84</v>
      </c>
      <c r="P336">
        <v>254</v>
      </c>
      <c r="Q336" s="4">
        <v>534375.36</v>
      </c>
      <c r="R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 s="3">
        <v>42562</v>
      </c>
      <c r="AC336" t="s">
        <v>53</v>
      </c>
      <c r="AD336" t="s">
        <v>53</v>
      </c>
      <c r="AK336">
        <v>0</v>
      </c>
      <c r="AU336" s="3">
        <v>42453</v>
      </c>
      <c r="AV336" s="3">
        <v>42453</v>
      </c>
      <c r="AW336" t="s">
        <v>54</v>
      </c>
      <c r="AX336" t="str">
        <f t="shared" si="35"/>
        <v>FOR</v>
      </c>
      <c r="AY336" t="s">
        <v>55</v>
      </c>
    </row>
    <row r="337" spans="1:51" hidden="1">
      <c r="A337">
        <v>100210</v>
      </c>
      <c r="B337" t="s">
        <v>88</v>
      </c>
      <c r="C337" t="str">
        <f t="shared" si="36"/>
        <v>08082461008</v>
      </c>
      <c r="D337" t="str">
        <f t="shared" si="36"/>
        <v>08082461008</v>
      </c>
      <c r="E337" t="s">
        <v>52</v>
      </c>
      <c r="F337">
        <v>2015</v>
      </c>
      <c r="G337" t="str">
        <f>"            15076865"</f>
        <v xml:space="preserve">            15076865</v>
      </c>
      <c r="H337" s="3">
        <v>42138</v>
      </c>
      <c r="I337" s="3">
        <v>42174</v>
      </c>
      <c r="J337" s="3">
        <v>42139</v>
      </c>
      <c r="K337" s="3">
        <v>42199</v>
      </c>
      <c r="L337"/>
      <c r="N337"/>
      <c r="O337" s="4">
        <v>2903.4</v>
      </c>
      <c r="P337">
        <v>254</v>
      </c>
      <c r="Q337" s="4">
        <v>737463.6</v>
      </c>
      <c r="R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 s="3">
        <v>42562</v>
      </c>
      <c r="AC337" t="s">
        <v>53</v>
      </c>
      <c r="AD337" t="s">
        <v>53</v>
      </c>
      <c r="AK337">
        <v>0</v>
      </c>
      <c r="AU337" s="3">
        <v>42453</v>
      </c>
      <c r="AV337" s="3">
        <v>42453</v>
      </c>
      <c r="AW337" t="s">
        <v>54</v>
      </c>
      <c r="AX337" t="str">
        <f t="shared" si="35"/>
        <v>FOR</v>
      </c>
      <c r="AY337" t="s">
        <v>55</v>
      </c>
    </row>
    <row r="338" spans="1:51" hidden="1">
      <c r="A338">
        <v>100210</v>
      </c>
      <c r="B338" t="s">
        <v>88</v>
      </c>
      <c r="C338" t="str">
        <f t="shared" si="36"/>
        <v>08082461008</v>
      </c>
      <c r="D338" t="str">
        <f t="shared" si="36"/>
        <v>08082461008</v>
      </c>
      <c r="E338" t="s">
        <v>52</v>
      </c>
      <c r="F338">
        <v>2015</v>
      </c>
      <c r="G338" t="str">
        <f>"            15076876"</f>
        <v xml:space="preserve">            15076876</v>
      </c>
      <c r="H338" s="3">
        <v>42138</v>
      </c>
      <c r="I338" s="3">
        <v>42174</v>
      </c>
      <c r="J338" s="3">
        <v>42139</v>
      </c>
      <c r="K338" s="3">
        <v>42199</v>
      </c>
      <c r="L338"/>
      <c r="N338"/>
      <c r="O338" s="4">
        <v>1063.44</v>
      </c>
      <c r="P338">
        <v>254</v>
      </c>
      <c r="Q338" s="4">
        <v>270113.76</v>
      </c>
      <c r="R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 s="3">
        <v>42562</v>
      </c>
      <c r="AC338" t="s">
        <v>53</v>
      </c>
      <c r="AD338" t="s">
        <v>53</v>
      </c>
      <c r="AK338">
        <v>0</v>
      </c>
      <c r="AU338" s="3">
        <v>42453</v>
      </c>
      <c r="AV338" s="3">
        <v>42453</v>
      </c>
      <c r="AW338" t="s">
        <v>54</v>
      </c>
      <c r="AX338" t="str">
        <f t="shared" si="35"/>
        <v>FOR</v>
      </c>
      <c r="AY338" t="s">
        <v>55</v>
      </c>
    </row>
    <row r="339" spans="1:51" hidden="1">
      <c r="A339">
        <v>100210</v>
      </c>
      <c r="B339" t="s">
        <v>88</v>
      </c>
      <c r="C339" t="str">
        <f t="shared" si="36"/>
        <v>08082461008</v>
      </c>
      <c r="D339" t="str">
        <f t="shared" si="36"/>
        <v>08082461008</v>
      </c>
      <c r="E339" t="s">
        <v>52</v>
      </c>
      <c r="F339">
        <v>2015</v>
      </c>
      <c r="G339" t="str">
        <f>"            15076877"</f>
        <v xml:space="preserve">            15076877</v>
      </c>
      <c r="H339" s="3">
        <v>42138</v>
      </c>
      <c r="I339" s="3">
        <v>42174</v>
      </c>
      <c r="J339" s="3">
        <v>42139</v>
      </c>
      <c r="K339" s="3">
        <v>42199</v>
      </c>
      <c r="L339"/>
      <c r="N339"/>
      <c r="O339" s="4">
        <v>4284</v>
      </c>
      <c r="P339">
        <v>254</v>
      </c>
      <c r="Q339" s="4">
        <v>1088136</v>
      </c>
      <c r="R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 s="3">
        <v>42562</v>
      </c>
      <c r="AC339" t="s">
        <v>53</v>
      </c>
      <c r="AD339" t="s">
        <v>53</v>
      </c>
      <c r="AK339">
        <v>0</v>
      </c>
      <c r="AU339" s="3">
        <v>42453</v>
      </c>
      <c r="AV339" s="3">
        <v>42453</v>
      </c>
      <c r="AW339" t="s">
        <v>54</v>
      </c>
      <c r="AX339" t="str">
        <f t="shared" si="35"/>
        <v>FOR</v>
      </c>
      <c r="AY339" t="s">
        <v>55</v>
      </c>
    </row>
    <row r="340" spans="1:51" hidden="1">
      <c r="A340">
        <v>100210</v>
      </c>
      <c r="B340" t="s">
        <v>88</v>
      </c>
      <c r="C340" t="str">
        <f t="shared" si="36"/>
        <v>08082461008</v>
      </c>
      <c r="D340" t="str">
        <f t="shared" si="36"/>
        <v>08082461008</v>
      </c>
      <c r="E340" t="s">
        <v>52</v>
      </c>
      <c r="F340">
        <v>2015</v>
      </c>
      <c r="G340" t="str">
        <f>"            15076878"</f>
        <v xml:space="preserve">            15076878</v>
      </c>
      <c r="H340" s="3">
        <v>42138</v>
      </c>
      <c r="I340" s="3">
        <v>42174</v>
      </c>
      <c r="J340" s="3">
        <v>42139</v>
      </c>
      <c r="K340" s="3">
        <v>42199</v>
      </c>
      <c r="L340"/>
      <c r="N340"/>
      <c r="O340" s="4">
        <v>4453.2</v>
      </c>
      <c r="P340">
        <v>254</v>
      </c>
      <c r="Q340" s="4">
        <v>1131112.8</v>
      </c>
      <c r="R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 s="3">
        <v>42562</v>
      </c>
      <c r="AC340" t="s">
        <v>53</v>
      </c>
      <c r="AD340" t="s">
        <v>53</v>
      </c>
      <c r="AK340">
        <v>0</v>
      </c>
      <c r="AU340" s="3">
        <v>42453</v>
      </c>
      <c r="AV340" s="3">
        <v>42453</v>
      </c>
      <c r="AW340" t="s">
        <v>54</v>
      </c>
      <c r="AX340" t="str">
        <f t="shared" si="35"/>
        <v>FOR</v>
      </c>
      <c r="AY340" t="s">
        <v>55</v>
      </c>
    </row>
    <row r="341" spans="1:51" hidden="1">
      <c r="A341">
        <v>100210</v>
      </c>
      <c r="B341" t="s">
        <v>88</v>
      </c>
      <c r="C341" t="str">
        <f t="shared" si="36"/>
        <v>08082461008</v>
      </c>
      <c r="D341" t="str">
        <f t="shared" si="36"/>
        <v>08082461008</v>
      </c>
      <c r="E341" t="s">
        <v>52</v>
      </c>
      <c r="F341">
        <v>2015</v>
      </c>
      <c r="G341" t="str">
        <f>"            15076885"</f>
        <v xml:space="preserve">            15076885</v>
      </c>
      <c r="H341" s="3">
        <v>42138</v>
      </c>
      <c r="I341" s="3">
        <v>42174</v>
      </c>
      <c r="J341" s="3">
        <v>42139</v>
      </c>
      <c r="K341" s="3">
        <v>42199</v>
      </c>
      <c r="L341"/>
      <c r="N341"/>
      <c r="O341" s="4">
        <v>2674.8</v>
      </c>
      <c r="P341">
        <v>254</v>
      </c>
      <c r="Q341" s="4">
        <v>679399.2</v>
      </c>
      <c r="R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 s="3">
        <v>42562</v>
      </c>
      <c r="AC341" t="s">
        <v>53</v>
      </c>
      <c r="AD341" t="s">
        <v>53</v>
      </c>
      <c r="AK341">
        <v>0</v>
      </c>
      <c r="AU341" s="3">
        <v>42453</v>
      </c>
      <c r="AV341" s="3">
        <v>42453</v>
      </c>
      <c r="AW341" t="s">
        <v>54</v>
      </c>
      <c r="AX341" t="str">
        <f t="shared" si="35"/>
        <v>FOR</v>
      </c>
      <c r="AY341" t="s">
        <v>55</v>
      </c>
    </row>
    <row r="342" spans="1:51" hidden="1">
      <c r="A342">
        <v>100210</v>
      </c>
      <c r="B342" t="s">
        <v>88</v>
      </c>
      <c r="C342" t="str">
        <f t="shared" si="36"/>
        <v>08082461008</v>
      </c>
      <c r="D342" t="str">
        <f t="shared" si="36"/>
        <v>08082461008</v>
      </c>
      <c r="E342" t="s">
        <v>52</v>
      </c>
      <c r="F342">
        <v>2015</v>
      </c>
      <c r="G342" t="str">
        <f>"            15083697"</f>
        <v xml:space="preserve">            15083697</v>
      </c>
      <c r="H342" s="3">
        <v>42149</v>
      </c>
      <c r="I342" s="3">
        <v>42160</v>
      </c>
      <c r="J342" s="3">
        <v>42150</v>
      </c>
      <c r="K342" s="3">
        <v>42210</v>
      </c>
      <c r="L342"/>
      <c r="N342"/>
      <c r="O342">
        <v>620</v>
      </c>
      <c r="P342">
        <v>243</v>
      </c>
      <c r="Q342" s="4">
        <v>150660</v>
      </c>
      <c r="R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 s="3">
        <v>42562</v>
      </c>
      <c r="AC342" t="s">
        <v>53</v>
      </c>
      <c r="AD342" t="s">
        <v>53</v>
      </c>
      <c r="AK342">
        <v>0</v>
      </c>
      <c r="AU342" s="3">
        <v>42453</v>
      </c>
      <c r="AV342" s="3">
        <v>42453</v>
      </c>
      <c r="AW342" t="s">
        <v>54</v>
      </c>
      <c r="AX342" t="str">
        <f t="shared" si="35"/>
        <v>FOR</v>
      </c>
      <c r="AY342" t="s">
        <v>55</v>
      </c>
    </row>
    <row r="343" spans="1:51" hidden="1">
      <c r="A343">
        <v>100210</v>
      </c>
      <c r="B343" t="s">
        <v>88</v>
      </c>
      <c r="C343" t="str">
        <f t="shared" si="36"/>
        <v>08082461008</v>
      </c>
      <c r="D343" t="str">
        <f t="shared" si="36"/>
        <v>08082461008</v>
      </c>
      <c r="E343" t="s">
        <v>52</v>
      </c>
      <c r="F343">
        <v>2015</v>
      </c>
      <c r="G343" t="str">
        <f>"            15083866"</f>
        <v xml:space="preserve">            15083866</v>
      </c>
      <c r="H343" s="3">
        <v>42149</v>
      </c>
      <c r="I343" s="3">
        <v>42160</v>
      </c>
      <c r="J343" s="3">
        <v>42150</v>
      </c>
      <c r="K343" s="3">
        <v>42210</v>
      </c>
      <c r="L343"/>
      <c r="N343"/>
      <c r="O343" s="4">
        <v>1747.2</v>
      </c>
      <c r="P343">
        <v>243</v>
      </c>
      <c r="Q343" s="4">
        <v>424569.59999999998</v>
      </c>
      <c r="R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 s="3">
        <v>42562</v>
      </c>
      <c r="AC343" t="s">
        <v>53</v>
      </c>
      <c r="AD343" t="s">
        <v>53</v>
      </c>
      <c r="AK343">
        <v>0</v>
      </c>
      <c r="AU343" s="3">
        <v>42453</v>
      </c>
      <c r="AV343" s="3">
        <v>42453</v>
      </c>
      <c r="AW343" t="s">
        <v>54</v>
      </c>
      <c r="AX343" t="str">
        <f t="shared" si="35"/>
        <v>FOR</v>
      </c>
      <c r="AY343" t="s">
        <v>55</v>
      </c>
    </row>
    <row r="344" spans="1:51" hidden="1">
      <c r="A344">
        <v>100210</v>
      </c>
      <c r="B344" t="s">
        <v>88</v>
      </c>
      <c r="C344" t="str">
        <f t="shared" si="36"/>
        <v>08082461008</v>
      </c>
      <c r="D344" t="str">
        <f t="shared" si="36"/>
        <v>08082461008</v>
      </c>
      <c r="E344" t="s">
        <v>52</v>
      </c>
      <c r="F344">
        <v>2015</v>
      </c>
      <c r="G344" t="str">
        <f>"            15084398"</f>
        <v xml:space="preserve">            15084398</v>
      </c>
      <c r="H344" s="3">
        <v>42150</v>
      </c>
      <c r="I344" s="3">
        <v>42160</v>
      </c>
      <c r="J344" s="3">
        <v>42152</v>
      </c>
      <c r="K344" s="3">
        <v>42212</v>
      </c>
      <c r="L344"/>
      <c r="N344"/>
      <c r="O344">
        <v>466.2</v>
      </c>
      <c r="P344">
        <v>241</v>
      </c>
      <c r="Q344" s="4">
        <v>112354.2</v>
      </c>
      <c r="R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 s="3">
        <v>42562</v>
      </c>
      <c r="AC344" t="s">
        <v>53</v>
      </c>
      <c r="AD344" t="s">
        <v>53</v>
      </c>
      <c r="AK344">
        <v>0</v>
      </c>
      <c r="AU344" s="3">
        <v>42453</v>
      </c>
      <c r="AV344" s="3">
        <v>42453</v>
      </c>
      <c r="AW344" t="s">
        <v>54</v>
      </c>
      <c r="AX344" t="str">
        <f t="shared" si="35"/>
        <v>FOR</v>
      </c>
      <c r="AY344" t="s">
        <v>55</v>
      </c>
    </row>
    <row r="345" spans="1:51" hidden="1">
      <c r="A345">
        <v>100210</v>
      </c>
      <c r="B345" t="s">
        <v>88</v>
      </c>
      <c r="C345" t="str">
        <f t="shared" si="36"/>
        <v>08082461008</v>
      </c>
      <c r="D345" t="str">
        <f t="shared" si="36"/>
        <v>08082461008</v>
      </c>
      <c r="E345" t="s">
        <v>52</v>
      </c>
      <c r="F345">
        <v>2015</v>
      </c>
      <c r="G345" t="str">
        <f>"            15085342"</f>
        <v xml:space="preserve">            15085342</v>
      </c>
      <c r="H345" s="3">
        <v>42151</v>
      </c>
      <c r="I345" s="3">
        <v>42160</v>
      </c>
      <c r="J345" s="3">
        <v>42152</v>
      </c>
      <c r="K345" s="3">
        <v>42212</v>
      </c>
      <c r="L345"/>
      <c r="N345"/>
      <c r="O345" s="4">
        <v>5208</v>
      </c>
      <c r="P345">
        <v>241</v>
      </c>
      <c r="Q345" s="4">
        <v>1255128</v>
      </c>
      <c r="R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 s="3">
        <v>42562</v>
      </c>
      <c r="AC345" t="s">
        <v>53</v>
      </c>
      <c r="AD345" t="s">
        <v>53</v>
      </c>
      <c r="AK345">
        <v>0</v>
      </c>
      <c r="AU345" s="3">
        <v>42453</v>
      </c>
      <c r="AV345" s="3">
        <v>42453</v>
      </c>
      <c r="AW345" t="s">
        <v>54</v>
      </c>
      <c r="AX345" t="str">
        <f t="shared" si="35"/>
        <v>FOR</v>
      </c>
      <c r="AY345" t="s">
        <v>55</v>
      </c>
    </row>
    <row r="346" spans="1:51" hidden="1">
      <c r="A346">
        <v>100210</v>
      </c>
      <c r="B346" t="s">
        <v>88</v>
      </c>
      <c r="C346" t="str">
        <f t="shared" si="36"/>
        <v>08082461008</v>
      </c>
      <c r="D346" t="str">
        <f t="shared" si="36"/>
        <v>08082461008</v>
      </c>
      <c r="E346" t="s">
        <v>52</v>
      </c>
      <c r="F346">
        <v>2015</v>
      </c>
      <c r="G346" t="str">
        <f>"            15085836"</f>
        <v xml:space="preserve">            15085836</v>
      </c>
      <c r="H346" s="3">
        <v>42152</v>
      </c>
      <c r="I346" s="3">
        <v>42160</v>
      </c>
      <c r="J346" s="3">
        <v>42153</v>
      </c>
      <c r="K346" s="3">
        <v>42213</v>
      </c>
      <c r="L346"/>
      <c r="N346"/>
      <c r="O346" s="4">
        <v>18360</v>
      </c>
      <c r="P346">
        <v>240</v>
      </c>
      <c r="Q346" s="4">
        <v>4406400</v>
      </c>
      <c r="R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 s="3">
        <v>42562</v>
      </c>
      <c r="AC346" t="s">
        <v>53</v>
      </c>
      <c r="AD346" t="s">
        <v>53</v>
      </c>
      <c r="AK346">
        <v>0</v>
      </c>
      <c r="AU346" s="3">
        <v>42453</v>
      </c>
      <c r="AV346" s="3">
        <v>42453</v>
      </c>
      <c r="AW346" t="s">
        <v>54</v>
      </c>
      <c r="AX346" t="str">
        <f t="shared" si="35"/>
        <v>FOR</v>
      </c>
      <c r="AY346" t="s">
        <v>55</v>
      </c>
    </row>
    <row r="347" spans="1:51">
      <c r="A347">
        <v>100210</v>
      </c>
      <c r="B347" t="s">
        <v>88</v>
      </c>
      <c r="C347" t="str">
        <f t="shared" ref="C347:D366" si="37">"08082461008"</f>
        <v>08082461008</v>
      </c>
      <c r="D347" t="str">
        <f t="shared" si="37"/>
        <v>08082461008</v>
      </c>
      <c r="E347" t="s">
        <v>52</v>
      </c>
      <c r="F347">
        <v>2015</v>
      </c>
      <c r="G347" t="str">
        <f>"            15087581"</f>
        <v xml:space="preserve">            15087581</v>
      </c>
      <c r="H347" s="3">
        <v>42158</v>
      </c>
      <c r="I347" s="3">
        <v>42163</v>
      </c>
      <c r="J347" s="3">
        <v>42159</v>
      </c>
      <c r="K347" s="3">
        <v>42219</v>
      </c>
      <c r="L347" s="1">
        <v>620</v>
      </c>
      <c r="M347">
        <v>301</v>
      </c>
      <c r="N347" s="5">
        <v>186620</v>
      </c>
      <c r="O347">
        <v>620</v>
      </c>
      <c r="P347">
        <v>301</v>
      </c>
      <c r="Q347" s="4">
        <v>186620</v>
      </c>
      <c r="R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 s="3">
        <v>42562</v>
      </c>
      <c r="AC347" t="s">
        <v>53</v>
      </c>
      <c r="AD347" t="s">
        <v>53</v>
      </c>
      <c r="AK347">
        <v>0</v>
      </c>
      <c r="AU347" s="3">
        <v>42520</v>
      </c>
      <c r="AV347" s="3">
        <v>42520</v>
      </c>
      <c r="AW347" t="s">
        <v>54</v>
      </c>
      <c r="AX347" t="str">
        <f t="shared" si="35"/>
        <v>FOR</v>
      </c>
      <c r="AY347" t="s">
        <v>55</v>
      </c>
    </row>
    <row r="348" spans="1:51">
      <c r="A348">
        <v>100210</v>
      </c>
      <c r="B348" t="s">
        <v>88</v>
      </c>
      <c r="C348" t="str">
        <f t="shared" si="37"/>
        <v>08082461008</v>
      </c>
      <c r="D348" t="str">
        <f t="shared" si="37"/>
        <v>08082461008</v>
      </c>
      <c r="E348" t="s">
        <v>52</v>
      </c>
      <c r="F348">
        <v>2015</v>
      </c>
      <c r="G348" t="str">
        <f>"            15087582"</f>
        <v xml:space="preserve">            15087582</v>
      </c>
      <c r="H348" s="3">
        <v>42158</v>
      </c>
      <c r="I348" s="3">
        <v>42163</v>
      </c>
      <c r="J348" s="3">
        <v>42158</v>
      </c>
      <c r="K348" s="3">
        <v>42218</v>
      </c>
      <c r="L348" s="1">
        <v>620</v>
      </c>
      <c r="M348">
        <v>302</v>
      </c>
      <c r="N348" s="5">
        <v>187240</v>
      </c>
      <c r="O348">
        <v>620</v>
      </c>
      <c r="P348">
        <v>302</v>
      </c>
      <c r="Q348" s="4">
        <v>187240</v>
      </c>
      <c r="R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 s="3">
        <v>42562</v>
      </c>
      <c r="AC348" t="s">
        <v>53</v>
      </c>
      <c r="AD348" t="s">
        <v>53</v>
      </c>
      <c r="AK348">
        <v>0</v>
      </c>
      <c r="AU348" s="3">
        <v>42520</v>
      </c>
      <c r="AV348" s="3">
        <v>42520</v>
      </c>
      <c r="AW348" t="s">
        <v>54</v>
      </c>
      <c r="AX348" t="str">
        <f t="shared" si="35"/>
        <v>FOR</v>
      </c>
      <c r="AY348" t="s">
        <v>55</v>
      </c>
    </row>
    <row r="349" spans="1:51">
      <c r="A349">
        <v>100210</v>
      </c>
      <c r="B349" t="s">
        <v>88</v>
      </c>
      <c r="C349" t="str">
        <f t="shared" si="37"/>
        <v>08082461008</v>
      </c>
      <c r="D349" t="str">
        <f t="shared" si="37"/>
        <v>08082461008</v>
      </c>
      <c r="E349" t="s">
        <v>52</v>
      </c>
      <c r="F349">
        <v>2015</v>
      </c>
      <c r="G349" t="str">
        <f>"            15087584"</f>
        <v xml:space="preserve">            15087584</v>
      </c>
      <c r="H349" s="3">
        <v>42158</v>
      </c>
      <c r="I349" s="3">
        <v>42163</v>
      </c>
      <c r="J349" s="3">
        <v>42158</v>
      </c>
      <c r="K349" s="3">
        <v>42218</v>
      </c>
      <c r="L349" s="1">
        <v>620</v>
      </c>
      <c r="M349">
        <v>302</v>
      </c>
      <c r="N349" s="5">
        <v>187240</v>
      </c>
      <c r="O349">
        <v>620</v>
      </c>
      <c r="P349">
        <v>302</v>
      </c>
      <c r="Q349" s="4">
        <v>187240</v>
      </c>
      <c r="R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 s="3">
        <v>42562</v>
      </c>
      <c r="AC349" t="s">
        <v>53</v>
      </c>
      <c r="AD349" t="s">
        <v>53</v>
      </c>
      <c r="AK349">
        <v>0</v>
      </c>
      <c r="AU349" s="3">
        <v>42520</v>
      </c>
      <c r="AV349" s="3">
        <v>42520</v>
      </c>
      <c r="AW349" t="s">
        <v>54</v>
      </c>
      <c r="AX349" t="str">
        <f t="shared" si="35"/>
        <v>FOR</v>
      </c>
      <c r="AY349" t="s">
        <v>55</v>
      </c>
    </row>
    <row r="350" spans="1:51">
      <c r="A350">
        <v>100210</v>
      </c>
      <c r="B350" t="s">
        <v>88</v>
      </c>
      <c r="C350" t="str">
        <f t="shared" si="37"/>
        <v>08082461008</v>
      </c>
      <c r="D350" t="str">
        <f t="shared" si="37"/>
        <v>08082461008</v>
      </c>
      <c r="E350" t="s">
        <v>52</v>
      </c>
      <c r="F350">
        <v>2015</v>
      </c>
      <c r="G350" t="str">
        <f>"            15088562"</f>
        <v xml:space="preserve">            15088562</v>
      </c>
      <c r="H350" s="3">
        <v>42159</v>
      </c>
      <c r="I350" s="3">
        <v>42163</v>
      </c>
      <c r="J350" s="3">
        <v>42160</v>
      </c>
      <c r="K350" s="3">
        <v>42220</v>
      </c>
      <c r="L350" s="1">
        <v>620</v>
      </c>
      <c r="M350">
        <v>300</v>
      </c>
      <c r="N350" s="5">
        <v>186000</v>
      </c>
      <c r="O350">
        <v>620</v>
      </c>
      <c r="P350">
        <v>300</v>
      </c>
      <c r="Q350" s="4">
        <v>186000</v>
      </c>
      <c r="R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 s="3">
        <v>42562</v>
      </c>
      <c r="AC350" t="s">
        <v>53</v>
      </c>
      <c r="AD350" t="s">
        <v>53</v>
      </c>
      <c r="AK350">
        <v>0</v>
      </c>
      <c r="AU350" s="3">
        <v>42520</v>
      </c>
      <c r="AV350" s="3">
        <v>42520</v>
      </c>
      <c r="AW350" t="s">
        <v>54</v>
      </c>
      <c r="AX350" t="str">
        <f t="shared" si="35"/>
        <v>FOR</v>
      </c>
      <c r="AY350" t="s">
        <v>55</v>
      </c>
    </row>
    <row r="351" spans="1:51">
      <c r="A351">
        <v>100210</v>
      </c>
      <c r="B351" t="s">
        <v>88</v>
      </c>
      <c r="C351" t="str">
        <f t="shared" si="37"/>
        <v>08082461008</v>
      </c>
      <c r="D351" t="str">
        <f t="shared" si="37"/>
        <v>08082461008</v>
      </c>
      <c r="E351" t="s">
        <v>52</v>
      </c>
      <c r="F351">
        <v>2015</v>
      </c>
      <c r="G351" t="str">
        <f>"            15090278"</f>
        <v xml:space="preserve">            15090278</v>
      </c>
      <c r="H351" s="3">
        <v>42163</v>
      </c>
      <c r="I351" s="3">
        <v>42165</v>
      </c>
      <c r="J351" s="3">
        <v>42164</v>
      </c>
      <c r="K351" s="3">
        <v>42224</v>
      </c>
      <c r="L351" s="1">
        <v>434.5</v>
      </c>
      <c r="M351">
        <v>296</v>
      </c>
      <c r="N351" s="5">
        <v>128612</v>
      </c>
      <c r="O351">
        <v>434.5</v>
      </c>
      <c r="P351">
        <v>296</v>
      </c>
      <c r="Q351" s="4">
        <v>128612</v>
      </c>
      <c r="R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 s="3">
        <v>42562</v>
      </c>
      <c r="AC351" t="s">
        <v>53</v>
      </c>
      <c r="AD351" t="s">
        <v>53</v>
      </c>
      <c r="AK351">
        <v>0</v>
      </c>
      <c r="AU351" s="3">
        <v>42520</v>
      </c>
      <c r="AV351" s="3">
        <v>42520</v>
      </c>
      <c r="AW351" t="s">
        <v>54</v>
      </c>
      <c r="AX351" t="str">
        <f t="shared" si="35"/>
        <v>FOR</v>
      </c>
      <c r="AY351" t="s">
        <v>55</v>
      </c>
    </row>
    <row r="352" spans="1:51">
      <c r="A352">
        <v>100210</v>
      </c>
      <c r="B352" t="s">
        <v>88</v>
      </c>
      <c r="C352" t="str">
        <f t="shared" si="37"/>
        <v>08082461008</v>
      </c>
      <c r="D352" t="str">
        <f t="shared" si="37"/>
        <v>08082461008</v>
      </c>
      <c r="E352" t="s">
        <v>52</v>
      </c>
      <c r="F352">
        <v>2015</v>
      </c>
      <c r="G352" t="str">
        <f>"            15090279"</f>
        <v xml:space="preserve">            15090279</v>
      </c>
      <c r="H352" s="3">
        <v>42163</v>
      </c>
      <c r="I352" s="3">
        <v>42165</v>
      </c>
      <c r="J352" s="3">
        <v>42164</v>
      </c>
      <c r="K352" s="3">
        <v>42224</v>
      </c>
      <c r="L352" s="1">
        <v>434.5</v>
      </c>
      <c r="M352">
        <v>296</v>
      </c>
      <c r="N352" s="5">
        <v>128612</v>
      </c>
      <c r="O352">
        <v>434.5</v>
      </c>
      <c r="P352">
        <v>296</v>
      </c>
      <c r="Q352" s="4">
        <v>128612</v>
      </c>
      <c r="R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 s="3">
        <v>42562</v>
      </c>
      <c r="AC352" t="s">
        <v>53</v>
      </c>
      <c r="AD352" t="s">
        <v>53</v>
      </c>
      <c r="AK352">
        <v>0</v>
      </c>
      <c r="AU352" s="3">
        <v>42520</v>
      </c>
      <c r="AV352" s="3">
        <v>42520</v>
      </c>
      <c r="AW352" t="s">
        <v>54</v>
      </c>
      <c r="AX352" t="str">
        <f t="shared" si="35"/>
        <v>FOR</v>
      </c>
      <c r="AY352" t="s">
        <v>55</v>
      </c>
    </row>
    <row r="353" spans="1:51">
      <c r="A353">
        <v>100210</v>
      </c>
      <c r="B353" t="s">
        <v>88</v>
      </c>
      <c r="C353" t="str">
        <f t="shared" si="37"/>
        <v>08082461008</v>
      </c>
      <c r="D353" t="str">
        <f t="shared" si="37"/>
        <v>08082461008</v>
      </c>
      <c r="E353" t="s">
        <v>52</v>
      </c>
      <c r="F353">
        <v>2015</v>
      </c>
      <c r="G353" t="str">
        <f>"            15090280"</f>
        <v xml:space="preserve">            15090280</v>
      </c>
      <c r="H353" s="3">
        <v>42163</v>
      </c>
      <c r="I353" s="3">
        <v>42165</v>
      </c>
      <c r="J353" s="3">
        <v>42164</v>
      </c>
      <c r="K353" s="3">
        <v>42224</v>
      </c>
      <c r="L353" s="1">
        <v>181.5</v>
      </c>
      <c r="M353">
        <v>296</v>
      </c>
      <c r="N353" s="5">
        <v>53724</v>
      </c>
      <c r="O353">
        <v>181.5</v>
      </c>
      <c r="P353">
        <v>296</v>
      </c>
      <c r="Q353" s="4">
        <v>53724</v>
      </c>
      <c r="R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 s="3">
        <v>42562</v>
      </c>
      <c r="AC353" t="s">
        <v>53</v>
      </c>
      <c r="AD353" t="s">
        <v>53</v>
      </c>
      <c r="AK353">
        <v>0</v>
      </c>
      <c r="AU353" s="3">
        <v>42520</v>
      </c>
      <c r="AV353" s="3">
        <v>42520</v>
      </c>
      <c r="AW353" t="s">
        <v>54</v>
      </c>
      <c r="AX353" t="str">
        <f t="shared" si="35"/>
        <v>FOR</v>
      </c>
      <c r="AY353" t="s">
        <v>55</v>
      </c>
    </row>
    <row r="354" spans="1:51">
      <c r="A354">
        <v>100210</v>
      </c>
      <c r="B354" t="s">
        <v>88</v>
      </c>
      <c r="C354" t="str">
        <f t="shared" si="37"/>
        <v>08082461008</v>
      </c>
      <c r="D354" t="str">
        <f t="shared" si="37"/>
        <v>08082461008</v>
      </c>
      <c r="E354" t="s">
        <v>52</v>
      </c>
      <c r="F354">
        <v>2015</v>
      </c>
      <c r="G354" t="str">
        <f>"            15090282"</f>
        <v xml:space="preserve">            15090282</v>
      </c>
      <c r="H354" s="3">
        <v>42163</v>
      </c>
      <c r="I354" s="3">
        <v>42165</v>
      </c>
      <c r="J354" s="3">
        <v>42164</v>
      </c>
      <c r="K354" s="3">
        <v>42224</v>
      </c>
      <c r="L354" s="1">
        <v>181.5</v>
      </c>
      <c r="M354">
        <v>296</v>
      </c>
      <c r="N354" s="5">
        <v>53724</v>
      </c>
      <c r="O354">
        <v>181.5</v>
      </c>
      <c r="P354">
        <v>296</v>
      </c>
      <c r="Q354" s="4">
        <v>53724</v>
      </c>
      <c r="R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 s="3">
        <v>42562</v>
      </c>
      <c r="AC354" t="s">
        <v>53</v>
      </c>
      <c r="AD354" t="s">
        <v>53</v>
      </c>
      <c r="AK354">
        <v>0</v>
      </c>
      <c r="AU354" s="3">
        <v>42520</v>
      </c>
      <c r="AV354" s="3">
        <v>42520</v>
      </c>
      <c r="AW354" t="s">
        <v>54</v>
      </c>
      <c r="AX354" t="str">
        <f t="shared" si="35"/>
        <v>FOR</v>
      </c>
      <c r="AY354" t="s">
        <v>55</v>
      </c>
    </row>
    <row r="355" spans="1:51">
      <c r="A355">
        <v>100210</v>
      </c>
      <c r="B355" t="s">
        <v>88</v>
      </c>
      <c r="C355" t="str">
        <f t="shared" si="37"/>
        <v>08082461008</v>
      </c>
      <c r="D355" t="str">
        <f t="shared" si="37"/>
        <v>08082461008</v>
      </c>
      <c r="E355" t="s">
        <v>52</v>
      </c>
      <c r="F355">
        <v>2015</v>
      </c>
      <c r="G355" t="str">
        <f>"            15090283"</f>
        <v xml:space="preserve">            15090283</v>
      </c>
      <c r="H355" s="3">
        <v>42163</v>
      </c>
      <c r="I355" s="3">
        <v>42165</v>
      </c>
      <c r="J355" s="3">
        <v>42164</v>
      </c>
      <c r="K355" s="3">
        <v>42224</v>
      </c>
      <c r="L355" s="1">
        <v>110</v>
      </c>
      <c r="M355">
        <v>296</v>
      </c>
      <c r="N355" s="5">
        <v>32560</v>
      </c>
      <c r="O355">
        <v>110</v>
      </c>
      <c r="P355">
        <v>296</v>
      </c>
      <c r="Q355" s="4">
        <v>32560</v>
      </c>
      <c r="R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 s="3">
        <v>42562</v>
      </c>
      <c r="AC355" t="s">
        <v>53</v>
      </c>
      <c r="AD355" t="s">
        <v>53</v>
      </c>
      <c r="AK355">
        <v>0</v>
      </c>
      <c r="AU355" s="3">
        <v>42520</v>
      </c>
      <c r="AV355" s="3">
        <v>42520</v>
      </c>
      <c r="AW355" t="s">
        <v>54</v>
      </c>
      <c r="AX355" t="str">
        <f t="shared" si="35"/>
        <v>FOR</v>
      </c>
      <c r="AY355" t="s">
        <v>55</v>
      </c>
    </row>
    <row r="356" spans="1:51">
      <c r="A356">
        <v>100210</v>
      </c>
      <c r="B356" t="s">
        <v>88</v>
      </c>
      <c r="C356" t="str">
        <f t="shared" si="37"/>
        <v>08082461008</v>
      </c>
      <c r="D356" t="str">
        <f t="shared" si="37"/>
        <v>08082461008</v>
      </c>
      <c r="E356" t="s">
        <v>52</v>
      </c>
      <c r="F356">
        <v>2015</v>
      </c>
      <c r="G356" t="str">
        <f>"            15091100"</f>
        <v xml:space="preserve">            15091100</v>
      </c>
      <c r="H356" s="3">
        <v>42164</v>
      </c>
      <c r="I356" s="3">
        <v>42165</v>
      </c>
      <c r="J356" s="3">
        <v>42164</v>
      </c>
      <c r="K356" s="3">
        <v>42224</v>
      </c>
      <c r="L356" s="5">
        <v>7782.6</v>
      </c>
      <c r="M356">
        <v>296</v>
      </c>
      <c r="N356" s="5">
        <v>2303649.6</v>
      </c>
      <c r="O356" s="4">
        <v>7782.6</v>
      </c>
      <c r="P356">
        <v>296</v>
      </c>
      <c r="Q356" s="4">
        <v>2303649.6</v>
      </c>
      <c r="R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 s="3">
        <v>42562</v>
      </c>
      <c r="AC356" t="s">
        <v>53</v>
      </c>
      <c r="AD356" t="s">
        <v>53</v>
      </c>
      <c r="AK356">
        <v>0</v>
      </c>
      <c r="AU356" s="3">
        <v>42520</v>
      </c>
      <c r="AV356" s="3">
        <v>42520</v>
      </c>
      <c r="AW356" t="s">
        <v>54</v>
      </c>
      <c r="AX356" t="str">
        <f t="shared" si="35"/>
        <v>FOR</v>
      </c>
      <c r="AY356" t="s">
        <v>55</v>
      </c>
    </row>
    <row r="357" spans="1:51">
      <c r="A357">
        <v>100210</v>
      </c>
      <c r="B357" t="s">
        <v>88</v>
      </c>
      <c r="C357" t="str">
        <f t="shared" si="37"/>
        <v>08082461008</v>
      </c>
      <c r="D357" t="str">
        <f t="shared" si="37"/>
        <v>08082461008</v>
      </c>
      <c r="E357" t="s">
        <v>52</v>
      </c>
      <c r="F357">
        <v>2015</v>
      </c>
      <c r="G357" t="str">
        <f>"            15091132"</f>
        <v xml:space="preserve">            15091132</v>
      </c>
      <c r="H357" s="3">
        <v>42164</v>
      </c>
      <c r="I357" s="3">
        <v>42165</v>
      </c>
      <c r="J357" s="3">
        <v>42164</v>
      </c>
      <c r="K357" s="3">
        <v>42224</v>
      </c>
      <c r="L357" s="5">
        <v>5160</v>
      </c>
      <c r="M357">
        <v>296</v>
      </c>
      <c r="N357" s="5">
        <v>1527360</v>
      </c>
      <c r="O357" s="4">
        <v>5160</v>
      </c>
      <c r="P357">
        <v>296</v>
      </c>
      <c r="Q357" s="4">
        <v>1527360</v>
      </c>
      <c r="R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 s="3">
        <v>42562</v>
      </c>
      <c r="AC357" t="s">
        <v>53</v>
      </c>
      <c r="AD357" t="s">
        <v>53</v>
      </c>
      <c r="AK357">
        <v>0</v>
      </c>
      <c r="AU357" s="3">
        <v>42520</v>
      </c>
      <c r="AV357" s="3">
        <v>42520</v>
      </c>
      <c r="AW357" t="s">
        <v>54</v>
      </c>
      <c r="AX357" t="str">
        <f t="shared" si="35"/>
        <v>FOR</v>
      </c>
      <c r="AY357" t="s">
        <v>55</v>
      </c>
    </row>
    <row r="358" spans="1:51">
      <c r="A358">
        <v>100210</v>
      </c>
      <c r="B358" t="s">
        <v>88</v>
      </c>
      <c r="C358" t="str">
        <f t="shared" si="37"/>
        <v>08082461008</v>
      </c>
      <c r="D358" t="str">
        <f t="shared" si="37"/>
        <v>08082461008</v>
      </c>
      <c r="E358" t="s">
        <v>52</v>
      </c>
      <c r="F358">
        <v>2015</v>
      </c>
      <c r="G358" t="str">
        <f>"            15091160"</f>
        <v xml:space="preserve">            15091160</v>
      </c>
      <c r="H358" s="3">
        <v>42164</v>
      </c>
      <c r="I358" s="3">
        <v>42165</v>
      </c>
      <c r="J358" s="3">
        <v>42165</v>
      </c>
      <c r="K358" s="3">
        <v>42225</v>
      </c>
      <c r="L358" s="1">
        <v>196.56</v>
      </c>
      <c r="M358">
        <v>295</v>
      </c>
      <c r="N358" s="5">
        <v>57985.2</v>
      </c>
      <c r="O358">
        <v>196.56</v>
      </c>
      <c r="P358">
        <v>295</v>
      </c>
      <c r="Q358" s="4">
        <v>57985.2</v>
      </c>
      <c r="R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 s="3">
        <v>42562</v>
      </c>
      <c r="AC358" t="s">
        <v>53</v>
      </c>
      <c r="AD358" t="s">
        <v>53</v>
      </c>
      <c r="AK358">
        <v>0</v>
      </c>
      <c r="AU358" s="3">
        <v>42520</v>
      </c>
      <c r="AV358" s="3">
        <v>42520</v>
      </c>
      <c r="AW358" t="s">
        <v>54</v>
      </c>
      <c r="AX358" t="str">
        <f t="shared" si="35"/>
        <v>FOR</v>
      </c>
      <c r="AY358" t="s">
        <v>55</v>
      </c>
    </row>
    <row r="359" spans="1:51">
      <c r="A359">
        <v>100210</v>
      </c>
      <c r="B359" t="s">
        <v>88</v>
      </c>
      <c r="C359" t="str">
        <f t="shared" si="37"/>
        <v>08082461008</v>
      </c>
      <c r="D359" t="str">
        <f t="shared" si="37"/>
        <v>08082461008</v>
      </c>
      <c r="E359" t="s">
        <v>52</v>
      </c>
      <c r="F359">
        <v>2015</v>
      </c>
      <c r="G359" t="str">
        <f>"            15092123"</f>
        <v xml:space="preserve">            15092123</v>
      </c>
      <c r="H359" s="3">
        <v>42165</v>
      </c>
      <c r="I359" s="3">
        <v>42167</v>
      </c>
      <c r="J359" s="3">
        <v>42165</v>
      </c>
      <c r="K359" s="3">
        <v>42225</v>
      </c>
      <c r="L359" s="5">
        <v>5251.32</v>
      </c>
      <c r="M359">
        <v>295</v>
      </c>
      <c r="N359" s="5">
        <v>1549139.4</v>
      </c>
      <c r="O359" s="4">
        <v>5251.32</v>
      </c>
      <c r="P359">
        <v>295</v>
      </c>
      <c r="Q359" s="4">
        <v>1549139.4</v>
      </c>
      <c r="R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 s="3">
        <v>42562</v>
      </c>
      <c r="AC359" t="s">
        <v>53</v>
      </c>
      <c r="AD359" t="s">
        <v>53</v>
      </c>
      <c r="AK359">
        <v>0</v>
      </c>
      <c r="AU359" s="3">
        <v>42520</v>
      </c>
      <c r="AV359" s="3">
        <v>42520</v>
      </c>
      <c r="AW359" t="s">
        <v>54</v>
      </c>
      <c r="AX359" t="str">
        <f t="shared" si="35"/>
        <v>FOR</v>
      </c>
      <c r="AY359" t="s">
        <v>55</v>
      </c>
    </row>
    <row r="360" spans="1:51">
      <c r="A360">
        <v>100210</v>
      </c>
      <c r="B360" t="s">
        <v>88</v>
      </c>
      <c r="C360" t="str">
        <f t="shared" si="37"/>
        <v>08082461008</v>
      </c>
      <c r="D360" t="str">
        <f t="shared" si="37"/>
        <v>08082461008</v>
      </c>
      <c r="E360" t="s">
        <v>52</v>
      </c>
      <c r="F360">
        <v>2015</v>
      </c>
      <c r="G360" t="str">
        <f>"            15092646"</f>
        <v xml:space="preserve">            15092646</v>
      </c>
      <c r="H360" s="3">
        <v>42166</v>
      </c>
      <c r="I360" s="3">
        <v>42167</v>
      </c>
      <c r="J360" s="3">
        <v>42167</v>
      </c>
      <c r="K360" s="3">
        <v>42227</v>
      </c>
      <c r="L360" s="1">
        <v>110</v>
      </c>
      <c r="M360">
        <v>293</v>
      </c>
      <c r="N360" s="5">
        <v>32230</v>
      </c>
      <c r="O360">
        <v>110</v>
      </c>
      <c r="P360">
        <v>293</v>
      </c>
      <c r="Q360" s="4">
        <v>32230</v>
      </c>
      <c r="R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 s="3">
        <v>42562</v>
      </c>
      <c r="AC360" t="s">
        <v>53</v>
      </c>
      <c r="AD360" t="s">
        <v>53</v>
      </c>
      <c r="AK360">
        <v>0</v>
      </c>
      <c r="AU360" s="3">
        <v>42520</v>
      </c>
      <c r="AV360" s="3">
        <v>42520</v>
      </c>
      <c r="AW360" t="s">
        <v>54</v>
      </c>
      <c r="AX360" t="str">
        <f t="shared" si="35"/>
        <v>FOR</v>
      </c>
      <c r="AY360" t="s">
        <v>55</v>
      </c>
    </row>
    <row r="361" spans="1:51">
      <c r="A361">
        <v>100210</v>
      </c>
      <c r="B361" t="s">
        <v>88</v>
      </c>
      <c r="C361" t="str">
        <f t="shared" si="37"/>
        <v>08082461008</v>
      </c>
      <c r="D361" t="str">
        <f t="shared" si="37"/>
        <v>08082461008</v>
      </c>
      <c r="E361" t="s">
        <v>52</v>
      </c>
      <c r="F361">
        <v>2015</v>
      </c>
      <c r="G361" t="str">
        <f>"            15092647"</f>
        <v xml:space="preserve">            15092647</v>
      </c>
      <c r="H361" s="3">
        <v>42166</v>
      </c>
      <c r="I361" s="3">
        <v>42167</v>
      </c>
      <c r="J361" s="3">
        <v>42167</v>
      </c>
      <c r="K361" s="3">
        <v>42227</v>
      </c>
      <c r="L361" s="1">
        <v>110</v>
      </c>
      <c r="M361">
        <v>293</v>
      </c>
      <c r="N361" s="5">
        <v>32230</v>
      </c>
      <c r="O361">
        <v>110</v>
      </c>
      <c r="P361">
        <v>293</v>
      </c>
      <c r="Q361" s="4">
        <v>32230</v>
      </c>
      <c r="R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 s="3">
        <v>42562</v>
      </c>
      <c r="AC361" t="s">
        <v>53</v>
      </c>
      <c r="AD361" t="s">
        <v>53</v>
      </c>
      <c r="AK361">
        <v>0</v>
      </c>
      <c r="AU361" s="3">
        <v>42520</v>
      </c>
      <c r="AV361" s="3">
        <v>42520</v>
      </c>
      <c r="AW361" t="s">
        <v>54</v>
      </c>
      <c r="AX361" t="str">
        <f t="shared" si="35"/>
        <v>FOR</v>
      </c>
      <c r="AY361" t="s">
        <v>55</v>
      </c>
    </row>
    <row r="362" spans="1:51">
      <c r="A362">
        <v>100210</v>
      </c>
      <c r="B362" t="s">
        <v>88</v>
      </c>
      <c r="C362" t="str">
        <f t="shared" si="37"/>
        <v>08082461008</v>
      </c>
      <c r="D362" t="str">
        <f t="shared" si="37"/>
        <v>08082461008</v>
      </c>
      <c r="E362" t="s">
        <v>52</v>
      </c>
      <c r="F362">
        <v>2015</v>
      </c>
      <c r="G362" t="str">
        <f>"            15092648"</f>
        <v xml:space="preserve">            15092648</v>
      </c>
      <c r="H362" s="3">
        <v>42166</v>
      </c>
      <c r="I362" s="3">
        <v>42167</v>
      </c>
      <c r="J362" s="3">
        <v>42167</v>
      </c>
      <c r="K362" s="3">
        <v>42227</v>
      </c>
      <c r="L362" s="1">
        <v>44</v>
      </c>
      <c r="M362">
        <v>293</v>
      </c>
      <c r="N362" s="5">
        <v>12892</v>
      </c>
      <c r="O362">
        <v>44</v>
      </c>
      <c r="P362">
        <v>293</v>
      </c>
      <c r="Q362" s="4">
        <v>12892</v>
      </c>
      <c r="R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 s="3">
        <v>42562</v>
      </c>
      <c r="AC362" t="s">
        <v>53</v>
      </c>
      <c r="AD362" t="s">
        <v>53</v>
      </c>
      <c r="AK362">
        <v>0</v>
      </c>
      <c r="AU362" s="3">
        <v>42520</v>
      </c>
      <c r="AV362" s="3">
        <v>42520</v>
      </c>
      <c r="AW362" t="s">
        <v>54</v>
      </c>
      <c r="AX362" t="str">
        <f t="shared" si="35"/>
        <v>FOR</v>
      </c>
      <c r="AY362" t="s">
        <v>55</v>
      </c>
    </row>
    <row r="363" spans="1:51">
      <c r="A363">
        <v>100210</v>
      </c>
      <c r="B363" t="s">
        <v>88</v>
      </c>
      <c r="C363" t="str">
        <f t="shared" si="37"/>
        <v>08082461008</v>
      </c>
      <c r="D363" t="str">
        <f t="shared" si="37"/>
        <v>08082461008</v>
      </c>
      <c r="E363" t="s">
        <v>52</v>
      </c>
      <c r="F363">
        <v>2015</v>
      </c>
      <c r="G363" t="str">
        <f>"            15092649"</f>
        <v xml:space="preserve">            15092649</v>
      </c>
      <c r="H363" s="3">
        <v>42166</v>
      </c>
      <c r="I363" s="3">
        <v>42167</v>
      </c>
      <c r="J363" s="3">
        <v>42167</v>
      </c>
      <c r="K363" s="3">
        <v>42227</v>
      </c>
      <c r="L363" s="1">
        <v>44</v>
      </c>
      <c r="M363">
        <v>293</v>
      </c>
      <c r="N363" s="5">
        <v>12892</v>
      </c>
      <c r="O363">
        <v>44</v>
      </c>
      <c r="P363">
        <v>293</v>
      </c>
      <c r="Q363" s="4">
        <v>12892</v>
      </c>
      <c r="R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 s="3">
        <v>42562</v>
      </c>
      <c r="AC363" t="s">
        <v>53</v>
      </c>
      <c r="AD363" t="s">
        <v>53</v>
      </c>
      <c r="AK363">
        <v>0</v>
      </c>
      <c r="AU363" s="3">
        <v>42520</v>
      </c>
      <c r="AV363" s="3">
        <v>42520</v>
      </c>
      <c r="AW363" t="s">
        <v>54</v>
      </c>
      <c r="AX363" t="str">
        <f t="shared" si="35"/>
        <v>FOR</v>
      </c>
      <c r="AY363" t="s">
        <v>55</v>
      </c>
    </row>
    <row r="364" spans="1:51">
      <c r="A364">
        <v>100210</v>
      </c>
      <c r="B364" t="s">
        <v>88</v>
      </c>
      <c r="C364" t="str">
        <f t="shared" si="37"/>
        <v>08082461008</v>
      </c>
      <c r="D364" t="str">
        <f t="shared" si="37"/>
        <v>08082461008</v>
      </c>
      <c r="E364" t="s">
        <v>52</v>
      </c>
      <c r="F364">
        <v>2015</v>
      </c>
      <c r="G364" t="str">
        <f>"            15092650"</f>
        <v xml:space="preserve">            15092650</v>
      </c>
      <c r="H364" s="3">
        <v>42166</v>
      </c>
      <c r="I364" s="3">
        <v>42167</v>
      </c>
      <c r="J364" s="3">
        <v>42167</v>
      </c>
      <c r="K364" s="3">
        <v>42227</v>
      </c>
      <c r="L364" s="1">
        <v>44</v>
      </c>
      <c r="M364">
        <v>293</v>
      </c>
      <c r="N364" s="5">
        <v>12892</v>
      </c>
      <c r="O364">
        <v>44</v>
      </c>
      <c r="P364">
        <v>293</v>
      </c>
      <c r="Q364" s="4">
        <v>12892</v>
      </c>
      <c r="R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 s="3">
        <v>42562</v>
      </c>
      <c r="AC364" t="s">
        <v>53</v>
      </c>
      <c r="AD364" t="s">
        <v>53</v>
      </c>
      <c r="AK364">
        <v>0</v>
      </c>
      <c r="AU364" s="3">
        <v>42520</v>
      </c>
      <c r="AV364" s="3">
        <v>42520</v>
      </c>
      <c r="AW364" t="s">
        <v>54</v>
      </c>
      <c r="AX364" t="str">
        <f t="shared" si="35"/>
        <v>FOR</v>
      </c>
      <c r="AY364" t="s">
        <v>55</v>
      </c>
    </row>
    <row r="365" spans="1:51">
      <c r="A365">
        <v>100210</v>
      </c>
      <c r="B365" t="s">
        <v>88</v>
      </c>
      <c r="C365" t="str">
        <f t="shared" si="37"/>
        <v>08082461008</v>
      </c>
      <c r="D365" t="str">
        <f t="shared" si="37"/>
        <v>08082461008</v>
      </c>
      <c r="E365" t="s">
        <v>52</v>
      </c>
      <c r="F365">
        <v>2015</v>
      </c>
      <c r="G365" t="str">
        <f>"            15092651"</f>
        <v xml:space="preserve">            15092651</v>
      </c>
      <c r="H365" s="3">
        <v>42166</v>
      </c>
      <c r="I365" s="3">
        <v>42167</v>
      </c>
      <c r="J365" s="3">
        <v>42167</v>
      </c>
      <c r="K365" s="3">
        <v>42227</v>
      </c>
      <c r="L365" s="1">
        <v>44</v>
      </c>
      <c r="M365">
        <v>293</v>
      </c>
      <c r="N365" s="5">
        <v>12892</v>
      </c>
      <c r="O365">
        <v>44</v>
      </c>
      <c r="P365">
        <v>293</v>
      </c>
      <c r="Q365" s="4">
        <v>12892</v>
      </c>
      <c r="R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 s="3">
        <v>42562</v>
      </c>
      <c r="AC365" t="s">
        <v>53</v>
      </c>
      <c r="AD365" t="s">
        <v>53</v>
      </c>
      <c r="AK365">
        <v>0</v>
      </c>
      <c r="AU365" s="3">
        <v>42520</v>
      </c>
      <c r="AV365" s="3">
        <v>42520</v>
      </c>
      <c r="AW365" t="s">
        <v>54</v>
      </c>
      <c r="AX365" t="str">
        <f t="shared" si="35"/>
        <v>FOR</v>
      </c>
      <c r="AY365" t="s">
        <v>55</v>
      </c>
    </row>
    <row r="366" spans="1:51">
      <c r="A366">
        <v>100210</v>
      </c>
      <c r="B366" t="s">
        <v>88</v>
      </c>
      <c r="C366" t="str">
        <f t="shared" si="37"/>
        <v>08082461008</v>
      </c>
      <c r="D366" t="str">
        <f t="shared" si="37"/>
        <v>08082461008</v>
      </c>
      <c r="E366" t="s">
        <v>52</v>
      </c>
      <c r="F366">
        <v>2015</v>
      </c>
      <c r="G366" t="str">
        <f>"            15092652"</f>
        <v xml:space="preserve">            15092652</v>
      </c>
      <c r="H366" s="3">
        <v>42166</v>
      </c>
      <c r="I366" s="3">
        <v>42167</v>
      </c>
      <c r="J366" s="3">
        <v>42167</v>
      </c>
      <c r="K366" s="3">
        <v>42227</v>
      </c>
      <c r="L366" s="1">
        <v>44</v>
      </c>
      <c r="M366">
        <v>293</v>
      </c>
      <c r="N366" s="5">
        <v>12892</v>
      </c>
      <c r="O366">
        <v>44</v>
      </c>
      <c r="P366">
        <v>293</v>
      </c>
      <c r="Q366" s="4">
        <v>12892</v>
      </c>
      <c r="R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 s="3">
        <v>42562</v>
      </c>
      <c r="AC366" t="s">
        <v>53</v>
      </c>
      <c r="AD366" t="s">
        <v>53</v>
      </c>
      <c r="AK366">
        <v>0</v>
      </c>
      <c r="AU366" s="3">
        <v>42520</v>
      </c>
      <c r="AV366" s="3">
        <v>42520</v>
      </c>
      <c r="AW366" t="s">
        <v>54</v>
      </c>
      <c r="AX366" t="str">
        <f t="shared" si="35"/>
        <v>FOR</v>
      </c>
      <c r="AY366" t="s">
        <v>55</v>
      </c>
    </row>
    <row r="367" spans="1:51">
      <c r="A367">
        <v>100210</v>
      </c>
      <c r="B367" t="s">
        <v>88</v>
      </c>
      <c r="C367" t="str">
        <f t="shared" ref="C367:D386" si="38">"08082461008"</f>
        <v>08082461008</v>
      </c>
      <c r="D367" t="str">
        <f t="shared" si="38"/>
        <v>08082461008</v>
      </c>
      <c r="E367" t="s">
        <v>52</v>
      </c>
      <c r="F367">
        <v>2015</v>
      </c>
      <c r="G367" t="str">
        <f>"            15092653"</f>
        <v xml:space="preserve">            15092653</v>
      </c>
      <c r="H367" s="3">
        <v>42166</v>
      </c>
      <c r="I367" s="3">
        <v>42167</v>
      </c>
      <c r="J367" s="3">
        <v>42167</v>
      </c>
      <c r="K367" s="3">
        <v>42227</v>
      </c>
      <c r="L367" s="1">
        <v>44</v>
      </c>
      <c r="M367">
        <v>293</v>
      </c>
      <c r="N367" s="5">
        <v>12892</v>
      </c>
      <c r="O367">
        <v>44</v>
      </c>
      <c r="P367">
        <v>293</v>
      </c>
      <c r="Q367" s="4">
        <v>12892</v>
      </c>
      <c r="R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 s="3">
        <v>42562</v>
      </c>
      <c r="AC367" t="s">
        <v>53</v>
      </c>
      <c r="AD367" t="s">
        <v>53</v>
      </c>
      <c r="AK367">
        <v>0</v>
      </c>
      <c r="AU367" s="3">
        <v>42520</v>
      </c>
      <c r="AV367" s="3">
        <v>42520</v>
      </c>
      <c r="AW367" t="s">
        <v>54</v>
      </c>
      <c r="AX367" t="str">
        <f t="shared" si="35"/>
        <v>FOR</v>
      </c>
      <c r="AY367" t="s">
        <v>55</v>
      </c>
    </row>
    <row r="368" spans="1:51">
      <c r="A368">
        <v>100210</v>
      </c>
      <c r="B368" t="s">
        <v>88</v>
      </c>
      <c r="C368" t="str">
        <f t="shared" si="38"/>
        <v>08082461008</v>
      </c>
      <c r="D368" t="str">
        <f t="shared" si="38"/>
        <v>08082461008</v>
      </c>
      <c r="E368" t="s">
        <v>52</v>
      </c>
      <c r="F368">
        <v>2015</v>
      </c>
      <c r="G368" t="str">
        <f>"            15092654"</f>
        <v xml:space="preserve">            15092654</v>
      </c>
      <c r="H368" s="3">
        <v>42166</v>
      </c>
      <c r="I368" s="3">
        <v>42167</v>
      </c>
      <c r="J368" s="3">
        <v>42167</v>
      </c>
      <c r="K368" s="3">
        <v>42227</v>
      </c>
      <c r="L368" s="1">
        <v>44</v>
      </c>
      <c r="M368">
        <v>293</v>
      </c>
      <c r="N368" s="5">
        <v>12892</v>
      </c>
      <c r="O368">
        <v>44</v>
      </c>
      <c r="P368">
        <v>293</v>
      </c>
      <c r="Q368" s="4">
        <v>12892</v>
      </c>
      <c r="R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 s="3">
        <v>42562</v>
      </c>
      <c r="AC368" t="s">
        <v>53</v>
      </c>
      <c r="AD368" t="s">
        <v>53</v>
      </c>
      <c r="AK368">
        <v>0</v>
      </c>
      <c r="AU368" s="3">
        <v>42520</v>
      </c>
      <c r="AV368" s="3">
        <v>42520</v>
      </c>
      <c r="AW368" t="s">
        <v>54</v>
      </c>
      <c r="AX368" t="str">
        <f t="shared" si="35"/>
        <v>FOR</v>
      </c>
      <c r="AY368" t="s">
        <v>55</v>
      </c>
    </row>
    <row r="369" spans="1:51">
      <c r="A369">
        <v>100210</v>
      </c>
      <c r="B369" t="s">
        <v>88</v>
      </c>
      <c r="C369" t="str">
        <f t="shared" si="38"/>
        <v>08082461008</v>
      </c>
      <c r="D369" t="str">
        <f t="shared" si="38"/>
        <v>08082461008</v>
      </c>
      <c r="E369" t="s">
        <v>52</v>
      </c>
      <c r="F369">
        <v>2015</v>
      </c>
      <c r="G369" t="str">
        <f>"            15092655"</f>
        <v xml:space="preserve">            15092655</v>
      </c>
      <c r="H369" s="3">
        <v>42166</v>
      </c>
      <c r="I369" s="3">
        <v>42167</v>
      </c>
      <c r="J369" s="3">
        <v>42167</v>
      </c>
      <c r="K369" s="3">
        <v>42227</v>
      </c>
      <c r="L369" s="1">
        <v>44</v>
      </c>
      <c r="M369">
        <v>293</v>
      </c>
      <c r="N369" s="5">
        <v>12892</v>
      </c>
      <c r="O369">
        <v>44</v>
      </c>
      <c r="P369">
        <v>293</v>
      </c>
      <c r="Q369" s="4">
        <v>12892</v>
      </c>
      <c r="R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 s="3">
        <v>42562</v>
      </c>
      <c r="AC369" t="s">
        <v>53</v>
      </c>
      <c r="AD369" t="s">
        <v>53</v>
      </c>
      <c r="AK369">
        <v>0</v>
      </c>
      <c r="AU369" s="3">
        <v>42520</v>
      </c>
      <c r="AV369" s="3">
        <v>42520</v>
      </c>
      <c r="AW369" t="s">
        <v>54</v>
      </c>
      <c r="AX369" t="str">
        <f t="shared" si="35"/>
        <v>FOR</v>
      </c>
      <c r="AY369" t="s">
        <v>55</v>
      </c>
    </row>
    <row r="370" spans="1:51">
      <c r="A370">
        <v>100210</v>
      </c>
      <c r="B370" t="s">
        <v>88</v>
      </c>
      <c r="C370" t="str">
        <f t="shared" si="38"/>
        <v>08082461008</v>
      </c>
      <c r="D370" t="str">
        <f t="shared" si="38"/>
        <v>08082461008</v>
      </c>
      <c r="E370" t="s">
        <v>52</v>
      </c>
      <c r="F370">
        <v>2015</v>
      </c>
      <c r="G370" t="str">
        <f>"            15092656"</f>
        <v xml:space="preserve">            15092656</v>
      </c>
      <c r="H370" s="3">
        <v>42166</v>
      </c>
      <c r="I370" s="3">
        <v>42167</v>
      </c>
      <c r="J370" s="3">
        <v>42167</v>
      </c>
      <c r="K370" s="3">
        <v>42227</v>
      </c>
      <c r="L370" s="1">
        <v>434.5</v>
      </c>
      <c r="M370">
        <v>293</v>
      </c>
      <c r="N370" s="5">
        <v>127308.5</v>
      </c>
      <c r="O370">
        <v>434.5</v>
      </c>
      <c r="P370">
        <v>293</v>
      </c>
      <c r="Q370" s="4">
        <v>127308.5</v>
      </c>
      <c r="R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 s="3">
        <v>42562</v>
      </c>
      <c r="AC370" t="s">
        <v>53</v>
      </c>
      <c r="AD370" t="s">
        <v>53</v>
      </c>
      <c r="AK370">
        <v>0</v>
      </c>
      <c r="AU370" s="3">
        <v>42520</v>
      </c>
      <c r="AV370" s="3">
        <v>42520</v>
      </c>
      <c r="AW370" t="s">
        <v>54</v>
      </c>
      <c r="AX370" t="str">
        <f t="shared" si="35"/>
        <v>FOR</v>
      </c>
      <c r="AY370" t="s">
        <v>55</v>
      </c>
    </row>
    <row r="371" spans="1:51">
      <c r="A371">
        <v>100210</v>
      </c>
      <c r="B371" t="s">
        <v>88</v>
      </c>
      <c r="C371" t="str">
        <f t="shared" si="38"/>
        <v>08082461008</v>
      </c>
      <c r="D371" t="str">
        <f t="shared" si="38"/>
        <v>08082461008</v>
      </c>
      <c r="E371" t="s">
        <v>52</v>
      </c>
      <c r="F371">
        <v>2015</v>
      </c>
      <c r="G371" t="str">
        <f>"            15092658"</f>
        <v xml:space="preserve">            15092658</v>
      </c>
      <c r="H371" s="3">
        <v>42166</v>
      </c>
      <c r="I371" s="3">
        <v>42167</v>
      </c>
      <c r="J371" s="3">
        <v>42167</v>
      </c>
      <c r="K371" s="3">
        <v>42227</v>
      </c>
      <c r="L371" s="1">
        <v>434.5</v>
      </c>
      <c r="M371">
        <v>293</v>
      </c>
      <c r="N371" s="5">
        <v>127308.5</v>
      </c>
      <c r="O371">
        <v>434.5</v>
      </c>
      <c r="P371">
        <v>293</v>
      </c>
      <c r="Q371" s="4">
        <v>127308.5</v>
      </c>
      <c r="R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 s="3">
        <v>42562</v>
      </c>
      <c r="AC371" t="s">
        <v>53</v>
      </c>
      <c r="AD371" t="s">
        <v>53</v>
      </c>
      <c r="AK371">
        <v>0</v>
      </c>
      <c r="AU371" s="3">
        <v>42520</v>
      </c>
      <c r="AV371" s="3">
        <v>42520</v>
      </c>
      <c r="AW371" t="s">
        <v>54</v>
      </c>
      <c r="AX371" t="str">
        <f t="shared" si="35"/>
        <v>FOR</v>
      </c>
      <c r="AY371" t="s">
        <v>55</v>
      </c>
    </row>
    <row r="372" spans="1:51">
      <c r="A372">
        <v>100210</v>
      </c>
      <c r="B372" t="s">
        <v>88</v>
      </c>
      <c r="C372" t="str">
        <f t="shared" si="38"/>
        <v>08082461008</v>
      </c>
      <c r="D372" t="str">
        <f t="shared" si="38"/>
        <v>08082461008</v>
      </c>
      <c r="E372" t="s">
        <v>52</v>
      </c>
      <c r="F372">
        <v>2015</v>
      </c>
      <c r="G372" t="str">
        <f>"            15092659"</f>
        <v xml:space="preserve">            15092659</v>
      </c>
      <c r="H372" s="3">
        <v>42166</v>
      </c>
      <c r="I372" s="3">
        <v>42167</v>
      </c>
      <c r="J372" s="3">
        <v>42167</v>
      </c>
      <c r="K372" s="3">
        <v>42227</v>
      </c>
      <c r="L372" s="1">
        <v>434.5</v>
      </c>
      <c r="M372">
        <v>293</v>
      </c>
      <c r="N372" s="5">
        <v>127308.5</v>
      </c>
      <c r="O372">
        <v>434.5</v>
      </c>
      <c r="P372">
        <v>293</v>
      </c>
      <c r="Q372" s="4">
        <v>127308.5</v>
      </c>
      <c r="R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 s="3">
        <v>42562</v>
      </c>
      <c r="AC372" t="s">
        <v>53</v>
      </c>
      <c r="AD372" t="s">
        <v>53</v>
      </c>
      <c r="AK372">
        <v>0</v>
      </c>
      <c r="AU372" s="3">
        <v>42520</v>
      </c>
      <c r="AV372" s="3">
        <v>42520</v>
      </c>
      <c r="AW372" t="s">
        <v>54</v>
      </c>
      <c r="AX372" t="str">
        <f t="shared" si="35"/>
        <v>FOR</v>
      </c>
      <c r="AY372" t="s">
        <v>55</v>
      </c>
    </row>
    <row r="373" spans="1:51">
      <c r="A373">
        <v>100210</v>
      </c>
      <c r="B373" t="s">
        <v>88</v>
      </c>
      <c r="C373" t="str">
        <f t="shared" si="38"/>
        <v>08082461008</v>
      </c>
      <c r="D373" t="str">
        <f t="shared" si="38"/>
        <v>08082461008</v>
      </c>
      <c r="E373" t="s">
        <v>52</v>
      </c>
      <c r="F373">
        <v>2015</v>
      </c>
      <c r="G373" t="str">
        <f>"            15092660"</f>
        <v xml:space="preserve">            15092660</v>
      </c>
      <c r="H373" s="3">
        <v>42166</v>
      </c>
      <c r="I373" s="3">
        <v>42167</v>
      </c>
      <c r="J373" s="3">
        <v>42167</v>
      </c>
      <c r="K373" s="3">
        <v>42227</v>
      </c>
      <c r="L373" s="1">
        <v>434.5</v>
      </c>
      <c r="M373">
        <v>293</v>
      </c>
      <c r="N373" s="5">
        <v>127308.5</v>
      </c>
      <c r="O373">
        <v>434.5</v>
      </c>
      <c r="P373">
        <v>293</v>
      </c>
      <c r="Q373" s="4">
        <v>127308.5</v>
      </c>
      <c r="R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 s="3">
        <v>42562</v>
      </c>
      <c r="AC373" t="s">
        <v>53</v>
      </c>
      <c r="AD373" t="s">
        <v>53</v>
      </c>
      <c r="AK373">
        <v>0</v>
      </c>
      <c r="AU373" s="3">
        <v>42520</v>
      </c>
      <c r="AV373" s="3">
        <v>42520</v>
      </c>
      <c r="AW373" t="s">
        <v>54</v>
      </c>
      <c r="AX373" t="str">
        <f t="shared" si="35"/>
        <v>FOR</v>
      </c>
      <c r="AY373" t="s">
        <v>55</v>
      </c>
    </row>
    <row r="374" spans="1:51">
      <c r="A374">
        <v>100210</v>
      </c>
      <c r="B374" t="s">
        <v>88</v>
      </c>
      <c r="C374" t="str">
        <f t="shared" si="38"/>
        <v>08082461008</v>
      </c>
      <c r="D374" t="str">
        <f t="shared" si="38"/>
        <v>08082461008</v>
      </c>
      <c r="E374" t="s">
        <v>52</v>
      </c>
      <c r="F374">
        <v>2015</v>
      </c>
      <c r="G374" t="str">
        <f>"            15092661"</f>
        <v xml:space="preserve">            15092661</v>
      </c>
      <c r="H374" s="3">
        <v>42166</v>
      </c>
      <c r="I374" s="3">
        <v>42167</v>
      </c>
      <c r="J374" s="3">
        <v>42167</v>
      </c>
      <c r="K374" s="3">
        <v>42227</v>
      </c>
      <c r="L374" s="1">
        <v>434.5</v>
      </c>
      <c r="M374">
        <v>293</v>
      </c>
      <c r="N374" s="5">
        <v>127308.5</v>
      </c>
      <c r="O374">
        <v>434.5</v>
      </c>
      <c r="P374">
        <v>293</v>
      </c>
      <c r="Q374" s="4">
        <v>127308.5</v>
      </c>
      <c r="R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 s="3">
        <v>42562</v>
      </c>
      <c r="AC374" t="s">
        <v>53</v>
      </c>
      <c r="AD374" t="s">
        <v>53</v>
      </c>
      <c r="AK374">
        <v>0</v>
      </c>
      <c r="AU374" s="3">
        <v>42520</v>
      </c>
      <c r="AV374" s="3">
        <v>42520</v>
      </c>
      <c r="AW374" t="s">
        <v>54</v>
      </c>
      <c r="AX374" t="str">
        <f t="shared" si="35"/>
        <v>FOR</v>
      </c>
      <c r="AY374" t="s">
        <v>55</v>
      </c>
    </row>
    <row r="375" spans="1:51">
      <c r="A375">
        <v>100210</v>
      </c>
      <c r="B375" t="s">
        <v>88</v>
      </c>
      <c r="C375" t="str">
        <f t="shared" si="38"/>
        <v>08082461008</v>
      </c>
      <c r="D375" t="str">
        <f t="shared" si="38"/>
        <v>08082461008</v>
      </c>
      <c r="E375" t="s">
        <v>52</v>
      </c>
      <c r="F375">
        <v>2015</v>
      </c>
      <c r="G375" t="str">
        <f>"            15092669"</f>
        <v xml:space="preserve">            15092669</v>
      </c>
      <c r="H375" s="3">
        <v>42166</v>
      </c>
      <c r="I375" s="3">
        <v>42167</v>
      </c>
      <c r="J375" s="3">
        <v>42167</v>
      </c>
      <c r="K375" s="3">
        <v>42227</v>
      </c>
      <c r="L375" s="1">
        <v>620</v>
      </c>
      <c r="M375">
        <v>293</v>
      </c>
      <c r="N375" s="5">
        <v>181660</v>
      </c>
      <c r="O375">
        <v>620</v>
      </c>
      <c r="P375">
        <v>293</v>
      </c>
      <c r="Q375" s="4">
        <v>181660</v>
      </c>
      <c r="R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 s="3">
        <v>42562</v>
      </c>
      <c r="AC375" t="s">
        <v>53</v>
      </c>
      <c r="AD375" t="s">
        <v>53</v>
      </c>
      <c r="AK375">
        <v>0</v>
      </c>
      <c r="AU375" s="3">
        <v>42520</v>
      </c>
      <c r="AV375" s="3">
        <v>42520</v>
      </c>
      <c r="AW375" t="s">
        <v>54</v>
      </c>
      <c r="AX375" t="str">
        <f t="shared" si="35"/>
        <v>FOR</v>
      </c>
      <c r="AY375" t="s">
        <v>55</v>
      </c>
    </row>
    <row r="376" spans="1:51">
      <c r="A376">
        <v>100210</v>
      </c>
      <c r="B376" t="s">
        <v>88</v>
      </c>
      <c r="C376" t="str">
        <f t="shared" si="38"/>
        <v>08082461008</v>
      </c>
      <c r="D376" t="str">
        <f t="shared" si="38"/>
        <v>08082461008</v>
      </c>
      <c r="E376" t="s">
        <v>52</v>
      </c>
      <c r="F376">
        <v>2015</v>
      </c>
      <c r="G376" t="str">
        <f>"            15092670"</f>
        <v xml:space="preserve">            15092670</v>
      </c>
      <c r="H376" s="3">
        <v>42166</v>
      </c>
      <c r="I376" s="3">
        <v>42167</v>
      </c>
      <c r="J376" s="3">
        <v>42167</v>
      </c>
      <c r="K376" s="3">
        <v>42227</v>
      </c>
      <c r="L376" s="1">
        <v>620</v>
      </c>
      <c r="M376">
        <v>293</v>
      </c>
      <c r="N376" s="5">
        <v>181660</v>
      </c>
      <c r="O376">
        <v>620</v>
      </c>
      <c r="P376">
        <v>293</v>
      </c>
      <c r="Q376" s="4">
        <v>181660</v>
      </c>
      <c r="R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 s="3">
        <v>42562</v>
      </c>
      <c r="AC376" t="s">
        <v>53</v>
      </c>
      <c r="AD376" t="s">
        <v>53</v>
      </c>
      <c r="AK376">
        <v>0</v>
      </c>
      <c r="AU376" s="3">
        <v>42520</v>
      </c>
      <c r="AV376" s="3">
        <v>42520</v>
      </c>
      <c r="AW376" t="s">
        <v>54</v>
      </c>
      <c r="AX376" t="str">
        <f t="shared" ref="AX376:AX419" si="39">"FOR"</f>
        <v>FOR</v>
      </c>
      <c r="AY376" t="s">
        <v>55</v>
      </c>
    </row>
    <row r="377" spans="1:51">
      <c r="A377">
        <v>100210</v>
      </c>
      <c r="B377" t="s">
        <v>88</v>
      </c>
      <c r="C377" t="str">
        <f t="shared" si="38"/>
        <v>08082461008</v>
      </c>
      <c r="D377" t="str">
        <f t="shared" si="38"/>
        <v>08082461008</v>
      </c>
      <c r="E377" t="s">
        <v>52</v>
      </c>
      <c r="F377">
        <v>2015</v>
      </c>
      <c r="G377" t="str">
        <f>"            15092671"</f>
        <v xml:space="preserve">            15092671</v>
      </c>
      <c r="H377" s="3">
        <v>42166</v>
      </c>
      <c r="I377" s="3">
        <v>42167</v>
      </c>
      <c r="J377" s="3">
        <v>42167</v>
      </c>
      <c r="K377" s="3">
        <v>42227</v>
      </c>
      <c r="L377" s="1">
        <v>434.5</v>
      </c>
      <c r="M377">
        <v>293</v>
      </c>
      <c r="N377" s="5">
        <v>127308.5</v>
      </c>
      <c r="O377">
        <v>434.5</v>
      </c>
      <c r="P377">
        <v>293</v>
      </c>
      <c r="Q377" s="4">
        <v>127308.5</v>
      </c>
      <c r="R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 s="3">
        <v>42562</v>
      </c>
      <c r="AC377" t="s">
        <v>53</v>
      </c>
      <c r="AD377" t="s">
        <v>53</v>
      </c>
      <c r="AK377">
        <v>0</v>
      </c>
      <c r="AU377" s="3">
        <v>42520</v>
      </c>
      <c r="AV377" s="3">
        <v>42520</v>
      </c>
      <c r="AW377" t="s">
        <v>54</v>
      </c>
      <c r="AX377" t="str">
        <f t="shared" si="39"/>
        <v>FOR</v>
      </c>
      <c r="AY377" t="s">
        <v>55</v>
      </c>
    </row>
    <row r="378" spans="1:51">
      <c r="A378">
        <v>100210</v>
      </c>
      <c r="B378" t="s">
        <v>88</v>
      </c>
      <c r="C378" t="str">
        <f t="shared" si="38"/>
        <v>08082461008</v>
      </c>
      <c r="D378" t="str">
        <f t="shared" si="38"/>
        <v>08082461008</v>
      </c>
      <c r="E378" t="s">
        <v>52</v>
      </c>
      <c r="F378">
        <v>2015</v>
      </c>
      <c r="G378" t="str">
        <f>"            15092672"</f>
        <v xml:space="preserve">            15092672</v>
      </c>
      <c r="H378" s="3">
        <v>42166</v>
      </c>
      <c r="I378" s="3">
        <v>42167</v>
      </c>
      <c r="J378" s="3">
        <v>42167</v>
      </c>
      <c r="K378" s="3">
        <v>42227</v>
      </c>
      <c r="L378" s="1">
        <v>434.5</v>
      </c>
      <c r="M378">
        <v>293</v>
      </c>
      <c r="N378" s="5">
        <v>127308.5</v>
      </c>
      <c r="O378">
        <v>434.5</v>
      </c>
      <c r="P378">
        <v>293</v>
      </c>
      <c r="Q378" s="4">
        <v>127308.5</v>
      </c>
      <c r="R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 s="3">
        <v>42562</v>
      </c>
      <c r="AC378" t="s">
        <v>53</v>
      </c>
      <c r="AD378" t="s">
        <v>53</v>
      </c>
      <c r="AK378">
        <v>0</v>
      </c>
      <c r="AU378" s="3">
        <v>42520</v>
      </c>
      <c r="AV378" s="3">
        <v>42520</v>
      </c>
      <c r="AW378" t="s">
        <v>54</v>
      </c>
      <c r="AX378" t="str">
        <f t="shared" si="39"/>
        <v>FOR</v>
      </c>
      <c r="AY378" t="s">
        <v>55</v>
      </c>
    </row>
    <row r="379" spans="1:51">
      <c r="A379">
        <v>100210</v>
      </c>
      <c r="B379" t="s">
        <v>88</v>
      </c>
      <c r="C379" t="str">
        <f t="shared" si="38"/>
        <v>08082461008</v>
      </c>
      <c r="D379" t="str">
        <f t="shared" si="38"/>
        <v>08082461008</v>
      </c>
      <c r="E379" t="s">
        <v>52</v>
      </c>
      <c r="F379">
        <v>2015</v>
      </c>
      <c r="G379" t="str">
        <f>"            15092677"</f>
        <v xml:space="preserve">            15092677</v>
      </c>
      <c r="H379" s="3">
        <v>42166</v>
      </c>
      <c r="I379" s="3">
        <v>42167</v>
      </c>
      <c r="J379" s="3">
        <v>42167</v>
      </c>
      <c r="K379" s="3">
        <v>42227</v>
      </c>
      <c r="L379" s="1">
        <v>110</v>
      </c>
      <c r="M379">
        <v>293</v>
      </c>
      <c r="N379" s="5">
        <v>32230</v>
      </c>
      <c r="O379">
        <v>110</v>
      </c>
      <c r="P379">
        <v>293</v>
      </c>
      <c r="Q379" s="4">
        <v>32230</v>
      </c>
      <c r="R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 s="3">
        <v>42562</v>
      </c>
      <c r="AC379" t="s">
        <v>53</v>
      </c>
      <c r="AD379" t="s">
        <v>53</v>
      </c>
      <c r="AK379">
        <v>0</v>
      </c>
      <c r="AU379" s="3">
        <v>42520</v>
      </c>
      <c r="AV379" s="3">
        <v>42520</v>
      </c>
      <c r="AW379" t="s">
        <v>54</v>
      </c>
      <c r="AX379" t="str">
        <f t="shared" si="39"/>
        <v>FOR</v>
      </c>
      <c r="AY379" t="s">
        <v>55</v>
      </c>
    </row>
    <row r="380" spans="1:51">
      <c r="A380">
        <v>100210</v>
      </c>
      <c r="B380" t="s">
        <v>88</v>
      </c>
      <c r="C380" t="str">
        <f t="shared" si="38"/>
        <v>08082461008</v>
      </c>
      <c r="D380" t="str">
        <f t="shared" si="38"/>
        <v>08082461008</v>
      </c>
      <c r="E380" t="s">
        <v>52</v>
      </c>
      <c r="F380">
        <v>2015</v>
      </c>
      <c r="G380" t="str">
        <f>"            15092678"</f>
        <v xml:space="preserve">            15092678</v>
      </c>
      <c r="H380" s="3">
        <v>42166</v>
      </c>
      <c r="I380" s="3">
        <v>42167</v>
      </c>
      <c r="J380" s="3">
        <v>42167</v>
      </c>
      <c r="K380" s="3">
        <v>42227</v>
      </c>
      <c r="L380" s="1">
        <v>110</v>
      </c>
      <c r="M380">
        <v>293</v>
      </c>
      <c r="N380" s="5">
        <v>32230</v>
      </c>
      <c r="O380">
        <v>110</v>
      </c>
      <c r="P380">
        <v>293</v>
      </c>
      <c r="Q380" s="4">
        <v>32230</v>
      </c>
      <c r="R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 s="3">
        <v>42562</v>
      </c>
      <c r="AC380" t="s">
        <v>53</v>
      </c>
      <c r="AD380" t="s">
        <v>53</v>
      </c>
      <c r="AK380">
        <v>0</v>
      </c>
      <c r="AU380" s="3">
        <v>42520</v>
      </c>
      <c r="AV380" s="3">
        <v>42520</v>
      </c>
      <c r="AW380" t="s">
        <v>54</v>
      </c>
      <c r="AX380" t="str">
        <f t="shared" si="39"/>
        <v>FOR</v>
      </c>
      <c r="AY380" t="s">
        <v>55</v>
      </c>
    </row>
    <row r="381" spans="1:51">
      <c r="A381">
        <v>100210</v>
      </c>
      <c r="B381" t="s">
        <v>88</v>
      </c>
      <c r="C381" t="str">
        <f t="shared" si="38"/>
        <v>08082461008</v>
      </c>
      <c r="D381" t="str">
        <f t="shared" si="38"/>
        <v>08082461008</v>
      </c>
      <c r="E381" t="s">
        <v>52</v>
      </c>
      <c r="F381">
        <v>2015</v>
      </c>
      <c r="G381" t="str">
        <f>"            15092680"</f>
        <v xml:space="preserve">            15092680</v>
      </c>
      <c r="H381" s="3">
        <v>42166</v>
      </c>
      <c r="I381" s="3">
        <v>42167</v>
      </c>
      <c r="J381" s="3">
        <v>42167</v>
      </c>
      <c r="K381" s="3">
        <v>42227</v>
      </c>
      <c r="L381" s="1">
        <v>181.5</v>
      </c>
      <c r="M381">
        <v>293</v>
      </c>
      <c r="N381" s="5">
        <v>53179.5</v>
      </c>
      <c r="O381">
        <v>181.5</v>
      </c>
      <c r="P381">
        <v>293</v>
      </c>
      <c r="Q381" s="4">
        <v>53179.5</v>
      </c>
      <c r="R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 s="3">
        <v>42562</v>
      </c>
      <c r="AC381" t="s">
        <v>53</v>
      </c>
      <c r="AD381" t="s">
        <v>53</v>
      </c>
      <c r="AK381">
        <v>0</v>
      </c>
      <c r="AU381" s="3">
        <v>42520</v>
      </c>
      <c r="AV381" s="3">
        <v>42520</v>
      </c>
      <c r="AW381" t="s">
        <v>54</v>
      </c>
      <c r="AX381" t="str">
        <f t="shared" si="39"/>
        <v>FOR</v>
      </c>
      <c r="AY381" t="s">
        <v>55</v>
      </c>
    </row>
    <row r="382" spans="1:51">
      <c r="A382">
        <v>100210</v>
      </c>
      <c r="B382" t="s">
        <v>88</v>
      </c>
      <c r="C382" t="str">
        <f t="shared" si="38"/>
        <v>08082461008</v>
      </c>
      <c r="D382" t="str">
        <f t="shared" si="38"/>
        <v>08082461008</v>
      </c>
      <c r="E382" t="s">
        <v>52</v>
      </c>
      <c r="F382">
        <v>2015</v>
      </c>
      <c r="G382" t="str">
        <f>"            15092681"</f>
        <v xml:space="preserve">            15092681</v>
      </c>
      <c r="H382" s="3">
        <v>42166</v>
      </c>
      <c r="I382" s="3">
        <v>42167</v>
      </c>
      <c r="J382" s="3">
        <v>42167</v>
      </c>
      <c r="K382" s="3">
        <v>42227</v>
      </c>
      <c r="L382" s="1">
        <v>181.5</v>
      </c>
      <c r="M382">
        <v>293</v>
      </c>
      <c r="N382" s="5">
        <v>53179.5</v>
      </c>
      <c r="O382">
        <v>181.5</v>
      </c>
      <c r="P382">
        <v>293</v>
      </c>
      <c r="Q382" s="4">
        <v>53179.5</v>
      </c>
      <c r="R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 s="3">
        <v>42562</v>
      </c>
      <c r="AC382" t="s">
        <v>53</v>
      </c>
      <c r="AD382" t="s">
        <v>53</v>
      </c>
      <c r="AK382">
        <v>0</v>
      </c>
      <c r="AU382" s="3">
        <v>42520</v>
      </c>
      <c r="AV382" s="3">
        <v>42520</v>
      </c>
      <c r="AW382" t="s">
        <v>54</v>
      </c>
      <c r="AX382" t="str">
        <f t="shared" si="39"/>
        <v>FOR</v>
      </c>
      <c r="AY382" t="s">
        <v>55</v>
      </c>
    </row>
    <row r="383" spans="1:51">
      <c r="A383">
        <v>100210</v>
      </c>
      <c r="B383" t="s">
        <v>88</v>
      </c>
      <c r="C383" t="str">
        <f t="shared" si="38"/>
        <v>08082461008</v>
      </c>
      <c r="D383" t="str">
        <f t="shared" si="38"/>
        <v>08082461008</v>
      </c>
      <c r="E383" t="s">
        <v>52</v>
      </c>
      <c r="F383">
        <v>2015</v>
      </c>
      <c r="G383" t="str">
        <f>"            15092682"</f>
        <v xml:space="preserve">            15092682</v>
      </c>
      <c r="H383" s="3">
        <v>42166</v>
      </c>
      <c r="I383" s="3">
        <v>42167</v>
      </c>
      <c r="J383" s="3">
        <v>42167</v>
      </c>
      <c r="K383" s="3">
        <v>42227</v>
      </c>
      <c r="L383" s="1">
        <v>181.5</v>
      </c>
      <c r="M383">
        <v>293</v>
      </c>
      <c r="N383" s="5">
        <v>53179.5</v>
      </c>
      <c r="O383">
        <v>181.5</v>
      </c>
      <c r="P383">
        <v>293</v>
      </c>
      <c r="Q383" s="4">
        <v>53179.5</v>
      </c>
      <c r="R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 s="3">
        <v>42562</v>
      </c>
      <c r="AC383" t="s">
        <v>53</v>
      </c>
      <c r="AD383" t="s">
        <v>53</v>
      </c>
      <c r="AK383">
        <v>0</v>
      </c>
      <c r="AU383" s="3">
        <v>42520</v>
      </c>
      <c r="AV383" s="3">
        <v>42520</v>
      </c>
      <c r="AW383" t="s">
        <v>54</v>
      </c>
      <c r="AX383" t="str">
        <f t="shared" si="39"/>
        <v>FOR</v>
      </c>
      <c r="AY383" t="s">
        <v>55</v>
      </c>
    </row>
    <row r="384" spans="1:51">
      <c r="A384">
        <v>100210</v>
      </c>
      <c r="B384" t="s">
        <v>88</v>
      </c>
      <c r="C384" t="str">
        <f t="shared" si="38"/>
        <v>08082461008</v>
      </c>
      <c r="D384" t="str">
        <f t="shared" si="38"/>
        <v>08082461008</v>
      </c>
      <c r="E384" t="s">
        <v>52</v>
      </c>
      <c r="F384">
        <v>2015</v>
      </c>
      <c r="G384" t="str">
        <f>"            15092683"</f>
        <v xml:space="preserve">            15092683</v>
      </c>
      <c r="H384" s="3">
        <v>42166</v>
      </c>
      <c r="I384" s="3">
        <v>42167</v>
      </c>
      <c r="J384" s="3">
        <v>42167</v>
      </c>
      <c r="K384" s="3">
        <v>42227</v>
      </c>
      <c r="L384" s="1">
        <v>181.5</v>
      </c>
      <c r="M384">
        <v>293</v>
      </c>
      <c r="N384" s="5">
        <v>53179.5</v>
      </c>
      <c r="O384">
        <v>181.5</v>
      </c>
      <c r="P384">
        <v>293</v>
      </c>
      <c r="Q384" s="4">
        <v>53179.5</v>
      </c>
      <c r="R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 s="3">
        <v>42562</v>
      </c>
      <c r="AC384" t="s">
        <v>53</v>
      </c>
      <c r="AD384" t="s">
        <v>53</v>
      </c>
      <c r="AK384">
        <v>0</v>
      </c>
      <c r="AU384" s="3">
        <v>42520</v>
      </c>
      <c r="AV384" s="3">
        <v>42520</v>
      </c>
      <c r="AW384" t="s">
        <v>54</v>
      </c>
      <c r="AX384" t="str">
        <f t="shared" si="39"/>
        <v>FOR</v>
      </c>
      <c r="AY384" t="s">
        <v>55</v>
      </c>
    </row>
    <row r="385" spans="1:51">
      <c r="A385">
        <v>100210</v>
      </c>
      <c r="B385" t="s">
        <v>88</v>
      </c>
      <c r="C385" t="str">
        <f t="shared" si="38"/>
        <v>08082461008</v>
      </c>
      <c r="D385" t="str">
        <f t="shared" si="38"/>
        <v>08082461008</v>
      </c>
      <c r="E385" t="s">
        <v>52</v>
      </c>
      <c r="F385">
        <v>2015</v>
      </c>
      <c r="G385" t="str">
        <f>"            15092684"</f>
        <v xml:space="preserve">            15092684</v>
      </c>
      <c r="H385" s="3">
        <v>42166</v>
      </c>
      <c r="I385" s="3">
        <v>42167</v>
      </c>
      <c r="J385" s="3">
        <v>42167</v>
      </c>
      <c r="K385" s="3">
        <v>42227</v>
      </c>
      <c r="L385" s="1">
        <v>181.5</v>
      </c>
      <c r="M385">
        <v>293</v>
      </c>
      <c r="N385" s="5">
        <v>53179.5</v>
      </c>
      <c r="O385">
        <v>181.5</v>
      </c>
      <c r="P385">
        <v>293</v>
      </c>
      <c r="Q385" s="4">
        <v>53179.5</v>
      </c>
      <c r="R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 s="3">
        <v>42562</v>
      </c>
      <c r="AC385" t="s">
        <v>53</v>
      </c>
      <c r="AD385" t="s">
        <v>53</v>
      </c>
      <c r="AK385">
        <v>0</v>
      </c>
      <c r="AU385" s="3">
        <v>42520</v>
      </c>
      <c r="AV385" s="3">
        <v>42520</v>
      </c>
      <c r="AW385" t="s">
        <v>54</v>
      </c>
      <c r="AX385" t="str">
        <f t="shared" si="39"/>
        <v>FOR</v>
      </c>
      <c r="AY385" t="s">
        <v>55</v>
      </c>
    </row>
    <row r="386" spans="1:51">
      <c r="A386">
        <v>100210</v>
      </c>
      <c r="B386" t="s">
        <v>88</v>
      </c>
      <c r="C386" t="str">
        <f t="shared" si="38"/>
        <v>08082461008</v>
      </c>
      <c r="D386" t="str">
        <f t="shared" si="38"/>
        <v>08082461008</v>
      </c>
      <c r="E386" t="s">
        <v>52</v>
      </c>
      <c r="F386">
        <v>2015</v>
      </c>
      <c r="G386" t="str">
        <f>"            15092688"</f>
        <v xml:space="preserve">            15092688</v>
      </c>
      <c r="H386" s="3">
        <v>42166</v>
      </c>
      <c r="I386" s="3">
        <v>42167</v>
      </c>
      <c r="J386" s="3">
        <v>42167</v>
      </c>
      <c r="K386" s="3">
        <v>42227</v>
      </c>
      <c r="L386" s="1">
        <v>181.5</v>
      </c>
      <c r="M386">
        <v>293</v>
      </c>
      <c r="N386" s="5">
        <v>53179.5</v>
      </c>
      <c r="O386">
        <v>181.5</v>
      </c>
      <c r="P386">
        <v>293</v>
      </c>
      <c r="Q386" s="4">
        <v>53179.5</v>
      </c>
      <c r="R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 s="3">
        <v>42562</v>
      </c>
      <c r="AC386" t="s">
        <v>53</v>
      </c>
      <c r="AD386" t="s">
        <v>53</v>
      </c>
      <c r="AK386">
        <v>0</v>
      </c>
      <c r="AU386" s="3">
        <v>42520</v>
      </c>
      <c r="AV386" s="3">
        <v>42520</v>
      </c>
      <c r="AW386" t="s">
        <v>54</v>
      </c>
      <c r="AX386" t="str">
        <f t="shared" si="39"/>
        <v>FOR</v>
      </c>
      <c r="AY386" t="s">
        <v>55</v>
      </c>
    </row>
    <row r="387" spans="1:51">
      <c r="A387">
        <v>100210</v>
      </c>
      <c r="B387" t="s">
        <v>88</v>
      </c>
      <c r="C387" t="str">
        <f t="shared" ref="C387:D402" si="40">"08082461008"</f>
        <v>08082461008</v>
      </c>
      <c r="D387" t="str">
        <f t="shared" si="40"/>
        <v>08082461008</v>
      </c>
      <c r="E387" t="s">
        <v>52</v>
      </c>
      <c r="F387">
        <v>2015</v>
      </c>
      <c r="G387" t="str">
        <f>"            15092689"</f>
        <v xml:space="preserve">            15092689</v>
      </c>
      <c r="H387" s="3">
        <v>42166</v>
      </c>
      <c r="I387" s="3">
        <v>42167</v>
      </c>
      <c r="J387" s="3">
        <v>42167</v>
      </c>
      <c r="K387" s="3">
        <v>42227</v>
      </c>
      <c r="L387" s="1">
        <v>500.5</v>
      </c>
      <c r="M387">
        <v>293</v>
      </c>
      <c r="N387" s="5">
        <v>146646.5</v>
      </c>
      <c r="O387">
        <v>500.5</v>
      </c>
      <c r="P387">
        <v>293</v>
      </c>
      <c r="Q387" s="4">
        <v>146646.5</v>
      </c>
      <c r="R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 s="3">
        <v>42562</v>
      </c>
      <c r="AC387" t="s">
        <v>53</v>
      </c>
      <c r="AD387" t="s">
        <v>53</v>
      </c>
      <c r="AK387">
        <v>0</v>
      </c>
      <c r="AU387" s="3">
        <v>42520</v>
      </c>
      <c r="AV387" s="3">
        <v>42520</v>
      </c>
      <c r="AW387" t="s">
        <v>54</v>
      </c>
      <c r="AX387" t="str">
        <f t="shared" si="39"/>
        <v>FOR</v>
      </c>
      <c r="AY387" t="s">
        <v>55</v>
      </c>
    </row>
    <row r="388" spans="1:51">
      <c r="A388">
        <v>100210</v>
      </c>
      <c r="B388" t="s">
        <v>88</v>
      </c>
      <c r="C388" t="str">
        <f t="shared" si="40"/>
        <v>08082461008</v>
      </c>
      <c r="D388" t="str">
        <f t="shared" si="40"/>
        <v>08082461008</v>
      </c>
      <c r="E388" t="s">
        <v>52</v>
      </c>
      <c r="F388">
        <v>2015</v>
      </c>
      <c r="G388" t="str">
        <f>"            15092691"</f>
        <v xml:space="preserve">            15092691</v>
      </c>
      <c r="H388" s="3">
        <v>42166</v>
      </c>
      <c r="I388" s="3">
        <v>42167</v>
      </c>
      <c r="J388" s="3">
        <v>42167</v>
      </c>
      <c r="K388" s="3">
        <v>42227</v>
      </c>
      <c r="L388" s="1">
        <v>434.5</v>
      </c>
      <c r="M388">
        <v>293</v>
      </c>
      <c r="N388" s="5">
        <v>127308.5</v>
      </c>
      <c r="O388">
        <v>434.5</v>
      </c>
      <c r="P388">
        <v>293</v>
      </c>
      <c r="Q388" s="4">
        <v>127308.5</v>
      </c>
      <c r="R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 s="3">
        <v>42562</v>
      </c>
      <c r="AC388" t="s">
        <v>53</v>
      </c>
      <c r="AD388" t="s">
        <v>53</v>
      </c>
      <c r="AK388">
        <v>0</v>
      </c>
      <c r="AU388" s="3">
        <v>42520</v>
      </c>
      <c r="AV388" s="3">
        <v>42520</v>
      </c>
      <c r="AW388" t="s">
        <v>54</v>
      </c>
      <c r="AX388" t="str">
        <f t="shared" si="39"/>
        <v>FOR</v>
      </c>
      <c r="AY388" t="s">
        <v>55</v>
      </c>
    </row>
    <row r="389" spans="1:51">
      <c r="A389">
        <v>100210</v>
      </c>
      <c r="B389" t="s">
        <v>88</v>
      </c>
      <c r="C389" t="str">
        <f t="shared" si="40"/>
        <v>08082461008</v>
      </c>
      <c r="D389" t="str">
        <f t="shared" si="40"/>
        <v>08082461008</v>
      </c>
      <c r="E389" t="s">
        <v>52</v>
      </c>
      <c r="F389">
        <v>2015</v>
      </c>
      <c r="G389" t="str">
        <f>"            15092692"</f>
        <v xml:space="preserve">            15092692</v>
      </c>
      <c r="H389" s="3">
        <v>42166</v>
      </c>
      <c r="I389" s="3">
        <v>42167</v>
      </c>
      <c r="J389" s="3">
        <v>42167</v>
      </c>
      <c r="K389" s="3">
        <v>42227</v>
      </c>
      <c r="L389" s="1">
        <v>434.5</v>
      </c>
      <c r="M389">
        <v>293</v>
      </c>
      <c r="N389" s="5">
        <v>127308.5</v>
      </c>
      <c r="O389">
        <v>434.5</v>
      </c>
      <c r="P389">
        <v>293</v>
      </c>
      <c r="Q389" s="4">
        <v>127308.5</v>
      </c>
      <c r="R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 s="3">
        <v>42562</v>
      </c>
      <c r="AC389" t="s">
        <v>53</v>
      </c>
      <c r="AD389" t="s">
        <v>53</v>
      </c>
      <c r="AK389">
        <v>0</v>
      </c>
      <c r="AU389" s="3">
        <v>42520</v>
      </c>
      <c r="AV389" s="3">
        <v>42520</v>
      </c>
      <c r="AW389" t="s">
        <v>54</v>
      </c>
      <c r="AX389" t="str">
        <f t="shared" si="39"/>
        <v>FOR</v>
      </c>
      <c r="AY389" t="s">
        <v>55</v>
      </c>
    </row>
    <row r="390" spans="1:51">
      <c r="A390">
        <v>100210</v>
      </c>
      <c r="B390" t="s">
        <v>88</v>
      </c>
      <c r="C390" t="str">
        <f t="shared" si="40"/>
        <v>08082461008</v>
      </c>
      <c r="D390" t="str">
        <f t="shared" si="40"/>
        <v>08082461008</v>
      </c>
      <c r="E390" t="s">
        <v>52</v>
      </c>
      <c r="F390">
        <v>2015</v>
      </c>
      <c r="G390" t="str">
        <f>"            15092694"</f>
        <v xml:space="preserve">            15092694</v>
      </c>
      <c r="H390" s="3">
        <v>42166</v>
      </c>
      <c r="I390" s="3">
        <v>42167</v>
      </c>
      <c r="J390" s="3">
        <v>42167</v>
      </c>
      <c r="K390" s="3">
        <v>42227</v>
      </c>
      <c r="L390" s="1">
        <v>434.5</v>
      </c>
      <c r="M390">
        <v>293</v>
      </c>
      <c r="N390" s="5">
        <v>127308.5</v>
      </c>
      <c r="O390">
        <v>434.5</v>
      </c>
      <c r="P390">
        <v>293</v>
      </c>
      <c r="Q390" s="4">
        <v>127308.5</v>
      </c>
      <c r="R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 s="3">
        <v>42562</v>
      </c>
      <c r="AC390" t="s">
        <v>53</v>
      </c>
      <c r="AD390" t="s">
        <v>53</v>
      </c>
      <c r="AK390">
        <v>0</v>
      </c>
      <c r="AU390" s="3">
        <v>42520</v>
      </c>
      <c r="AV390" s="3">
        <v>42520</v>
      </c>
      <c r="AW390" t="s">
        <v>54</v>
      </c>
      <c r="AX390" t="str">
        <f t="shared" si="39"/>
        <v>FOR</v>
      </c>
      <c r="AY390" t="s">
        <v>55</v>
      </c>
    </row>
    <row r="391" spans="1:51">
      <c r="A391">
        <v>100210</v>
      </c>
      <c r="B391" t="s">
        <v>88</v>
      </c>
      <c r="C391" t="str">
        <f t="shared" si="40"/>
        <v>08082461008</v>
      </c>
      <c r="D391" t="str">
        <f t="shared" si="40"/>
        <v>08082461008</v>
      </c>
      <c r="E391" t="s">
        <v>52</v>
      </c>
      <c r="F391">
        <v>2015</v>
      </c>
      <c r="G391" t="str">
        <f>"            15092696"</f>
        <v xml:space="preserve">            15092696</v>
      </c>
      <c r="H391" s="3">
        <v>42166</v>
      </c>
      <c r="I391" s="3">
        <v>42167</v>
      </c>
      <c r="J391" s="3">
        <v>42167</v>
      </c>
      <c r="K391" s="3">
        <v>42227</v>
      </c>
      <c r="L391" s="1">
        <v>434.5</v>
      </c>
      <c r="M391">
        <v>293</v>
      </c>
      <c r="N391" s="5">
        <v>127308.5</v>
      </c>
      <c r="O391">
        <v>434.5</v>
      </c>
      <c r="P391">
        <v>293</v>
      </c>
      <c r="Q391" s="4">
        <v>127308.5</v>
      </c>
      <c r="R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 s="3">
        <v>42562</v>
      </c>
      <c r="AC391" t="s">
        <v>53</v>
      </c>
      <c r="AD391" t="s">
        <v>53</v>
      </c>
      <c r="AK391">
        <v>0</v>
      </c>
      <c r="AU391" s="3">
        <v>42520</v>
      </c>
      <c r="AV391" s="3">
        <v>42520</v>
      </c>
      <c r="AW391" t="s">
        <v>54</v>
      </c>
      <c r="AX391" t="str">
        <f t="shared" si="39"/>
        <v>FOR</v>
      </c>
      <c r="AY391" t="s">
        <v>55</v>
      </c>
    </row>
    <row r="392" spans="1:51">
      <c r="A392">
        <v>100210</v>
      </c>
      <c r="B392" t="s">
        <v>88</v>
      </c>
      <c r="C392" t="str">
        <f t="shared" si="40"/>
        <v>08082461008</v>
      </c>
      <c r="D392" t="str">
        <f t="shared" si="40"/>
        <v>08082461008</v>
      </c>
      <c r="E392" t="s">
        <v>52</v>
      </c>
      <c r="F392">
        <v>2015</v>
      </c>
      <c r="G392" t="str">
        <f>"            15092796"</f>
        <v xml:space="preserve">            15092796</v>
      </c>
      <c r="H392" s="3">
        <v>42166</v>
      </c>
      <c r="I392" s="3">
        <v>42167</v>
      </c>
      <c r="J392" s="3">
        <v>42167</v>
      </c>
      <c r="K392" s="3">
        <v>42227</v>
      </c>
      <c r="L392" s="1">
        <v>559.41999999999996</v>
      </c>
      <c r="M392">
        <v>293</v>
      </c>
      <c r="N392" s="5">
        <v>163910.06</v>
      </c>
      <c r="O392">
        <v>559.41999999999996</v>
      </c>
      <c r="P392">
        <v>293</v>
      </c>
      <c r="Q392" s="4">
        <v>163910.06</v>
      </c>
      <c r="R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 s="3">
        <v>42562</v>
      </c>
      <c r="AC392" t="s">
        <v>53</v>
      </c>
      <c r="AD392" t="s">
        <v>53</v>
      </c>
      <c r="AK392">
        <v>0</v>
      </c>
      <c r="AU392" s="3">
        <v>42520</v>
      </c>
      <c r="AV392" s="3">
        <v>42520</v>
      </c>
      <c r="AW392" t="s">
        <v>54</v>
      </c>
      <c r="AX392" t="str">
        <f t="shared" si="39"/>
        <v>FOR</v>
      </c>
      <c r="AY392" t="s">
        <v>55</v>
      </c>
    </row>
    <row r="393" spans="1:51">
      <c r="A393">
        <v>100210</v>
      </c>
      <c r="B393" t="s">
        <v>88</v>
      </c>
      <c r="C393" t="str">
        <f t="shared" si="40"/>
        <v>08082461008</v>
      </c>
      <c r="D393" t="str">
        <f t="shared" si="40"/>
        <v>08082461008</v>
      </c>
      <c r="E393" t="s">
        <v>52</v>
      </c>
      <c r="F393">
        <v>2015</v>
      </c>
      <c r="G393" t="str">
        <f>"            15093671"</f>
        <v xml:space="preserve">            15093671</v>
      </c>
      <c r="H393" s="3">
        <v>42167</v>
      </c>
      <c r="I393" s="3">
        <v>42170</v>
      </c>
      <c r="J393" s="3">
        <v>42168</v>
      </c>
      <c r="K393" s="3">
        <v>42228</v>
      </c>
      <c r="L393" s="1">
        <v>400</v>
      </c>
      <c r="M393">
        <v>292</v>
      </c>
      <c r="N393" s="5">
        <v>116800</v>
      </c>
      <c r="O393">
        <v>400</v>
      </c>
      <c r="P393">
        <v>292</v>
      </c>
      <c r="Q393" s="4">
        <v>116800</v>
      </c>
      <c r="R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 s="3">
        <v>42562</v>
      </c>
      <c r="AC393" t="s">
        <v>53</v>
      </c>
      <c r="AD393" t="s">
        <v>53</v>
      </c>
      <c r="AK393">
        <v>0</v>
      </c>
      <c r="AU393" s="3">
        <v>42520</v>
      </c>
      <c r="AV393" s="3">
        <v>42520</v>
      </c>
      <c r="AW393" t="s">
        <v>54</v>
      </c>
      <c r="AX393" t="str">
        <f t="shared" si="39"/>
        <v>FOR</v>
      </c>
      <c r="AY393" t="s">
        <v>55</v>
      </c>
    </row>
    <row r="394" spans="1:51">
      <c r="A394">
        <v>100210</v>
      </c>
      <c r="B394" t="s">
        <v>88</v>
      </c>
      <c r="C394" t="str">
        <f t="shared" si="40"/>
        <v>08082461008</v>
      </c>
      <c r="D394" t="str">
        <f t="shared" si="40"/>
        <v>08082461008</v>
      </c>
      <c r="E394" t="s">
        <v>52</v>
      </c>
      <c r="F394">
        <v>2015</v>
      </c>
      <c r="G394" t="str">
        <f>"            15097326"</f>
        <v xml:space="preserve">            15097326</v>
      </c>
      <c r="H394" s="3">
        <v>42173</v>
      </c>
      <c r="I394" s="3">
        <v>42177</v>
      </c>
      <c r="J394" s="3">
        <v>42174</v>
      </c>
      <c r="K394" s="3">
        <v>42234</v>
      </c>
      <c r="L394" s="1">
        <v>297.89999999999998</v>
      </c>
      <c r="M394">
        <v>286</v>
      </c>
      <c r="N394" s="5">
        <v>85199.4</v>
      </c>
      <c r="O394">
        <v>297.89999999999998</v>
      </c>
      <c r="P394">
        <v>286</v>
      </c>
      <c r="Q394" s="4">
        <v>85199.4</v>
      </c>
      <c r="R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 s="3">
        <v>42562</v>
      </c>
      <c r="AC394" t="s">
        <v>53</v>
      </c>
      <c r="AD394" t="s">
        <v>53</v>
      </c>
      <c r="AK394">
        <v>0</v>
      </c>
      <c r="AU394" s="3">
        <v>42520</v>
      </c>
      <c r="AV394" s="3">
        <v>42520</v>
      </c>
      <c r="AW394" t="s">
        <v>54</v>
      </c>
      <c r="AX394" t="str">
        <f t="shared" si="39"/>
        <v>FOR</v>
      </c>
      <c r="AY394" t="s">
        <v>55</v>
      </c>
    </row>
    <row r="395" spans="1:51">
      <c r="A395">
        <v>100210</v>
      </c>
      <c r="B395" t="s">
        <v>88</v>
      </c>
      <c r="C395" t="str">
        <f t="shared" si="40"/>
        <v>08082461008</v>
      </c>
      <c r="D395" t="str">
        <f t="shared" si="40"/>
        <v>08082461008</v>
      </c>
      <c r="E395" t="s">
        <v>52</v>
      </c>
      <c r="F395">
        <v>2015</v>
      </c>
      <c r="G395" t="str">
        <f>"            15097588"</f>
        <v xml:space="preserve">            15097588</v>
      </c>
      <c r="H395" s="3">
        <v>42173</v>
      </c>
      <c r="I395" s="3">
        <v>42177</v>
      </c>
      <c r="J395" s="3">
        <v>42174</v>
      </c>
      <c r="K395" s="3">
        <v>42234</v>
      </c>
      <c r="L395" s="5">
        <v>1075</v>
      </c>
      <c r="M395">
        <v>286</v>
      </c>
      <c r="N395" s="5">
        <v>307450</v>
      </c>
      <c r="O395" s="4">
        <v>1075</v>
      </c>
      <c r="P395">
        <v>286</v>
      </c>
      <c r="Q395" s="4">
        <v>307450</v>
      </c>
      <c r="R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 s="3">
        <v>42562</v>
      </c>
      <c r="AC395" t="s">
        <v>53</v>
      </c>
      <c r="AD395" t="s">
        <v>53</v>
      </c>
      <c r="AK395">
        <v>0</v>
      </c>
      <c r="AU395" s="3">
        <v>42520</v>
      </c>
      <c r="AV395" s="3">
        <v>42520</v>
      </c>
      <c r="AW395" t="s">
        <v>54</v>
      </c>
      <c r="AX395" t="str">
        <f t="shared" si="39"/>
        <v>FOR</v>
      </c>
      <c r="AY395" t="s">
        <v>55</v>
      </c>
    </row>
    <row r="396" spans="1:51">
      <c r="A396">
        <v>100210</v>
      </c>
      <c r="B396" t="s">
        <v>88</v>
      </c>
      <c r="C396" t="str">
        <f t="shared" si="40"/>
        <v>08082461008</v>
      </c>
      <c r="D396" t="str">
        <f t="shared" si="40"/>
        <v>08082461008</v>
      </c>
      <c r="E396" t="s">
        <v>52</v>
      </c>
      <c r="F396">
        <v>2015</v>
      </c>
      <c r="G396" t="str">
        <f>"            15098834"</f>
        <v xml:space="preserve">            15098834</v>
      </c>
      <c r="H396" s="3">
        <v>42177</v>
      </c>
      <c r="I396" s="3">
        <v>42178</v>
      </c>
      <c r="J396" s="3">
        <v>42178</v>
      </c>
      <c r="K396" s="3">
        <v>42238</v>
      </c>
      <c r="L396" s="1">
        <v>620</v>
      </c>
      <c r="M396">
        <v>282</v>
      </c>
      <c r="N396" s="5">
        <v>174840</v>
      </c>
      <c r="O396">
        <v>620</v>
      </c>
      <c r="P396">
        <v>282</v>
      </c>
      <c r="Q396" s="4">
        <v>174840</v>
      </c>
      <c r="R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 s="3">
        <v>42562</v>
      </c>
      <c r="AC396" t="s">
        <v>53</v>
      </c>
      <c r="AD396" t="s">
        <v>53</v>
      </c>
      <c r="AK396">
        <v>0</v>
      </c>
      <c r="AU396" s="3">
        <v>42520</v>
      </c>
      <c r="AV396" s="3">
        <v>42520</v>
      </c>
      <c r="AW396" t="s">
        <v>54</v>
      </c>
      <c r="AX396" t="str">
        <f t="shared" si="39"/>
        <v>FOR</v>
      </c>
      <c r="AY396" t="s">
        <v>55</v>
      </c>
    </row>
    <row r="397" spans="1:51">
      <c r="A397">
        <v>100210</v>
      </c>
      <c r="B397" t="s">
        <v>88</v>
      </c>
      <c r="C397" t="str">
        <f t="shared" si="40"/>
        <v>08082461008</v>
      </c>
      <c r="D397" t="str">
        <f t="shared" si="40"/>
        <v>08082461008</v>
      </c>
      <c r="E397" t="s">
        <v>52</v>
      </c>
      <c r="F397">
        <v>2015</v>
      </c>
      <c r="G397" t="str">
        <f>"            15104929"</f>
        <v xml:space="preserve">            15104929</v>
      </c>
      <c r="H397" s="3">
        <v>42184</v>
      </c>
      <c r="I397" s="3">
        <v>42191</v>
      </c>
      <c r="J397" s="3">
        <v>42185</v>
      </c>
      <c r="K397" s="3">
        <v>42245</v>
      </c>
      <c r="L397" s="5">
        <v>1989</v>
      </c>
      <c r="M397">
        <v>275</v>
      </c>
      <c r="N397" s="5">
        <v>546975</v>
      </c>
      <c r="O397" s="4">
        <v>1989</v>
      </c>
      <c r="P397">
        <v>275</v>
      </c>
      <c r="Q397" s="4">
        <v>546975</v>
      </c>
      <c r="R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 s="3">
        <v>42562</v>
      </c>
      <c r="AC397" t="s">
        <v>53</v>
      </c>
      <c r="AD397" t="s">
        <v>53</v>
      </c>
      <c r="AK397">
        <v>0</v>
      </c>
      <c r="AU397" s="3">
        <v>42520</v>
      </c>
      <c r="AV397" s="3">
        <v>42520</v>
      </c>
      <c r="AW397" t="s">
        <v>54</v>
      </c>
      <c r="AX397" t="str">
        <f t="shared" si="39"/>
        <v>FOR</v>
      </c>
      <c r="AY397" t="s">
        <v>55</v>
      </c>
    </row>
    <row r="398" spans="1:51">
      <c r="A398">
        <v>100210</v>
      </c>
      <c r="B398" t="s">
        <v>88</v>
      </c>
      <c r="C398" t="str">
        <f t="shared" si="40"/>
        <v>08082461008</v>
      </c>
      <c r="D398" t="str">
        <f t="shared" si="40"/>
        <v>08082461008</v>
      </c>
      <c r="E398" t="s">
        <v>52</v>
      </c>
      <c r="F398">
        <v>2015</v>
      </c>
      <c r="G398" t="str">
        <f>"            15105650"</f>
        <v xml:space="preserve">            15105650</v>
      </c>
      <c r="H398" s="3">
        <v>42185</v>
      </c>
      <c r="I398" s="3">
        <v>42191</v>
      </c>
      <c r="J398" s="3">
        <v>42186</v>
      </c>
      <c r="K398" s="3">
        <v>42246</v>
      </c>
      <c r="L398" s="5">
        <v>2847.6</v>
      </c>
      <c r="M398">
        <v>274</v>
      </c>
      <c r="N398" s="5">
        <v>780242.4</v>
      </c>
      <c r="O398" s="4">
        <v>2847.6</v>
      </c>
      <c r="P398">
        <v>274</v>
      </c>
      <c r="Q398" s="4">
        <v>780242.4</v>
      </c>
      <c r="R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 s="3">
        <v>42562</v>
      </c>
      <c r="AC398" t="s">
        <v>53</v>
      </c>
      <c r="AD398" t="s">
        <v>53</v>
      </c>
      <c r="AK398">
        <v>0</v>
      </c>
      <c r="AU398" s="3">
        <v>42520</v>
      </c>
      <c r="AV398" s="3">
        <v>42520</v>
      </c>
      <c r="AW398" t="s">
        <v>54</v>
      </c>
      <c r="AX398" t="str">
        <f t="shared" si="39"/>
        <v>FOR</v>
      </c>
      <c r="AY398" t="s">
        <v>55</v>
      </c>
    </row>
    <row r="399" spans="1:51">
      <c r="A399">
        <v>100210</v>
      </c>
      <c r="B399" t="s">
        <v>88</v>
      </c>
      <c r="C399" t="str">
        <f t="shared" si="40"/>
        <v>08082461008</v>
      </c>
      <c r="D399" t="str">
        <f t="shared" si="40"/>
        <v>08082461008</v>
      </c>
      <c r="E399" t="s">
        <v>52</v>
      </c>
      <c r="F399">
        <v>2015</v>
      </c>
      <c r="G399" t="str">
        <f>"            15105655"</f>
        <v xml:space="preserve">            15105655</v>
      </c>
      <c r="H399" s="3">
        <v>42185</v>
      </c>
      <c r="I399" s="3">
        <v>42191</v>
      </c>
      <c r="J399" s="3">
        <v>42186</v>
      </c>
      <c r="K399" s="3">
        <v>42246</v>
      </c>
      <c r="L399" s="1">
        <v>210.6</v>
      </c>
      <c r="M399">
        <v>274</v>
      </c>
      <c r="N399" s="5">
        <v>57704.4</v>
      </c>
      <c r="O399">
        <v>210.6</v>
      </c>
      <c r="P399">
        <v>274</v>
      </c>
      <c r="Q399" s="4">
        <v>57704.4</v>
      </c>
      <c r="R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 s="3">
        <v>42562</v>
      </c>
      <c r="AC399" t="s">
        <v>53</v>
      </c>
      <c r="AD399" t="s">
        <v>53</v>
      </c>
      <c r="AK399">
        <v>0</v>
      </c>
      <c r="AU399" s="3">
        <v>42520</v>
      </c>
      <c r="AV399" s="3">
        <v>42520</v>
      </c>
      <c r="AW399" t="s">
        <v>54</v>
      </c>
      <c r="AX399" t="str">
        <f t="shared" si="39"/>
        <v>FOR</v>
      </c>
      <c r="AY399" t="s">
        <v>55</v>
      </c>
    </row>
    <row r="400" spans="1:51" hidden="1">
      <c r="A400">
        <v>100210</v>
      </c>
      <c r="B400" t="s">
        <v>88</v>
      </c>
      <c r="C400" t="str">
        <f t="shared" si="40"/>
        <v>08082461008</v>
      </c>
      <c r="D400" t="str">
        <f t="shared" si="40"/>
        <v>08082461008</v>
      </c>
      <c r="E400" t="s">
        <v>52</v>
      </c>
      <c r="F400">
        <v>2015</v>
      </c>
      <c r="G400" t="str">
        <f>"            98515265"</f>
        <v xml:space="preserve">            98515265</v>
      </c>
      <c r="H400" s="3">
        <v>42055</v>
      </c>
      <c r="I400" s="3">
        <v>42089</v>
      </c>
      <c r="J400" s="3">
        <v>42089</v>
      </c>
      <c r="K400" s="3">
        <v>42149</v>
      </c>
      <c r="L400"/>
      <c r="N400"/>
      <c r="O400">
        <v>875.47</v>
      </c>
      <c r="P400">
        <v>254</v>
      </c>
      <c r="Q400" s="4">
        <v>222369.38</v>
      </c>
      <c r="R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 s="3">
        <v>42562</v>
      </c>
      <c r="AC400" t="s">
        <v>53</v>
      </c>
      <c r="AD400" t="s">
        <v>53</v>
      </c>
      <c r="AK400">
        <v>0</v>
      </c>
      <c r="AU400" s="3">
        <v>42403</v>
      </c>
      <c r="AV400" s="3">
        <v>42403</v>
      </c>
      <c r="AW400" t="s">
        <v>54</v>
      </c>
      <c r="AX400" t="str">
        <f t="shared" si="39"/>
        <v>FOR</v>
      </c>
      <c r="AY400" t="s">
        <v>55</v>
      </c>
    </row>
    <row r="401" spans="1:51" hidden="1">
      <c r="A401">
        <v>100210</v>
      </c>
      <c r="B401" t="s">
        <v>88</v>
      </c>
      <c r="C401" t="str">
        <f t="shared" si="40"/>
        <v>08082461008</v>
      </c>
      <c r="D401" t="str">
        <f t="shared" si="40"/>
        <v>08082461008</v>
      </c>
      <c r="E401" t="s">
        <v>52</v>
      </c>
      <c r="F401">
        <v>2015</v>
      </c>
      <c r="G401" t="str">
        <f>"            98518423"</f>
        <v xml:space="preserve">            98518423</v>
      </c>
      <c r="H401" s="3">
        <v>42073</v>
      </c>
      <c r="I401" s="3">
        <v>42094</v>
      </c>
      <c r="J401" s="3">
        <v>42094</v>
      </c>
      <c r="K401" s="3">
        <v>42154</v>
      </c>
      <c r="L401"/>
      <c r="N401"/>
      <c r="O401" s="4">
        <v>3054.58</v>
      </c>
      <c r="P401">
        <v>262</v>
      </c>
      <c r="Q401" s="4">
        <v>800299.96</v>
      </c>
      <c r="R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 s="3">
        <v>42562</v>
      </c>
      <c r="AC401" t="s">
        <v>53</v>
      </c>
      <c r="AD401" t="s">
        <v>53</v>
      </c>
      <c r="AK401">
        <v>0</v>
      </c>
      <c r="AU401" s="3">
        <v>42416</v>
      </c>
      <c r="AV401" s="3">
        <v>42416</v>
      </c>
      <c r="AW401" t="s">
        <v>54</v>
      </c>
      <c r="AX401" t="str">
        <f t="shared" si="39"/>
        <v>FOR</v>
      </c>
      <c r="AY401" t="s">
        <v>55</v>
      </c>
    </row>
    <row r="402" spans="1:51" hidden="1">
      <c r="A402">
        <v>100210</v>
      </c>
      <c r="B402" t="s">
        <v>88</v>
      </c>
      <c r="C402" t="str">
        <f t="shared" si="40"/>
        <v>08082461008</v>
      </c>
      <c r="D402" t="str">
        <f t="shared" si="40"/>
        <v>08082461008</v>
      </c>
      <c r="E402" t="s">
        <v>52</v>
      </c>
      <c r="F402">
        <v>2015</v>
      </c>
      <c r="G402" t="str">
        <f>"            98524236"</f>
        <v xml:space="preserve">            98524236</v>
      </c>
      <c r="H402" s="3">
        <v>42103</v>
      </c>
      <c r="I402" s="3">
        <v>42123</v>
      </c>
      <c r="J402" s="3">
        <v>42123</v>
      </c>
      <c r="K402" s="3">
        <v>42183</v>
      </c>
      <c r="L402"/>
      <c r="N402"/>
      <c r="O402">
        <v>885.04</v>
      </c>
      <c r="P402">
        <v>270</v>
      </c>
      <c r="Q402" s="4">
        <v>238960.8</v>
      </c>
      <c r="R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 s="3">
        <v>42562</v>
      </c>
      <c r="AC402" t="s">
        <v>53</v>
      </c>
      <c r="AD402" t="s">
        <v>53</v>
      </c>
      <c r="AK402">
        <v>0</v>
      </c>
      <c r="AU402" s="3">
        <v>42453</v>
      </c>
      <c r="AV402" s="3">
        <v>42453</v>
      </c>
      <c r="AW402" t="s">
        <v>54</v>
      </c>
      <c r="AX402" t="str">
        <f t="shared" si="39"/>
        <v>FOR</v>
      </c>
      <c r="AY402" t="s">
        <v>55</v>
      </c>
    </row>
    <row r="403" spans="1:51">
      <c r="A403">
        <v>100212</v>
      </c>
      <c r="B403" t="s">
        <v>89</v>
      </c>
      <c r="C403" t="str">
        <f>"07054190637"</f>
        <v>07054190637</v>
      </c>
      <c r="D403" t="str">
        <f>"07054190637"</f>
        <v>07054190637</v>
      </c>
      <c r="E403" t="s">
        <v>52</v>
      </c>
      <c r="F403">
        <v>2016</v>
      </c>
      <c r="G403" t="str">
        <f>"                  60"</f>
        <v xml:space="preserve">                  60</v>
      </c>
      <c r="H403" s="3">
        <v>42460</v>
      </c>
      <c r="I403" s="3">
        <v>42473</v>
      </c>
      <c r="J403" s="3">
        <v>42467</v>
      </c>
      <c r="K403" s="3">
        <v>42527</v>
      </c>
      <c r="L403" s="1">
        <v>158.33000000000001</v>
      </c>
      <c r="M403">
        <v>2</v>
      </c>
      <c r="N403" s="1">
        <v>316.66000000000003</v>
      </c>
      <c r="O403">
        <v>158.33000000000001</v>
      </c>
      <c r="P403">
        <v>2</v>
      </c>
      <c r="Q403">
        <v>316.66000000000003</v>
      </c>
      <c r="R403">
        <v>34.83</v>
      </c>
      <c r="V403">
        <v>193.16</v>
      </c>
      <c r="W403">
        <v>193.16</v>
      </c>
      <c r="X403">
        <v>0</v>
      </c>
      <c r="Y403">
        <v>193.16</v>
      </c>
      <c r="Z403">
        <v>193.16</v>
      </c>
      <c r="AA403">
        <v>193.16</v>
      </c>
      <c r="AB403" s="3">
        <v>42562</v>
      </c>
      <c r="AC403" t="s">
        <v>53</v>
      </c>
      <c r="AD403" t="s">
        <v>53</v>
      </c>
      <c r="AE403">
        <v>34.83</v>
      </c>
      <c r="AK403">
        <v>0</v>
      </c>
      <c r="AU403" s="3">
        <v>42529</v>
      </c>
      <c r="AV403" s="3">
        <v>42529</v>
      </c>
      <c r="AW403" t="s">
        <v>54</v>
      </c>
      <c r="AX403" t="str">
        <f t="shared" si="39"/>
        <v>FOR</v>
      </c>
      <c r="AY403" t="s">
        <v>55</v>
      </c>
    </row>
    <row r="404" spans="1:51">
      <c r="A404">
        <v>100212</v>
      </c>
      <c r="B404" t="s">
        <v>89</v>
      </c>
      <c r="C404" t="str">
        <f>"07054190637"</f>
        <v>07054190637</v>
      </c>
      <c r="D404" t="str">
        <f>"07054190637"</f>
        <v>07054190637</v>
      </c>
      <c r="E404" t="s">
        <v>52</v>
      </c>
      <c r="F404">
        <v>2016</v>
      </c>
      <c r="G404" t="str">
        <f>"                  74"</f>
        <v xml:space="preserve">                  74</v>
      </c>
      <c r="H404" s="3">
        <v>42489</v>
      </c>
      <c r="I404" s="3">
        <v>42492</v>
      </c>
      <c r="J404" s="3">
        <v>42489</v>
      </c>
      <c r="K404" s="3">
        <v>42549</v>
      </c>
      <c r="L404" s="1">
        <v>93.39</v>
      </c>
      <c r="M404">
        <v>-20</v>
      </c>
      <c r="N404" s="5">
        <v>-1867.8</v>
      </c>
      <c r="O404">
        <v>93.39</v>
      </c>
      <c r="P404">
        <v>-20</v>
      </c>
      <c r="Q404" s="4">
        <v>-1867.8</v>
      </c>
      <c r="R404">
        <v>20.55</v>
      </c>
      <c r="V404">
        <v>113.94</v>
      </c>
      <c r="W404">
        <v>113.94</v>
      </c>
      <c r="X404">
        <v>113.94</v>
      </c>
      <c r="Y404">
        <v>113.94</v>
      </c>
      <c r="Z404">
        <v>113.94</v>
      </c>
      <c r="AA404">
        <v>113.94</v>
      </c>
      <c r="AB404" s="3">
        <v>42562</v>
      </c>
      <c r="AC404" t="s">
        <v>53</v>
      </c>
      <c r="AD404" t="s">
        <v>53</v>
      </c>
      <c r="AE404">
        <v>20.55</v>
      </c>
      <c r="AK404">
        <v>0</v>
      </c>
      <c r="AU404" s="3">
        <v>42529</v>
      </c>
      <c r="AV404" s="3">
        <v>42529</v>
      </c>
      <c r="AW404" t="s">
        <v>54</v>
      </c>
      <c r="AX404" t="str">
        <f t="shared" si="39"/>
        <v>FOR</v>
      </c>
      <c r="AY404" t="s">
        <v>55</v>
      </c>
    </row>
    <row r="405" spans="1:51" hidden="1">
      <c r="A405">
        <v>100241</v>
      </c>
      <c r="B405" t="s">
        <v>90</v>
      </c>
      <c r="C405" t="str">
        <f t="shared" ref="C405:D418" si="41">"06716210635"</f>
        <v>06716210635</v>
      </c>
      <c r="D405" t="str">
        <f t="shared" si="41"/>
        <v>06716210635</v>
      </c>
      <c r="E405" t="s">
        <v>52</v>
      </c>
      <c r="F405">
        <v>2015</v>
      </c>
      <c r="G405" t="str">
        <f>"                 158"</f>
        <v xml:space="preserve">                 158</v>
      </c>
      <c r="H405" s="3">
        <v>42041</v>
      </c>
      <c r="I405" s="3">
        <v>42073</v>
      </c>
      <c r="J405" s="3">
        <v>42073</v>
      </c>
      <c r="K405" s="3">
        <v>42133</v>
      </c>
      <c r="L405"/>
      <c r="N405"/>
      <c r="O405">
        <v>71</v>
      </c>
      <c r="P405">
        <v>275</v>
      </c>
      <c r="Q405" s="4">
        <v>19525</v>
      </c>
      <c r="R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 s="3">
        <v>42562</v>
      </c>
      <c r="AC405" t="s">
        <v>53</v>
      </c>
      <c r="AD405" t="s">
        <v>53</v>
      </c>
      <c r="AK405">
        <v>0</v>
      </c>
      <c r="AU405" s="3">
        <v>42408</v>
      </c>
      <c r="AV405" s="3">
        <v>42408</v>
      </c>
      <c r="AW405" t="s">
        <v>54</v>
      </c>
      <c r="AX405" t="str">
        <f t="shared" si="39"/>
        <v>FOR</v>
      </c>
      <c r="AY405" t="s">
        <v>55</v>
      </c>
    </row>
    <row r="406" spans="1:51" hidden="1">
      <c r="A406">
        <v>100241</v>
      </c>
      <c r="B406" t="s">
        <v>90</v>
      </c>
      <c r="C406" t="str">
        <f t="shared" si="41"/>
        <v>06716210635</v>
      </c>
      <c r="D406" t="str">
        <f t="shared" si="41"/>
        <v>06716210635</v>
      </c>
      <c r="E406" t="s">
        <v>52</v>
      </c>
      <c r="F406">
        <v>2015</v>
      </c>
      <c r="G406" t="str">
        <f>"                 190"</f>
        <v xml:space="preserve">                 190</v>
      </c>
      <c r="H406" s="3">
        <v>42048</v>
      </c>
      <c r="I406" s="3">
        <v>42073</v>
      </c>
      <c r="J406" s="3">
        <v>42073</v>
      </c>
      <c r="K406" s="3">
        <v>42133</v>
      </c>
      <c r="L406"/>
      <c r="N406"/>
      <c r="O406" s="4">
        <v>1060</v>
      </c>
      <c r="P406">
        <v>275</v>
      </c>
      <c r="Q406" s="4">
        <v>291500</v>
      </c>
      <c r="R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 s="3">
        <v>42562</v>
      </c>
      <c r="AC406" t="s">
        <v>53</v>
      </c>
      <c r="AD406" t="s">
        <v>53</v>
      </c>
      <c r="AK406">
        <v>0</v>
      </c>
      <c r="AU406" s="3">
        <v>42408</v>
      </c>
      <c r="AV406" s="3">
        <v>42408</v>
      </c>
      <c r="AW406" t="s">
        <v>54</v>
      </c>
      <c r="AX406" t="str">
        <f t="shared" si="39"/>
        <v>FOR</v>
      </c>
      <c r="AY406" t="s">
        <v>55</v>
      </c>
    </row>
    <row r="407" spans="1:51" hidden="1">
      <c r="A407">
        <v>100241</v>
      </c>
      <c r="B407" t="s">
        <v>90</v>
      </c>
      <c r="C407" t="str">
        <f t="shared" si="41"/>
        <v>06716210635</v>
      </c>
      <c r="D407" t="str">
        <f t="shared" si="41"/>
        <v>06716210635</v>
      </c>
      <c r="E407" t="s">
        <v>52</v>
      </c>
      <c r="F407">
        <v>2015</v>
      </c>
      <c r="G407" t="str">
        <f>"                 257"</f>
        <v xml:space="preserve">                 257</v>
      </c>
      <c r="H407" s="3">
        <v>42062</v>
      </c>
      <c r="I407" s="3">
        <v>42089</v>
      </c>
      <c r="J407" s="3">
        <v>42089</v>
      </c>
      <c r="K407" s="3">
        <v>42149</v>
      </c>
      <c r="L407"/>
      <c r="N407"/>
      <c r="O407">
        <v>367.5</v>
      </c>
      <c r="P407">
        <v>259</v>
      </c>
      <c r="Q407" s="4">
        <v>95182.5</v>
      </c>
      <c r="R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 s="3">
        <v>42562</v>
      </c>
      <c r="AC407" t="s">
        <v>53</v>
      </c>
      <c r="AD407" t="s">
        <v>53</v>
      </c>
      <c r="AK407">
        <v>0</v>
      </c>
      <c r="AU407" s="3">
        <v>42408</v>
      </c>
      <c r="AV407" s="3">
        <v>42408</v>
      </c>
      <c r="AW407" t="s">
        <v>54</v>
      </c>
      <c r="AX407" t="str">
        <f t="shared" si="39"/>
        <v>FOR</v>
      </c>
      <c r="AY407" t="s">
        <v>55</v>
      </c>
    </row>
    <row r="408" spans="1:51" hidden="1">
      <c r="A408">
        <v>100241</v>
      </c>
      <c r="B408" t="s">
        <v>90</v>
      </c>
      <c r="C408" t="str">
        <f t="shared" si="41"/>
        <v>06716210635</v>
      </c>
      <c r="D408" t="str">
        <f t="shared" si="41"/>
        <v>06716210635</v>
      </c>
      <c r="E408" t="s">
        <v>52</v>
      </c>
      <c r="F408">
        <v>2015</v>
      </c>
      <c r="G408" t="str">
        <f>"                 336"</f>
        <v xml:space="preserve">                 336</v>
      </c>
      <c r="H408" s="3">
        <v>42076</v>
      </c>
      <c r="I408" s="3">
        <v>42094</v>
      </c>
      <c r="J408" s="3">
        <v>42094</v>
      </c>
      <c r="K408" s="3">
        <v>42154</v>
      </c>
      <c r="L408"/>
      <c r="N408"/>
      <c r="O408">
        <v>290.76</v>
      </c>
      <c r="P408">
        <v>254</v>
      </c>
      <c r="Q408" s="4">
        <v>73853.039999999994</v>
      </c>
      <c r="R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 s="3">
        <v>42562</v>
      </c>
      <c r="AC408" t="s">
        <v>53</v>
      </c>
      <c r="AD408" t="s">
        <v>53</v>
      </c>
      <c r="AK408">
        <v>0</v>
      </c>
      <c r="AU408" s="3">
        <v>42408</v>
      </c>
      <c r="AV408" s="3">
        <v>42408</v>
      </c>
      <c r="AW408" t="s">
        <v>54</v>
      </c>
      <c r="AX408" t="str">
        <f t="shared" si="39"/>
        <v>FOR</v>
      </c>
      <c r="AY408" t="s">
        <v>55</v>
      </c>
    </row>
    <row r="409" spans="1:51" hidden="1">
      <c r="A409">
        <v>100241</v>
      </c>
      <c r="B409" t="s">
        <v>90</v>
      </c>
      <c r="C409" t="str">
        <f t="shared" si="41"/>
        <v>06716210635</v>
      </c>
      <c r="D409" t="str">
        <f t="shared" si="41"/>
        <v>06716210635</v>
      </c>
      <c r="E409" t="s">
        <v>52</v>
      </c>
      <c r="F409">
        <v>2015</v>
      </c>
      <c r="G409" t="str">
        <f>"          000450-0SA"</f>
        <v xml:space="preserve">          000450-0SA</v>
      </c>
      <c r="H409" s="3">
        <v>42094</v>
      </c>
      <c r="I409" s="3">
        <v>42228</v>
      </c>
      <c r="J409" s="3">
        <v>42219</v>
      </c>
      <c r="K409" s="3">
        <v>42279</v>
      </c>
      <c r="L409"/>
      <c r="N409"/>
      <c r="O409">
        <v>729</v>
      </c>
      <c r="P409">
        <v>136</v>
      </c>
      <c r="Q409" s="4">
        <v>99144</v>
      </c>
      <c r="R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 s="3">
        <v>42562</v>
      </c>
      <c r="AC409" t="s">
        <v>53</v>
      </c>
      <c r="AD409" t="s">
        <v>53</v>
      </c>
      <c r="AK409">
        <v>0</v>
      </c>
      <c r="AU409" s="3">
        <v>42415</v>
      </c>
      <c r="AV409" s="3">
        <v>42415</v>
      </c>
      <c r="AW409" t="s">
        <v>54</v>
      </c>
      <c r="AX409" t="str">
        <f t="shared" si="39"/>
        <v>FOR</v>
      </c>
      <c r="AY409" t="s">
        <v>55</v>
      </c>
    </row>
    <row r="410" spans="1:51" hidden="1">
      <c r="A410">
        <v>100241</v>
      </c>
      <c r="B410" t="s">
        <v>90</v>
      </c>
      <c r="C410" t="str">
        <f t="shared" si="41"/>
        <v>06716210635</v>
      </c>
      <c r="D410" t="str">
        <f t="shared" si="41"/>
        <v>06716210635</v>
      </c>
      <c r="E410" t="s">
        <v>52</v>
      </c>
      <c r="F410">
        <v>2015</v>
      </c>
      <c r="G410" t="str">
        <f>"         000024/0CPA"</f>
        <v xml:space="preserve">         000024/0CPA</v>
      </c>
      <c r="H410" s="3">
        <v>42104</v>
      </c>
      <c r="I410" s="3">
        <v>42108</v>
      </c>
      <c r="J410" s="3">
        <v>42107</v>
      </c>
      <c r="K410" s="3">
        <v>42167</v>
      </c>
      <c r="L410"/>
      <c r="N410"/>
      <c r="O410">
        <v>275.5</v>
      </c>
      <c r="P410">
        <v>248</v>
      </c>
      <c r="Q410" s="4">
        <v>68324</v>
      </c>
      <c r="R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 s="3">
        <v>42562</v>
      </c>
      <c r="AC410" t="s">
        <v>53</v>
      </c>
      <c r="AD410" t="s">
        <v>53</v>
      </c>
      <c r="AK410">
        <v>0</v>
      </c>
      <c r="AU410" s="3">
        <v>42415</v>
      </c>
      <c r="AV410" s="3">
        <v>42415</v>
      </c>
      <c r="AW410" t="s">
        <v>54</v>
      </c>
      <c r="AX410" t="str">
        <f t="shared" si="39"/>
        <v>FOR</v>
      </c>
      <c r="AY410" t="s">
        <v>55</v>
      </c>
    </row>
    <row r="411" spans="1:51" hidden="1">
      <c r="A411">
        <v>100241</v>
      </c>
      <c r="B411" t="s">
        <v>90</v>
      </c>
      <c r="C411" t="str">
        <f t="shared" si="41"/>
        <v>06716210635</v>
      </c>
      <c r="D411" t="str">
        <f t="shared" si="41"/>
        <v>06716210635</v>
      </c>
      <c r="E411" t="s">
        <v>52</v>
      </c>
      <c r="F411">
        <v>2015</v>
      </c>
      <c r="G411" t="str">
        <f>"         000135/0CPA"</f>
        <v xml:space="preserve">         000135/0CPA</v>
      </c>
      <c r="H411" s="3">
        <v>42132</v>
      </c>
      <c r="I411" s="3">
        <v>42149</v>
      </c>
      <c r="J411" s="3">
        <v>42138</v>
      </c>
      <c r="K411" s="3">
        <v>42198</v>
      </c>
      <c r="L411"/>
      <c r="N411"/>
      <c r="O411">
        <v>795</v>
      </c>
      <c r="P411">
        <v>254</v>
      </c>
      <c r="Q411" s="4">
        <v>201930</v>
      </c>
      <c r="R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 s="3">
        <v>42562</v>
      </c>
      <c r="AC411" t="s">
        <v>53</v>
      </c>
      <c r="AD411" t="s">
        <v>53</v>
      </c>
      <c r="AK411">
        <v>0</v>
      </c>
      <c r="AU411" s="3">
        <v>42452</v>
      </c>
      <c r="AV411" s="3">
        <v>42452</v>
      </c>
      <c r="AW411" t="s">
        <v>54</v>
      </c>
      <c r="AX411" t="str">
        <f t="shared" si="39"/>
        <v>FOR</v>
      </c>
      <c r="AY411" t="s">
        <v>55</v>
      </c>
    </row>
    <row r="412" spans="1:51" hidden="1">
      <c r="A412">
        <v>100241</v>
      </c>
      <c r="B412" t="s">
        <v>90</v>
      </c>
      <c r="C412" t="str">
        <f t="shared" si="41"/>
        <v>06716210635</v>
      </c>
      <c r="D412" t="str">
        <f t="shared" si="41"/>
        <v>06716210635</v>
      </c>
      <c r="E412" t="s">
        <v>52</v>
      </c>
      <c r="F412">
        <v>2015</v>
      </c>
      <c r="G412" t="str">
        <f>"         000210/0CPA"</f>
        <v xml:space="preserve">         000210/0CPA</v>
      </c>
      <c r="H412" s="3">
        <v>42146</v>
      </c>
      <c r="I412" s="3">
        <v>42163</v>
      </c>
      <c r="J412" s="3">
        <v>42152</v>
      </c>
      <c r="K412" s="3">
        <v>42212</v>
      </c>
      <c r="L412"/>
      <c r="N412"/>
      <c r="O412">
        <v>844.2</v>
      </c>
      <c r="P412">
        <v>240</v>
      </c>
      <c r="Q412" s="4">
        <v>202608</v>
      </c>
      <c r="R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 s="3">
        <v>42562</v>
      </c>
      <c r="AC412" t="s">
        <v>53</v>
      </c>
      <c r="AD412" t="s">
        <v>53</v>
      </c>
      <c r="AK412">
        <v>0</v>
      </c>
      <c r="AU412" s="3">
        <v>42452</v>
      </c>
      <c r="AV412" s="3">
        <v>42452</v>
      </c>
      <c r="AW412" t="s">
        <v>54</v>
      </c>
      <c r="AX412" t="str">
        <f t="shared" si="39"/>
        <v>FOR</v>
      </c>
      <c r="AY412" t="s">
        <v>55</v>
      </c>
    </row>
    <row r="413" spans="1:51">
      <c r="A413">
        <v>100241</v>
      </c>
      <c r="B413" t="s">
        <v>90</v>
      </c>
      <c r="C413" t="str">
        <f t="shared" si="41"/>
        <v>06716210635</v>
      </c>
      <c r="D413" t="str">
        <f t="shared" si="41"/>
        <v>06716210635</v>
      </c>
      <c r="E413" t="s">
        <v>52</v>
      </c>
      <c r="F413">
        <v>2015</v>
      </c>
      <c r="G413" t="str">
        <f>"         000332-0CPA"</f>
        <v xml:space="preserve">         000332-0CPA</v>
      </c>
      <c r="H413" s="3">
        <v>42174</v>
      </c>
      <c r="I413" s="3">
        <v>42181</v>
      </c>
      <c r="J413" s="3">
        <v>42178</v>
      </c>
      <c r="K413" s="3">
        <v>42238</v>
      </c>
      <c r="L413" s="1">
        <v>109</v>
      </c>
      <c r="M413">
        <v>289</v>
      </c>
      <c r="N413" s="5">
        <v>31501</v>
      </c>
      <c r="O413">
        <v>109</v>
      </c>
      <c r="P413">
        <v>289</v>
      </c>
      <c r="Q413" s="4">
        <v>31501</v>
      </c>
      <c r="R413">
        <v>23.98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 s="3">
        <v>42562</v>
      </c>
      <c r="AC413" t="s">
        <v>53</v>
      </c>
      <c r="AD413" t="s">
        <v>53</v>
      </c>
      <c r="AK413">
        <v>23.98</v>
      </c>
      <c r="AU413" s="3">
        <v>42527</v>
      </c>
      <c r="AV413" s="3">
        <v>42527</v>
      </c>
      <c r="AW413" t="s">
        <v>54</v>
      </c>
      <c r="AX413" t="str">
        <f t="shared" si="39"/>
        <v>FOR</v>
      </c>
      <c r="AY413" t="s">
        <v>55</v>
      </c>
    </row>
    <row r="414" spans="1:51">
      <c r="A414">
        <v>100241</v>
      </c>
      <c r="B414" t="s">
        <v>90</v>
      </c>
      <c r="C414" t="str">
        <f t="shared" si="41"/>
        <v>06716210635</v>
      </c>
      <c r="D414" t="str">
        <f t="shared" si="41"/>
        <v>06716210635</v>
      </c>
      <c r="E414" t="s">
        <v>52</v>
      </c>
      <c r="F414">
        <v>2015</v>
      </c>
      <c r="G414" t="str">
        <f>"         000373-0CPA"</f>
        <v xml:space="preserve">         000373-0CPA</v>
      </c>
      <c r="H414" s="3">
        <v>42181</v>
      </c>
      <c r="I414" s="3">
        <v>42191</v>
      </c>
      <c r="J414" s="3">
        <v>42188</v>
      </c>
      <c r="K414" s="3">
        <v>42248</v>
      </c>
      <c r="L414" s="1">
        <v>265</v>
      </c>
      <c r="M414">
        <v>279</v>
      </c>
      <c r="N414" s="5">
        <v>73935</v>
      </c>
      <c r="O414">
        <v>265</v>
      </c>
      <c r="P414">
        <v>279</v>
      </c>
      <c r="Q414" s="4">
        <v>73935</v>
      </c>
      <c r="R414">
        <v>58.3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 s="3">
        <v>42562</v>
      </c>
      <c r="AC414" t="s">
        <v>53</v>
      </c>
      <c r="AD414" t="s">
        <v>53</v>
      </c>
      <c r="AK414">
        <v>58.3</v>
      </c>
      <c r="AU414" s="3">
        <v>42527</v>
      </c>
      <c r="AV414" s="3">
        <v>42527</v>
      </c>
      <c r="AW414" t="s">
        <v>54</v>
      </c>
      <c r="AX414" t="str">
        <f t="shared" si="39"/>
        <v>FOR</v>
      </c>
      <c r="AY414" t="s">
        <v>55</v>
      </c>
    </row>
    <row r="415" spans="1:51">
      <c r="A415">
        <v>100241</v>
      </c>
      <c r="B415" t="s">
        <v>90</v>
      </c>
      <c r="C415" t="str">
        <f t="shared" si="41"/>
        <v>06716210635</v>
      </c>
      <c r="D415" t="str">
        <f t="shared" si="41"/>
        <v>06716210635</v>
      </c>
      <c r="E415" t="s">
        <v>52</v>
      </c>
      <c r="F415">
        <v>2015</v>
      </c>
      <c r="G415" t="str">
        <f>"         000374-0CPA"</f>
        <v xml:space="preserve">         000374-0CPA</v>
      </c>
      <c r="H415" s="3">
        <v>42181</v>
      </c>
      <c r="I415" s="3">
        <v>42191</v>
      </c>
      <c r="J415" s="3">
        <v>42188</v>
      </c>
      <c r="K415" s="3">
        <v>42248</v>
      </c>
      <c r="L415" s="5">
        <v>1903.2</v>
      </c>
      <c r="M415">
        <v>279</v>
      </c>
      <c r="N415" s="5">
        <v>530992.80000000005</v>
      </c>
      <c r="O415" s="4">
        <v>1903.2</v>
      </c>
      <c r="P415">
        <v>279</v>
      </c>
      <c r="Q415" s="4">
        <v>530992.80000000005</v>
      </c>
      <c r="R415">
        <v>418.7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 s="3">
        <v>42562</v>
      </c>
      <c r="AC415" t="s">
        <v>53</v>
      </c>
      <c r="AD415" t="s">
        <v>53</v>
      </c>
      <c r="AK415">
        <v>418.7</v>
      </c>
      <c r="AU415" s="3">
        <v>42527</v>
      </c>
      <c r="AV415" s="3">
        <v>42527</v>
      </c>
      <c r="AW415" t="s">
        <v>54</v>
      </c>
      <c r="AX415" t="str">
        <f t="shared" si="39"/>
        <v>FOR</v>
      </c>
      <c r="AY415" t="s">
        <v>55</v>
      </c>
    </row>
    <row r="416" spans="1:51">
      <c r="A416">
        <v>100241</v>
      </c>
      <c r="B416" t="s">
        <v>90</v>
      </c>
      <c r="C416" t="str">
        <f t="shared" si="41"/>
        <v>06716210635</v>
      </c>
      <c r="D416" t="str">
        <f t="shared" si="41"/>
        <v>06716210635</v>
      </c>
      <c r="E416" t="s">
        <v>52</v>
      </c>
      <c r="F416">
        <v>2015</v>
      </c>
      <c r="G416" t="str">
        <f>"         000375-0CPA"</f>
        <v xml:space="preserve">         000375-0CPA</v>
      </c>
      <c r="H416" s="3">
        <v>42181</v>
      </c>
      <c r="I416" s="3">
        <v>42191</v>
      </c>
      <c r="J416" s="3">
        <v>42188</v>
      </c>
      <c r="K416" s="3">
        <v>42248</v>
      </c>
      <c r="L416" s="1">
        <v>198</v>
      </c>
      <c r="M416">
        <v>279</v>
      </c>
      <c r="N416" s="5">
        <v>55242</v>
      </c>
      <c r="O416">
        <v>198</v>
      </c>
      <c r="P416">
        <v>279</v>
      </c>
      <c r="Q416" s="4">
        <v>55242</v>
      </c>
      <c r="R416">
        <v>43.56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 s="3">
        <v>42562</v>
      </c>
      <c r="AC416" t="s">
        <v>53</v>
      </c>
      <c r="AD416" t="s">
        <v>53</v>
      </c>
      <c r="AK416">
        <v>43.56</v>
      </c>
      <c r="AU416" s="3">
        <v>42527</v>
      </c>
      <c r="AV416" s="3">
        <v>42527</v>
      </c>
      <c r="AW416" t="s">
        <v>54</v>
      </c>
      <c r="AX416" t="str">
        <f t="shared" si="39"/>
        <v>FOR</v>
      </c>
      <c r="AY416" t="s">
        <v>55</v>
      </c>
    </row>
    <row r="417" spans="1:51" hidden="1">
      <c r="A417">
        <v>100241</v>
      </c>
      <c r="B417" t="s">
        <v>90</v>
      </c>
      <c r="C417" t="str">
        <f t="shared" si="41"/>
        <v>06716210635</v>
      </c>
      <c r="D417" t="str">
        <f t="shared" si="41"/>
        <v>06716210635</v>
      </c>
      <c r="E417" t="s">
        <v>52</v>
      </c>
      <c r="F417">
        <v>2015</v>
      </c>
      <c r="G417" t="str">
        <f>"         000589-0CPA"</f>
        <v xml:space="preserve">         000589-0CPA</v>
      </c>
      <c r="H417" s="3">
        <v>42216</v>
      </c>
      <c r="I417" s="3">
        <v>42223</v>
      </c>
      <c r="J417" s="3">
        <v>42221</v>
      </c>
      <c r="K417" s="3">
        <v>42281</v>
      </c>
      <c r="L417"/>
      <c r="N417"/>
      <c r="O417">
        <v>173.5</v>
      </c>
      <c r="P417">
        <v>134</v>
      </c>
      <c r="Q417" s="4">
        <v>23249</v>
      </c>
      <c r="R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 s="3">
        <v>42562</v>
      </c>
      <c r="AC417" t="s">
        <v>53</v>
      </c>
      <c r="AD417" t="s">
        <v>53</v>
      </c>
      <c r="AK417">
        <v>0</v>
      </c>
      <c r="AU417" s="3">
        <v>42415</v>
      </c>
      <c r="AV417" s="3">
        <v>42415</v>
      </c>
      <c r="AW417" t="s">
        <v>54</v>
      </c>
      <c r="AX417" t="str">
        <f t="shared" si="39"/>
        <v>FOR</v>
      </c>
      <c r="AY417" t="s">
        <v>55</v>
      </c>
    </row>
    <row r="418" spans="1:51" hidden="1">
      <c r="A418">
        <v>100241</v>
      </c>
      <c r="B418" t="s">
        <v>90</v>
      </c>
      <c r="C418" t="str">
        <f t="shared" si="41"/>
        <v>06716210635</v>
      </c>
      <c r="D418" t="str">
        <f t="shared" si="41"/>
        <v>06716210635</v>
      </c>
      <c r="E418" t="s">
        <v>52</v>
      </c>
      <c r="F418">
        <v>2015</v>
      </c>
      <c r="G418" t="str">
        <f>"         000590-0CPA"</f>
        <v xml:space="preserve">         000590-0CPA</v>
      </c>
      <c r="H418" s="3">
        <v>42216</v>
      </c>
      <c r="I418" s="3">
        <v>42223</v>
      </c>
      <c r="J418" s="3">
        <v>42221</v>
      </c>
      <c r="K418" s="3">
        <v>42281</v>
      </c>
      <c r="L418"/>
      <c r="N418"/>
      <c r="O418">
        <v>44.55</v>
      </c>
      <c r="P418">
        <v>134</v>
      </c>
      <c r="Q418" s="4">
        <v>5969.7</v>
      </c>
      <c r="R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 s="3">
        <v>42562</v>
      </c>
      <c r="AC418" t="s">
        <v>53</v>
      </c>
      <c r="AD418" t="s">
        <v>53</v>
      </c>
      <c r="AK418">
        <v>0</v>
      </c>
      <c r="AU418" s="3">
        <v>42415</v>
      </c>
      <c r="AV418" s="3">
        <v>42415</v>
      </c>
      <c r="AW418" t="s">
        <v>54</v>
      </c>
      <c r="AX418" t="str">
        <f t="shared" si="39"/>
        <v>FOR</v>
      </c>
      <c r="AY418" t="s">
        <v>55</v>
      </c>
    </row>
    <row r="419" spans="1:51">
      <c r="A419">
        <v>100245</v>
      </c>
      <c r="B419" t="s">
        <v>91</v>
      </c>
      <c r="C419" t="str">
        <f>"01513360345"</f>
        <v>01513360345</v>
      </c>
      <c r="D419" t="str">
        <f>"01513360345"</f>
        <v>01513360345</v>
      </c>
      <c r="E419" t="s">
        <v>52</v>
      </c>
      <c r="F419">
        <v>2015</v>
      </c>
      <c r="G419" t="str">
        <f>"          1015030175"</f>
        <v xml:space="preserve">          1015030175</v>
      </c>
      <c r="H419" s="3">
        <v>42164</v>
      </c>
      <c r="I419" s="3">
        <v>42170</v>
      </c>
      <c r="J419" s="3">
        <v>42169</v>
      </c>
      <c r="K419" s="3">
        <v>42229</v>
      </c>
      <c r="L419" s="5">
        <v>6983.58</v>
      </c>
      <c r="M419">
        <v>298</v>
      </c>
      <c r="N419" s="5">
        <v>2081106.84</v>
      </c>
      <c r="O419" s="4">
        <v>6983.58</v>
      </c>
      <c r="P419">
        <v>298</v>
      </c>
      <c r="Q419" s="4">
        <v>2081106.84</v>
      </c>
      <c r="R419">
        <v>698.36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 s="3">
        <v>42562</v>
      </c>
      <c r="AC419" t="s">
        <v>53</v>
      </c>
      <c r="AD419" t="s">
        <v>53</v>
      </c>
      <c r="AK419">
        <v>698.36</v>
      </c>
      <c r="AU419" s="3">
        <v>42527</v>
      </c>
      <c r="AV419" s="3">
        <v>42527</v>
      </c>
      <c r="AW419" t="s">
        <v>54</v>
      </c>
      <c r="AX419" t="str">
        <f t="shared" si="39"/>
        <v>FOR</v>
      </c>
      <c r="AY419" t="s">
        <v>55</v>
      </c>
    </row>
    <row r="420" spans="1:51" hidden="1">
      <c r="A420">
        <v>100251</v>
      </c>
      <c r="B420" t="s">
        <v>92</v>
      </c>
      <c r="C420" t="str">
        <f t="shared" ref="C420:C425" si="42">"01336850621"</f>
        <v>01336850621</v>
      </c>
      <c r="D420" t="str">
        <f t="shared" ref="D420:D425" si="43">"PRTMCL72S43D469N"</f>
        <v>PRTMCL72S43D469N</v>
      </c>
      <c r="E420" t="s">
        <v>52</v>
      </c>
      <c r="F420">
        <v>2016</v>
      </c>
      <c r="G420" t="str">
        <f>"          01/2016 PA"</f>
        <v xml:space="preserve">          01/2016 PA</v>
      </c>
      <c r="H420" s="3">
        <v>42376</v>
      </c>
      <c r="I420" s="3">
        <v>42377</v>
      </c>
      <c r="J420" s="3">
        <v>42376</v>
      </c>
      <c r="K420" s="3">
        <v>42436</v>
      </c>
      <c r="L420"/>
      <c r="N420"/>
      <c r="O420" s="4">
        <v>1862.8</v>
      </c>
      <c r="P420">
        <v>-39</v>
      </c>
      <c r="Q420" s="4">
        <v>-72649.2</v>
      </c>
      <c r="R420">
        <v>0</v>
      </c>
      <c r="V420">
        <v>0</v>
      </c>
      <c r="W420">
        <v>0</v>
      </c>
      <c r="X420">
        <v>0</v>
      </c>
      <c r="Y420">
        <v>-465.19</v>
      </c>
      <c r="Z420" s="4">
        <v>1862.8</v>
      </c>
      <c r="AA420" s="4">
        <v>1862.8</v>
      </c>
      <c r="AB420" s="3">
        <v>42562</v>
      </c>
      <c r="AC420" t="s">
        <v>53</v>
      </c>
      <c r="AD420" t="s">
        <v>53</v>
      </c>
      <c r="AK420">
        <v>0</v>
      </c>
      <c r="AU420" s="3">
        <v>42397</v>
      </c>
      <c r="AV420" s="3">
        <v>42397</v>
      </c>
      <c r="AW420" t="s">
        <v>54</v>
      </c>
      <c r="AX420" t="str">
        <f t="shared" ref="AX420:AX425" si="44">"ALTPRO"</f>
        <v>ALTPRO</v>
      </c>
      <c r="AY420" t="s">
        <v>93</v>
      </c>
    </row>
    <row r="421" spans="1:51" hidden="1">
      <c r="A421">
        <v>100251</v>
      </c>
      <c r="B421" t="s">
        <v>92</v>
      </c>
      <c r="C421" t="str">
        <f t="shared" si="42"/>
        <v>01336850621</v>
      </c>
      <c r="D421" t="str">
        <f t="shared" si="43"/>
        <v>PRTMCL72S43D469N</v>
      </c>
      <c r="E421" t="s">
        <v>52</v>
      </c>
      <c r="F421">
        <v>2016</v>
      </c>
      <c r="G421" t="str">
        <f>"          02/2016 PA"</f>
        <v xml:space="preserve">          02/2016 PA</v>
      </c>
      <c r="H421" s="3">
        <v>42402</v>
      </c>
      <c r="I421" s="3">
        <v>42403</v>
      </c>
      <c r="J421" s="3">
        <v>42402</v>
      </c>
      <c r="K421" s="3">
        <v>42462</v>
      </c>
      <c r="L421"/>
      <c r="N421"/>
      <c r="O421" s="4">
        <v>1873.2</v>
      </c>
      <c r="P421">
        <v>-36</v>
      </c>
      <c r="Q421" s="4">
        <v>-67435.199999999997</v>
      </c>
      <c r="R421">
        <v>0</v>
      </c>
      <c r="V421">
        <v>0</v>
      </c>
      <c r="W421">
        <v>0</v>
      </c>
      <c r="X421">
        <v>0</v>
      </c>
      <c r="Y421" s="4">
        <v>1873.2</v>
      </c>
      <c r="Z421" s="4">
        <v>1873.2</v>
      </c>
      <c r="AA421" s="4">
        <v>1873.2</v>
      </c>
      <c r="AB421" s="3">
        <v>42562</v>
      </c>
      <c r="AC421" t="s">
        <v>53</v>
      </c>
      <c r="AD421" t="s">
        <v>53</v>
      </c>
      <c r="AK421">
        <v>0</v>
      </c>
      <c r="AU421" s="3">
        <v>42426</v>
      </c>
      <c r="AV421" s="3">
        <v>42426</v>
      </c>
      <c r="AW421" t="s">
        <v>54</v>
      </c>
      <c r="AX421" t="str">
        <f t="shared" si="44"/>
        <v>ALTPRO</v>
      </c>
      <c r="AY421" t="s">
        <v>93</v>
      </c>
    </row>
    <row r="422" spans="1:51" hidden="1">
      <c r="A422">
        <v>100251</v>
      </c>
      <c r="B422" t="s">
        <v>92</v>
      </c>
      <c r="C422" t="str">
        <f t="shared" si="42"/>
        <v>01336850621</v>
      </c>
      <c r="D422" t="str">
        <f t="shared" si="43"/>
        <v>PRTMCL72S43D469N</v>
      </c>
      <c r="E422" t="s">
        <v>52</v>
      </c>
      <c r="F422">
        <v>2016</v>
      </c>
      <c r="G422" t="str">
        <f>"          03/2016 PA"</f>
        <v xml:space="preserve">          03/2016 PA</v>
      </c>
      <c r="H422" s="3">
        <v>42402</v>
      </c>
      <c r="I422" s="3">
        <v>42436</v>
      </c>
      <c r="J422" s="3">
        <v>42436</v>
      </c>
      <c r="K422" s="3">
        <v>42496</v>
      </c>
      <c r="L422"/>
      <c r="N422"/>
      <c r="O422" s="4">
        <v>2102</v>
      </c>
      <c r="P422">
        <v>-45</v>
      </c>
      <c r="Q422" s="4">
        <v>-94590</v>
      </c>
      <c r="R422">
        <v>0</v>
      </c>
      <c r="V422">
        <v>0</v>
      </c>
      <c r="W422">
        <v>0</v>
      </c>
      <c r="X422">
        <v>0</v>
      </c>
      <c r="Y422" s="4">
        <v>2102</v>
      </c>
      <c r="Z422" s="4">
        <v>2102</v>
      </c>
      <c r="AA422" s="4">
        <v>2102</v>
      </c>
      <c r="AB422" s="3">
        <v>42562</v>
      </c>
      <c r="AC422" t="s">
        <v>53</v>
      </c>
      <c r="AD422" t="s">
        <v>53</v>
      </c>
      <c r="AK422">
        <v>0</v>
      </c>
      <c r="AU422" s="3">
        <v>42451</v>
      </c>
      <c r="AV422" s="3">
        <v>42451</v>
      </c>
      <c r="AW422" t="s">
        <v>54</v>
      </c>
      <c r="AX422" t="str">
        <f t="shared" si="44"/>
        <v>ALTPRO</v>
      </c>
      <c r="AY422" t="s">
        <v>93</v>
      </c>
    </row>
    <row r="423" spans="1:51">
      <c r="A423">
        <v>100251</v>
      </c>
      <c r="B423" t="s">
        <v>92</v>
      </c>
      <c r="C423" t="str">
        <f t="shared" si="42"/>
        <v>01336850621</v>
      </c>
      <c r="D423" t="str">
        <f t="shared" si="43"/>
        <v>PRTMCL72S43D469N</v>
      </c>
      <c r="E423" t="s">
        <v>52</v>
      </c>
      <c r="F423">
        <v>2016</v>
      </c>
      <c r="G423" t="str">
        <f>"          04/2016 PA"</f>
        <v xml:space="preserve">          04/2016 PA</v>
      </c>
      <c r="H423" s="3">
        <v>42461</v>
      </c>
      <c r="I423" s="3">
        <v>42471</v>
      </c>
      <c r="J423" s="3">
        <v>42469</v>
      </c>
      <c r="K423" s="3">
        <v>42529</v>
      </c>
      <c r="L423" s="5">
        <v>1750</v>
      </c>
      <c r="M423">
        <v>-42</v>
      </c>
      <c r="N423" s="5">
        <v>-73500</v>
      </c>
      <c r="O423" s="4">
        <v>1750</v>
      </c>
      <c r="P423">
        <v>-42</v>
      </c>
      <c r="Q423" s="4">
        <v>-73500</v>
      </c>
      <c r="R423">
        <v>0</v>
      </c>
      <c r="V423">
        <v>-437</v>
      </c>
      <c r="W423" s="4">
        <v>1750</v>
      </c>
      <c r="X423" s="4">
        <v>1750</v>
      </c>
      <c r="Y423" s="4">
        <v>1750</v>
      </c>
      <c r="Z423" s="4">
        <v>1750</v>
      </c>
      <c r="AA423" s="4">
        <v>1750</v>
      </c>
      <c r="AB423" s="3">
        <v>42562</v>
      </c>
      <c r="AC423" t="s">
        <v>53</v>
      </c>
      <c r="AD423" t="s">
        <v>53</v>
      </c>
      <c r="AK423">
        <v>0</v>
      </c>
      <c r="AU423" s="3">
        <v>42487</v>
      </c>
      <c r="AV423" s="3">
        <v>42487</v>
      </c>
      <c r="AW423" t="s">
        <v>54</v>
      </c>
      <c r="AX423" t="str">
        <f t="shared" si="44"/>
        <v>ALTPRO</v>
      </c>
      <c r="AY423" t="s">
        <v>93</v>
      </c>
    </row>
    <row r="424" spans="1:51">
      <c r="A424">
        <v>100251</v>
      </c>
      <c r="B424" t="s">
        <v>92</v>
      </c>
      <c r="C424" t="str">
        <f t="shared" si="42"/>
        <v>01336850621</v>
      </c>
      <c r="D424" t="str">
        <f t="shared" si="43"/>
        <v>PRTMCL72S43D469N</v>
      </c>
      <c r="E424" t="s">
        <v>52</v>
      </c>
      <c r="F424">
        <v>2016</v>
      </c>
      <c r="G424" t="str">
        <f>"          05/2016 PA"</f>
        <v xml:space="preserve">          05/2016 PA</v>
      </c>
      <c r="H424" s="3">
        <v>42496</v>
      </c>
      <c r="I424" s="3">
        <v>42507</v>
      </c>
      <c r="J424" s="3">
        <v>42506</v>
      </c>
      <c r="K424" s="3">
        <v>42566</v>
      </c>
      <c r="L424" s="5">
        <v>1788.4</v>
      </c>
      <c r="M424">
        <v>-50</v>
      </c>
      <c r="N424" s="5">
        <v>-89420</v>
      </c>
      <c r="O424" s="4">
        <v>1788.4</v>
      </c>
      <c r="P424">
        <v>-50</v>
      </c>
      <c r="Q424" s="4">
        <v>-89420</v>
      </c>
      <c r="R424">
        <v>0</v>
      </c>
      <c r="V424" s="4">
        <v>1788.4</v>
      </c>
      <c r="W424" s="4">
        <v>1788.4</v>
      </c>
      <c r="X424" s="4">
        <v>1788.4</v>
      </c>
      <c r="Y424" s="4">
        <v>1788.4</v>
      </c>
      <c r="Z424" s="4">
        <v>1788.4</v>
      </c>
      <c r="AA424" s="4">
        <v>1788.4</v>
      </c>
      <c r="AB424" s="3">
        <v>42562</v>
      </c>
      <c r="AC424" t="s">
        <v>53</v>
      </c>
      <c r="AD424" t="s">
        <v>53</v>
      </c>
      <c r="AK424">
        <v>0</v>
      </c>
      <c r="AU424" s="3">
        <v>42516</v>
      </c>
      <c r="AV424" s="3">
        <v>42516</v>
      </c>
      <c r="AW424" t="s">
        <v>54</v>
      </c>
      <c r="AX424" t="str">
        <f t="shared" si="44"/>
        <v>ALTPRO</v>
      </c>
      <c r="AY424" t="s">
        <v>93</v>
      </c>
    </row>
    <row r="425" spans="1:51">
      <c r="A425">
        <v>100251</v>
      </c>
      <c r="B425" t="s">
        <v>92</v>
      </c>
      <c r="C425" t="str">
        <f t="shared" si="42"/>
        <v>01336850621</v>
      </c>
      <c r="D425" t="str">
        <f t="shared" si="43"/>
        <v>PRTMCL72S43D469N</v>
      </c>
      <c r="E425" t="s">
        <v>52</v>
      </c>
      <c r="F425">
        <v>2016</v>
      </c>
      <c r="G425" t="str">
        <f>"          06/2016 PA"</f>
        <v xml:space="preserve">          06/2016 PA</v>
      </c>
      <c r="H425" s="3">
        <v>42521</v>
      </c>
      <c r="I425" s="3">
        <v>42521</v>
      </c>
      <c r="J425" s="3">
        <v>42521</v>
      </c>
      <c r="K425" s="3">
        <v>42581</v>
      </c>
      <c r="L425" s="5">
        <v>2193.4899999999998</v>
      </c>
      <c r="M425">
        <v>-54</v>
      </c>
      <c r="N425" s="5">
        <v>-118448.46</v>
      </c>
      <c r="O425" s="4">
        <v>2193.4899999999998</v>
      </c>
      <c r="P425">
        <v>-54</v>
      </c>
      <c r="Q425" s="4">
        <v>-118448.46</v>
      </c>
      <c r="R425">
        <v>0</v>
      </c>
      <c r="V425" s="4">
        <v>2193.4899999999998</v>
      </c>
      <c r="W425" s="4">
        <v>2193.4899999999998</v>
      </c>
      <c r="X425" s="4">
        <v>2193.4899999999998</v>
      </c>
      <c r="Y425" s="4">
        <v>2193.4899999999998</v>
      </c>
      <c r="Z425" s="4">
        <v>2193.4899999999998</v>
      </c>
      <c r="AA425" s="4">
        <v>2193.4899999999998</v>
      </c>
      <c r="AB425" s="3">
        <v>42562</v>
      </c>
      <c r="AC425" t="s">
        <v>53</v>
      </c>
      <c r="AD425" t="s">
        <v>53</v>
      </c>
      <c r="AK425">
        <v>0</v>
      </c>
      <c r="AU425" s="3">
        <v>42527</v>
      </c>
      <c r="AV425" s="3">
        <v>42527</v>
      </c>
      <c r="AW425" t="s">
        <v>54</v>
      </c>
      <c r="AX425" t="str">
        <f t="shared" si="44"/>
        <v>ALTPRO</v>
      </c>
      <c r="AY425" t="s">
        <v>93</v>
      </c>
    </row>
    <row r="426" spans="1:51" hidden="1">
      <c r="A426">
        <v>100254</v>
      </c>
      <c r="B426" t="s">
        <v>94</v>
      </c>
      <c r="C426" t="str">
        <f t="shared" ref="C426:D429" si="45">"06849270639"</f>
        <v>06849270639</v>
      </c>
      <c r="D426" t="str">
        <f t="shared" si="45"/>
        <v>06849270639</v>
      </c>
      <c r="E426" t="s">
        <v>52</v>
      </c>
      <c r="F426">
        <v>2015</v>
      </c>
      <c r="G426" t="str">
        <f>"                 374"</f>
        <v xml:space="preserve">                 374</v>
      </c>
      <c r="H426" s="3">
        <v>42093</v>
      </c>
      <c r="I426" s="3">
        <v>42102</v>
      </c>
      <c r="J426" s="3">
        <v>42102</v>
      </c>
      <c r="K426" s="3">
        <v>42162</v>
      </c>
      <c r="L426"/>
      <c r="N426"/>
      <c r="O426" s="4">
        <v>1100</v>
      </c>
      <c r="P426">
        <v>242</v>
      </c>
      <c r="Q426" s="4">
        <v>266200</v>
      </c>
      <c r="R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 s="3">
        <v>42562</v>
      </c>
      <c r="AC426" t="s">
        <v>53</v>
      </c>
      <c r="AD426" t="s">
        <v>53</v>
      </c>
      <c r="AK426">
        <v>0</v>
      </c>
      <c r="AU426" s="3">
        <v>42404</v>
      </c>
      <c r="AV426" s="3">
        <v>42404</v>
      </c>
      <c r="AW426" t="s">
        <v>54</v>
      </c>
      <c r="AX426" t="str">
        <f t="shared" ref="AX426:AX457" si="46">"FOR"</f>
        <v>FOR</v>
      </c>
      <c r="AY426" t="s">
        <v>55</v>
      </c>
    </row>
    <row r="427" spans="1:51" hidden="1">
      <c r="A427">
        <v>100254</v>
      </c>
      <c r="B427" t="s">
        <v>94</v>
      </c>
      <c r="C427" t="str">
        <f t="shared" si="45"/>
        <v>06849270639</v>
      </c>
      <c r="D427" t="str">
        <f t="shared" si="45"/>
        <v>06849270639</v>
      </c>
      <c r="E427" t="s">
        <v>52</v>
      </c>
      <c r="F427">
        <v>2015</v>
      </c>
      <c r="G427" t="str">
        <f>"                 375"</f>
        <v xml:space="preserve">                 375</v>
      </c>
      <c r="H427" s="3">
        <v>42093</v>
      </c>
      <c r="I427" s="3">
        <v>42102</v>
      </c>
      <c r="J427" s="3">
        <v>42102</v>
      </c>
      <c r="K427" s="3">
        <v>42162</v>
      </c>
      <c r="L427"/>
      <c r="N427"/>
      <c r="O427">
        <v>20</v>
      </c>
      <c r="P427">
        <v>242</v>
      </c>
      <c r="Q427" s="4">
        <v>4840</v>
      </c>
      <c r="R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 s="3">
        <v>42562</v>
      </c>
      <c r="AC427" t="s">
        <v>53</v>
      </c>
      <c r="AD427" t="s">
        <v>53</v>
      </c>
      <c r="AK427">
        <v>0</v>
      </c>
      <c r="AU427" s="3">
        <v>42404</v>
      </c>
      <c r="AV427" s="3">
        <v>42404</v>
      </c>
      <c r="AW427" t="s">
        <v>54</v>
      </c>
      <c r="AX427" t="str">
        <f t="shared" si="46"/>
        <v>FOR</v>
      </c>
      <c r="AY427" t="s">
        <v>55</v>
      </c>
    </row>
    <row r="428" spans="1:51">
      <c r="A428">
        <v>100254</v>
      </c>
      <c r="B428" t="s">
        <v>94</v>
      </c>
      <c r="C428" t="str">
        <f t="shared" si="45"/>
        <v>06849270639</v>
      </c>
      <c r="D428" t="str">
        <f t="shared" si="45"/>
        <v>06849270639</v>
      </c>
      <c r="E428" t="s">
        <v>52</v>
      </c>
      <c r="F428">
        <v>2015</v>
      </c>
      <c r="G428" t="str">
        <f>"                 587"</f>
        <v xml:space="preserve">                 587</v>
      </c>
      <c r="H428" s="3">
        <v>42158</v>
      </c>
      <c r="I428" s="3">
        <v>42188</v>
      </c>
      <c r="J428" s="3">
        <v>42187</v>
      </c>
      <c r="K428" s="3">
        <v>42247</v>
      </c>
      <c r="L428" s="1">
        <v>20</v>
      </c>
      <c r="M428">
        <v>240</v>
      </c>
      <c r="N428" s="5">
        <v>4800</v>
      </c>
      <c r="O428">
        <v>20</v>
      </c>
      <c r="P428">
        <v>240</v>
      </c>
      <c r="Q428" s="4">
        <v>4800</v>
      </c>
      <c r="R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 s="3">
        <v>42562</v>
      </c>
      <c r="AC428" t="s">
        <v>53</v>
      </c>
      <c r="AD428" t="s">
        <v>53</v>
      </c>
      <c r="AK428">
        <v>0</v>
      </c>
      <c r="AU428" s="3">
        <v>42487</v>
      </c>
      <c r="AV428" s="3">
        <v>42487</v>
      </c>
      <c r="AW428" t="s">
        <v>54</v>
      </c>
      <c r="AX428" t="str">
        <f t="shared" si="46"/>
        <v>FOR</v>
      </c>
      <c r="AY428" t="s">
        <v>55</v>
      </c>
    </row>
    <row r="429" spans="1:51">
      <c r="A429">
        <v>100254</v>
      </c>
      <c r="B429" t="s">
        <v>94</v>
      </c>
      <c r="C429" t="str">
        <f t="shared" si="45"/>
        <v>06849270639</v>
      </c>
      <c r="D429" t="str">
        <f t="shared" si="45"/>
        <v>06849270639</v>
      </c>
      <c r="E429" t="s">
        <v>52</v>
      </c>
      <c r="F429">
        <v>2015</v>
      </c>
      <c r="G429" t="str">
        <f>"                 588"</f>
        <v xml:space="preserve">                 588</v>
      </c>
      <c r="H429" s="3">
        <v>42158</v>
      </c>
      <c r="I429" s="3">
        <v>42188</v>
      </c>
      <c r="J429" s="3">
        <v>42187</v>
      </c>
      <c r="K429" s="3">
        <v>42247</v>
      </c>
      <c r="L429" s="5">
        <v>2900</v>
      </c>
      <c r="M429">
        <v>240</v>
      </c>
      <c r="N429" s="5">
        <v>696000</v>
      </c>
      <c r="O429" s="4">
        <v>2900</v>
      </c>
      <c r="P429">
        <v>240</v>
      </c>
      <c r="Q429" s="4">
        <v>696000</v>
      </c>
      <c r="R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 s="3">
        <v>42562</v>
      </c>
      <c r="AC429" t="s">
        <v>53</v>
      </c>
      <c r="AD429" t="s">
        <v>53</v>
      </c>
      <c r="AK429">
        <v>0</v>
      </c>
      <c r="AU429" s="3">
        <v>42487</v>
      </c>
      <c r="AV429" s="3">
        <v>42487</v>
      </c>
      <c r="AW429" t="s">
        <v>54</v>
      </c>
      <c r="AX429" t="str">
        <f t="shared" si="46"/>
        <v>FOR</v>
      </c>
      <c r="AY429" t="s">
        <v>55</v>
      </c>
    </row>
    <row r="430" spans="1:51" hidden="1">
      <c r="A430">
        <v>100261</v>
      </c>
      <c r="B430" t="s">
        <v>95</v>
      </c>
      <c r="C430" t="str">
        <f t="shared" ref="C430:D432" si="47">"05506871002"</f>
        <v>05506871002</v>
      </c>
      <c r="D430" t="str">
        <f t="shared" si="47"/>
        <v>05506871002</v>
      </c>
      <c r="E430" t="s">
        <v>52</v>
      </c>
      <c r="F430">
        <v>2015</v>
      </c>
      <c r="G430" t="str">
        <f>"            50001080"</f>
        <v xml:space="preserve">            50001080</v>
      </c>
      <c r="H430" s="3">
        <v>42081</v>
      </c>
      <c r="I430" s="3">
        <v>42118</v>
      </c>
      <c r="J430" s="3">
        <v>42118</v>
      </c>
      <c r="K430" s="3">
        <v>42178</v>
      </c>
      <c r="L430"/>
      <c r="N430"/>
      <c r="O430" s="4">
        <v>3264.3</v>
      </c>
      <c r="P430">
        <v>226</v>
      </c>
      <c r="Q430" s="4">
        <v>737731.8</v>
      </c>
      <c r="R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 s="3">
        <v>42562</v>
      </c>
      <c r="AC430" t="s">
        <v>53</v>
      </c>
      <c r="AD430" t="s">
        <v>53</v>
      </c>
      <c r="AK430">
        <v>0</v>
      </c>
      <c r="AU430" s="3">
        <v>42404</v>
      </c>
      <c r="AV430" s="3">
        <v>42404</v>
      </c>
      <c r="AW430" t="s">
        <v>54</v>
      </c>
      <c r="AX430" t="str">
        <f t="shared" si="46"/>
        <v>FOR</v>
      </c>
      <c r="AY430" t="s">
        <v>55</v>
      </c>
    </row>
    <row r="431" spans="1:51" hidden="1">
      <c r="A431">
        <v>100261</v>
      </c>
      <c r="B431" t="s">
        <v>95</v>
      </c>
      <c r="C431" t="str">
        <f t="shared" si="47"/>
        <v>05506871002</v>
      </c>
      <c r="D431" t="str">
        <f t="shared" si="47"/>
        <v>05506871002</v>
      </c>
      <c r="E431" t="s">
        <v>52</v>
      </c>
      <c r="F431">
        <v>2015</v>
      </c>
      <c r="G431" t="str">
        <f>"            50002106"</f>
        <v xml:space="preserve">            50002106</v>
      </c>
      <c r="H431" s="3">
        <v>42142</v>
      </c>
      <c r="I431" s="3">
        <v>42312</v>
      </c>
      <c r="J431" s="3">
        <v>42307</v>
      </c>
      <c r="K431" s="3">
        <v>42367</v>
      </c>
      <c r="L431"/>
      <c r="N431"/>
      <c r="O431">
        <v>427.83</v>
      </c>
      <c r="P431">
        <v>86</v>
      </c>
      <c r="Q431" s="4">
        <v>36793.379999999997</v>
      </c>
      <c r="R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 s="3">
        <v>42562</v>
      </c>
      <c r="AC431" t="s">
        <v>53</v>
      </c>
      <c r="AD431" t="s">
        <v>53</v>
      </c>
      <c r="AK431">
        <v>0</v>
      </c>
      <c r="AU431" s="3">
        <v>42453</v>
      </c>
      <c r="AV431" s="3">
        <v>42453</v>
      </c>
      <c r="AW431" t="s">
        <v>54</v>
      </c>
      <c r="AX431" t="str">
        <f t="shared" si="46"/>
        <v>FOR</v>
      </c>
      <c r="AY431" t="s">
        <v>55</v>
      </c>
    </row>
    <row r="432" spans="1:51">
      <c r="A432">
        <v>100261</v>
      </c>
      <c r="B432" t="s">
        <v>95</v>
      </c>
      <c r="C432" t="str">
        <f t="shared" si="47"/>
        <v>05506871002</v>
      </c>
      <c r="D432" t="str">
        <f t="shared" si="47"/>
        <v>05506871002</v>
      </c>
      <c r="E432" t="s">
        <v>52</v>
      </c>
      <c r="F432">
        <v>2015</v>
      </c>
      <c r="G432" t="str">
        <f>"            50002576"</f>
        <v xml:space="preserve">            50002576</v>
      </c>
      <c r="H432" s="3">
        <v>42160</v>
      </c>
      <c r="I432" s="3">
        <v>42313</v>
      </c>
      <c r="J432" s="3">
        <v>42312</v>
      </c>
      <c r="K432" s="3">
        <v>42372</v>
      </c>
      <c r="L432" s="5">
        <v>7971.85</v>
      </c>
      <c r="M432">
        <v>115</v>
      </c>
      <c r="N432" s="5">
        <v>916762.75</v>
      </c>
      <c r="O432" s="4">
        <v>7971.85</v>
      </c>
      <c r="P432">
        <v>115</v>
      </c>
      <c r="Q432" s="4">
        <v>916762.75</v>
      </c>
      <c r="R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 s="3">
        <v>42562</v>
      </c>
      <c r="AC432" t="s">
        <v>53</v>
      </c>
      <c r="AD432" t="s">
        <v>53</v>
      </c>
      <c r="AK432">
        <v>0</v>
      </c>
      <c r="AU432" s="3">
        <v>42487</v>
      </c>
      <c r="AV432" s="3">
        <v>42487</v>
      </c>
      <c r="AW432" t="s">
        <v>54</v>
      </c>
      <c r="AX432" t="str">
        <f t="shared" si="46"/>
        <v>FOR</v>
      </c>
      <c r="AY432" t="s">
        <v>55</v>
      </c>
    </row>
    <row r="433" spans="1:51" hidden="1">
      <c r="A433">
        <v>100270</v>
      </c>
      <c r="B433" t="s">
        <v>96</v>
      </c>
      <c r="C433" t="str">
        <f t="shared" ref="C433:C462" si="48">"01364640233"</f>
        <v>01364640233</v>
      </c>
      <c r="D433" t="str">
        <f t="shared" ref="D433:D462" si="49">"03748120155"</f>
        <v>03748120155</v>
      </c>
      <c r="E433" t="s">
        <v>52</v>
      </c>
      <c r="F433">
        <v>2015</v>
      </c>
      <c r="G433" t="str">
        <f>"            31501080"</f>
        <v xml:space="preserve">            31501080</v>
      </c>
      <c r="H433" s="3">
        <v>42038</v>
      </c>
      <c r="I433" s="3">
        <v>42047</v>
      </c>
      <c r="J433" s="3">
        <v>42047</v>
      </c>
      <c r="K433" s="3">
        <v>42107</v>
      </c>
      <c r="L433"/>
      <c r="N433"/>
      <c r="O433" s="4">
        <v>2166.98</v>
      </c>
      <c r="P433">
        <v>297</v>
      </c>
      <c r="Q433" s="4">
        <v>643593.06000000006</v>
      </c>
      <c r="R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 s="3">
        <v>42562</v>
      </c>
      <c r="AC433" t="s">
        <v>53</v>
      </c>
      <c r="AD433" t="s">
        <v>53</v>
      </c>
      <c r="AK433">
        <v>0</v>
      </c>
      <c r="AU433" s="3">
        <v>42404</v>
      </c>
      <c r="AV433" s="3">
        <v>42404</v>
      </c>
      <c r="AW433" t="s">
        <v>54</v>
      </c>
      <c r="AX433" t="str">
        <f t="shared" si="46"/>
        <v>FOR</v>
      </c>
      <c r="AY433" t="s">
        <v>55</v>
      </c>
    </row>
    <row r="434" spans="1:51" hidden="1">
      <c r="A434">
        <v>100270</v>
      </c>
      <c r="B434" t="s">
        <v>96</v>
      </c>
      <c r="C434" t="str">
        <f t="shared" si="48"/>
        <v>01364640233</v>
      </c>
      <c r="D434" t="str">
        <f t="shared" si="49"/>
        <v>03748120155</v>
      </c>
      <c r="E434" t="s">
        <v>52</v>
      </c>
      <c r="F434">
        <v>2015</v>
      </c>
      <c r="G434" t="str">
        <f>"            31501082"</f>
        <v xml:space="preserve">            31501082</v>
      </c>
      <c r="H434" s="3">
        <v>42038</v>
      </c>
      <c r="I434" s="3">
        <v>42047</v>
      </c>
      <c r="J434" s="3">
        <v>42047</v>
      </c>
      <c r="K434" s="3">
        <v>42107</v>
      </c>
      <c r="L434"/>
      <c r="N434"/>
      <c r="O434" s="4">
        <v>2445.37</v>
      </c>
      <c r="P434">
        <v>297</v>
      </c>
      <c r="Q434" s="4">
        <v>726274.89</v>
      </c>
      <c r="R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 s="3">
        <v>42562</v>
      </c>
      <c r="AC434" t="s">
        <v>53</v>
      </c>
      <c r="AD434" t="s">
        <v>53</v>
      </c>
      <c r="AK434">
        <v>0</v>
      </c>
      <c r="AU434" s="3">
        <v>42404</v>
      </c>
      <c r="AV434" s="3">
        <v>42404</v>
      </c>
      <c r="AW434" t="s">
        <v>54</v>
      </c>
      <c r="AX434" t="str">
        <f t="shared" si="46"/>
        <v>FOR</v>
      </c>
      <c r="AY434" t="s">
        <v>55</v>
      </c>
    </row>
    <row r="435" spans="1:51" hidden="1">
      <c r="A435">
        <v>100270</v>
      </c>
      <c r="B435" t="s">
        <v>96</v>
      </c>
      <c r="C435" t="str">
        <f t="shared" si="48"/>
        <v>01364640233</v>
      </c>
      <c r="D435" t="str">
        <f t="shared" si="49"/>
        <v>03748120155</v>
      </c>
      <c r="E435" t="s">
        <v>52</v>
      </c>
      <c r="F435">
        <v>2015</v>
      </c>
      <c r="G435" t="str">
        <f>"            31501424"</f>
        <v xml:space="preserve">            31501424</v>
      </c>
      <c r="H435" s="3">
        <v>42047</v>
      </c>
      <c r="I435" s="3">
        <v>42055</v>
      </c>
      <c r="J435" s="3">
        <v>42055</v>
      </c>
      <c r="K435" s="3">
        <v>42115</v>
      </c>
      <c r="L435"/>
      <c r="N435"/>
      <c r="O435" s="4">
        <v>2166.98</v>
      </c>
      <c r="P435">
        <v>289</v>
      </c>
      <c r="Q435" s="4">
        <v>626257.22</v>
      </c>
      <c r="R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 s="3">
        <v>42562</v>
      </c>
      <c r="AC435" t="s">
        <v>53</v>
      </c>
      <c r="AD435" t="s">
        <v>53</v>
      </c>
      <c r="AK435">
        <v>0</v>
      </c>
      <c r="AU435" s="3">
        <v>42404</v>
      </c>
      <c r="AV435" s="3">
        <v>42404</v>
      </c>
      <c r="AW435" t="s">
        <v>54</v>
      </c>
      <c r="AX435" t="str">
        <f t="shared" si="46"/>
        <v>FOR</v>
      </c>
      <c r="AY435" t="s">
        <v>55</v>
      </c>
    </row>
    <row r="436" spans="1:51" hidden="1">
      <c r="A436">
        <v>100270</v>
      </c>
      <c r="B436" t="s">
        <v>96</v>
      </c>
      <c r="C436" t="str">
        <f t="shared" si="48"/>
        <v>01364640233</v>
      </c>
      <c r="D436" t="str">
        <f t="shared" si="49"/>
        <v>03748120155</v>
      </c>
      <c r="E436" t="s">
        <v>52</v>
      </c>
      <c r="F436">
        <v>2015</v>
      </c>
      <c r="G436" t="str">
        <f>"            31502412"</f>
        <v xml:space="preserve">            31502412</v>
      </c>
      <c r="H436" s="3">
        <v>42073</v>
      </c>
      <c r="I436" s="3">
        <v>42087</v>
      </c>
      <c r="J436" s="3">
        <v>42087</v>
      </c>
      <c r="K436" s="3">
        <v>42147</v>
      </c>
      <c r="L436"/>
      <c r="N436"/>
      <c r="O436">
        <v>572.29999999999995</v>
      </c>
      <c r="P436">
        <v>268</v>
      </c>
      <c r="Q436" s="4">
        <v>153376.4</v>
      </c>
      <c r="R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 s="3">
        <v>42562</v>
      </c>
      <c r="AC436" t="s">
        <v>53</v>
      </c>
      <c r="AD436" t="s">
        <v>53</v>
      </c>
      <c r="AK436">
        <v>0</v>
      </c>
      <c r="AU436" s="3">
        <v>42415</v>
      </c>
      <c r="AV436" s="3">
        <v>42415</v>
      </c>
      <c r="AW436" t="s">
        <v>54</v>
      </c>
      <c r="AX436" t="str">
        <f t="shared" si="46"/>
        <v>FOR</v>
      </c>
      <c r="AY436" t="s">
        <v>55</v>
      </c>
    </row>
    <row r="437" spans="1:51" hidden="1">
      <c r="A437">
        <v>100270</v>
      </c>
      <c r="B437" t="s">
        <v>96</v>
      </c>
      <c r="C437" t="str">
        <f t="shared" si="48"/>
        <v>01364640233</v>
      </c>
      <c r="D437" t="str">
        <f t="shared" si="49"/>
        <v>03748120155</v>
      </c>
      <c r="E437" t="s">
        <v>52</v>
      </c>
      <c r="F437">
        <v>2015</v>
      </c>
      <c r="G437" t="str">
        <f>"            31502795"</f>
        <v xml:space="preserve">            31502795</v>
      </c>
      <c r="H437" s="3">
        <v>42082</v>
      </c>
      <c r="I437" s="3">
        <v>42094</v>
      </c>
      <c r="J437" s="3">
        <v>42094</v>
      </c>
      <c r="K437" s="3">
        <v>42154</v>
      </c>
      <c r="L437"/>
      <c r="N437"/>
      <c r="O437" s="4">
        <v>2433</v>
      </c>
      <c r="P437">
        <v>261</v>
      </c>
      <c r="Q437" s="4">
        <v>635013</v>
      </c>
      <c r="R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 s="3">
        <v>42562</v>
      </c>
      <c r="AC437" t="s">
        <v>53</v>
      </c>
      <c r="AD437" t="s">
        <v>53</v>
      </c>
      <c r="AK437">
        <v>0</v>
      </c>
      <c r="AU437" s="3">
        <v>42415</v>
      </c>
      <c r="AV437" s="3">
        <v>42415</v>
      </c>
      <c r="AW437" t="s">
        <v>54</v>
      </c>
      <c r="AX437" t="str">
        <f t="shared" si="46"/>
        <v>FOR</v>
      </c>
      <c r="AY437" t="s">
        <v>55</v>
      </c>
    </row>
    <row r="438" spans="1:51" hidden="1">
      <c r="A438">
        <v>100270</v>
      </c>
      <c r="B438" t="s">
        <v>96</v>
      </c>
      <c r="C438" t="str">
        <f t="shared" si="48"/>
        <v>01364640233</v>
      </c>
      <c r="D438" t="str">
        <f t="shared" si="49"/>
        <v>03748120155</v>
      </c>
      <c r="E438" t="s">
        <v>52</v>
      </c>
      <c r="F438">
        <v>2015</v>
      </c>
      <c r="G438" t="str">
        <f>"            31502885"</f>
        <v xml:space="preserve">            31502885</v>
      </c>
      <c r="H438" s="3">
        <v>42083</v>
      </c>
      <c r="I438" s="3">
        <v>42094</v>
      </c>
      <c r="J438" s="3">
        <v>42094</v>
      </c>
      <c r="K438" s="3">
        <v>42154</v>
      </c>
      <c r="L438"/>
      <c r="N438"/>
      <c r="O438">
        <v>286.14999999999998</v>
      </c>
      <c r="P438">
        <v>261</v>
      </c>
      <c r="Q438" s="4">
        <v>74685.149999999994</v>
      </c>
      <c r="R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 s="3">
        <v>42562</v>
      </c>
      <c r="AC438" t="s">
        <v>53</v>
      </c>
      <c r="AD438" t="s">
        <v>53</v>
      </c>
      <c r="AK438">
        <v>0</v>
      </c>
      <c r="AU438" s="3">
        <v>42415</v>
      </c>
      <c r="AV438" s="3">
        <v>42415</v>
      </c>
      <c r="AW438" t="s">
        <v>54</v>
      </c>
      <c r="AX438" t="str">
        <f t="shared" si="46"/>
        <v>FOR</v>
      </c>
      <c r="AY438" t="s">
        <v>55</v>
      </c>
    </row>
    <row r="439" spans="1:51" hidden="1">
      <c r="A439">
        <v>100270</v>
      </c>
      <c r="B439" t="s">
        <v>96</v>
      </c>
      <c r="C439" t="str">
        <f t="shared" si="48"/>
        <v>01364640233</v>
      </c>
      <c r="D439" t="str">
        <f t="shared" si="49"/>
        <v>03748120155</v>
      </c>
      <c r="E439" t="s">
        <v>52</v>
      </c>
      <c r="F439">
        <v>2015</v>
      </c>
      <c r="G439" t="str">
        <f>"            31502924"</f>
        <v xml:space="preserve">            31502924</v>
      </c>
      <c r="H439" s="3">
        <v>42086</v>
      </c>
      <c r="I439" s="3">
        <v>42094</v>
      </c>
      <c r="J439" s="3">
        <v>42094</v>
      </c>
      <c r="K439" s="3">
        <v>42154</v>
      </c>
      <c r="L439"/>
      <c r="N439"/>
      <c r="O439">
        <v>286.14999999999998</v>
      </c>
      <c r="P439">
        <v>261</v>
      </c>
      <c r="Q439" s="4">
        <v>74685.149999999994</v>
      </c>
      <c r="R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 s="3">
        <v>42562</v>
      </c>
      <c r="AC439" t="s">
        <v>53</v>
      </c>
      <c r="AD439" t="s">
        <v>53</v>
      </c>
      <c r="AK439">
        <v>0</v>
      </c>
      <c r="AU439" s="3">
        <v>42415</v>
      </c>
      <c r="AV439" s="3">
        <v>42415</v>
      </c>
      <c r="AW439" t="s">
        <v>54</v>
      </c>
      <c r="AX439" t="str">
        <f t="shared" si="46"/>
        <v>FOR</v>
      </c>
      <c r="AY439" t="s">
        <v>55</v>
      </c>
    </row>
    <row r="440" spans="1:51" hidden="1">
      <c r="A440">
        <v>100270</v>
      </c>
      <c r="B440" t="s">
        <v>96</v>
      </c>
      <c r="C440" t="str">
        <f t="shared" si="48"/>
        <v>01364640233</v>
      </c>
      <c r="D440" t="str">
        <f t="shared" si="49"/>
        <v>03748120155</v>
      </c>
      <c r="E440" t="s">
        <v>52</v>
      </c>
      <c r="F440">
        <v>2015</v>
      </c>
      <c r="G440" t="str">
        <f>"            31502925"</f>
        <v xml:space="preserve">            31502925</v>
      </c>
      <c r="H440" s="3">
        <v>42086</v>
      </c>
      <c r="I440" s="3">
        <v>42094</v>
      </c>
      <c r="J440" s="3">
        <v>42094</v>
      </c>
      <c r="K440" s="3">
        <v>42154</v>
      </c>
      <c r="L440"/>
      <c r="N440"/>
      <c r="O440">
        <v>286.14999999999998</v>
      </c>
      <c r="P440">
        <v>261</v>
      </c>
      <c r="Q440" s="4">
        <v>74685.149999999994</v>
      </c>
      <c r="R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 s="3">
        <v>42562</v>
      </c>
      <c r="AC440" t="s">
        <v>53</v>
      </c>
      <c r="AD440" t="s">
        <v>53</v>
      </c>
      <c r="AK440">
        <v>0</v>
      </c>
      <c r="AU440" s="3">
        <v>42415</v>
      </c>
      <c r="AV440" s="3">
        <v>42415</v>
      </c>
      <c r="AW440" t="s">
        <v>54</v>
      </c>
      <c r="AX440" t="str">
        <f t="shared" si="46"/>
        <v>FOR</v>
      </c>
      <c r="AY440" t="s">
        <v>55</v>
      </c>
    </row>
    <row r="441" spans="1:51" hidden="1">
      <c r="A441">
        <v>100270</v>
      </c>
      <c r="B441" t="s">
        <v>96</v>
      </c>
      <c r="C441" t="str">
        <f t="shared" si="48"/>
        <v>01364640233</v>
      </c>
      <c r="D441" t="str">
        <f t="shared" si="49"/>
        <v>03748120155</v>
      </c>
      <c r="E441" t="s">
        <v>52</v>
      </c>
      <c r="F441">
        <v>2015</v>
      </c>
      <c r="G441" t="str">
        <f>"            31502926"</f>
        <v xml:space="preserve">            31502926</v>
      </c>
      <c r="H441" s="3">
        <v>42086</v>
      </c>
      <c r="I441" s="3">
        <v>42094</v>
      </c>
      <c r="J441" s="3">
        <v>42094</v>
      </c>
      <c r="K441" s="3">
        <v>42154</v>
      </c>
      <c r="L441"/>
      <c r="N441"/>
      <c r="O441" s="4">
        <v>2445.37</v>
      </c>
      <c r="P441">
        <v>261</v>
      </c>
      <c r="Q441" s="4">
        <v>638241.56999999995</v>
      </c>
      <c r="R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 s="3">
        <v>42562</v>
      </c>
      <c r="AC441" t="s">
        <v>53</v>
      </c>
      <c r="AD441" t="s">
        <v>53</v>
      </c>
      <c r="AK441">
        <v>0</v>
      </c>
      <c r="AU441" s="3">
        <v>42415</v>
      </c>
      <c r="AV441" s="3">
        <v>42415</v>
      </c>
      <c r="AW441" t="s">
        <v>54</v>
      </c>
      <c r="AX441" t="str">
        <f t="shared" si="46"/>
        <v>FOR</v>
      </c>
      <c r="AY441" t="s">
        <v>55</v>
      </c>
    </row>
    <row r="442" spans="1:51" hidden="1">
      <c r="A442">
        <v>100270</v>
      </c>
      <c r="B442" t="s">
        <v>96</v>
      </c>
      <c r="C442" t="str">
        <f t="shared" si="48"/>
        <v>01364640233</v>
      </c>
      <c r="D442" t="str">
        <f t="shared" si="49"/>
        <v>03748120155</v>
      </c>
      <c r="E442" t="s">
        <v>52</v>
      </c>
      <c r="F442">
        <v>2015</v>
      </c>
      <c r="G442" t="str">
        <f>"            31503522"</f>
        <v xml:space="preserve">            31503522</v>
      </c>
      <c r="H442" s="3">
        <v>42102</v>
      </c>
      <c r="I442" s="3">
        <v>42160</v>
      </c>
      <c r="J442" s="3">
        <v>42149</v>
      </c>
      <c r="K442" s="3">
        <v>42209</v>
      </c>
      <c r="L442"/>
      <c r="N442"/>
      <c r="O442">
        <v>574</v>
      </c>
      <c r="P442">
        <v>244</v>
      </c>
      <c r="Q442" s="4">
        <v>140056</v>
      </c>
      <c r="R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 s="3">
        <v>42562</v>
      </c>
      <c r="AC442" t="s">
        <v>53</v>
      </c>
      <c r="AD442" t="s">
        <v>53</v>
      </c>
      <c r="AK442">
        <v>0</v>
      </c>
      <c r="AU442" s="3">
        <v>42453</v>
      </c>
      <c r="AV442" s="3">
        <v>42453</v>
      </c>
      <c r="AW442" t="s">
        <v>54</v>
      </c>
      <c r="AX442" t="str">
        <f t="shared" si="46"/>
        <v>FOR</v>
      </c>
      <c r="AY442" t="s">
        <v>55</v>
      </c>
    </row>
    <row r="443" spans="1:51" hidden="1">
      <c r="A443">
        <v>100270</v>
      </c>
      <c r="B443" t="s">
        <v>96</v>
      </c>
      <c r="C443" t="str">
        <f t="shared" si="48"/>
        <v>01364640233</v>
      </c>
      <c r="D443" t="str">
        <f t="shared" si="49"/>
        <v>03748120155</v>
      </c>
      <c r="E443" t="s">
        <v>52</v>
      </c>
      <c r="F443">
        <v>2015</v>
      </c>
      <c r="G443" t="str">
        <f>"            31503525"</f>
        <v xml:space="preserve">            31503525</v>
      </c>
      <c r="H443" s="3">
        <v>42102</v>
      </c>
      <c r="I443" s="3">
        <v>42160</v>
      </c>
      <c r="J443" s="3">
        <v>42149</v>
      </c>
      <c r="K443" s="3">
        <v>42209</v>
      </c>
      <c r="L443"/>
      <c r="N443"/>
      <c r="O443" s="4">
        <v>12245.25</v>
      </c>
      <c r="P443">
        <v>244</v>
      </c>
      <c r="Q443" s="4">
        <v>2987841</v>
      </c>
      <c r="R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 s="3">
        <v>42562</v>
      </c>
      <c r="AC443" t="s">
        <v>53</v>
      </c>
      <c r="AD443" t="s">
        <v>53</v>
      </c>
      <c r="AK443">
        <v>0</v>
      </c>
      <c r="AU443" s="3">
        <v>42453</v>
      </c>
      <c r="AV443" s="3">
        <v>42453</v>
      </c>
      <c r="AW443" t="s">
        <v>54</v>
      </c>
      <c r="AX443" t="str">
        <f t="shared" si="46"/>
        <v>FOR</v>
      </c>
      <c r="AY443" t="s">
        <v>55</v>
      </c>
    </row>
    <row r="444" spans="1:51" hidden="1">
      <c r="A444">
        <v>100270</v>
      </c>
      <c r="B444" t="s">
        <v>96</v>
      </c>
      <c r="C444" t="str">
        <f t="shared" si="48"/>
        <v>01364640233</v>
      </c>
      <c r="D444" t="str">
        <f t="shared" si="49"/>
        <v>03748120155</v>
      </c>
      <c r="E444" t="s">
        <v>52</v>
      </c>
      <c r="F444">
        <v>2015</v>
      </c>
      <c r="G444" t="str">
        <f>"            31503995"</f>
        <v xml:space="preserve">            31503995</v>
      </c>
      <c r="H444" s="3">
        <v>42114</v>
      </c>
      <c r="I444" s="3">
        <v>42149</v>
      </c>
      <c r="J444" s="3">
        <v>42138</v>
      </c>
      <c r="K444" s="3">
        <v>42198</v>
      </c>
      <c r="L444"/>
      <c r="N444"/>
      <c r="O444" s="4">
        <v>3141</v>
      </c>
      <c r="P444">
        <v>255</v>
      </c>
      <c r="Q444" s="4">
        <v>800955</v>
      </c>
      <c r="R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 s="3">
        <v>42562</v>
      </c>
      <c r="AC444" t="s">
        <v>53</v>
      </c>
      <c r="AD444" t="s">
        <v>53</v>
      </c>
      <c r="AK444">
        <v>0</v>
      </c>
      <c r="AU444" s="3">
        <v>42453</v>
      </c>
      <c r="AV444" s="3">
        <v>42453</v>
      </c>
      <c r="AW444" t="s">
        <v>54</v>
      </c>
      <c r="AX444" t="str">
        <f t="shared" si="46"/>
        <v>FOR</v>
      </c>
      <c r="AY444" t="s">
        <v>55</v>
      </c>
    </row>
    <row r="445" spans="1:51" hidden="1">
      <c r="A445">
        <v>100270</v>
      </c>
      <c r="B445" t="s">
        <v>96</v>
      </c>
      <c r="C445" t="str">
        <f t="shared" si="48"/>
        <v>01364640233</v>
      </c>
      <c r="D445" t="str">
        <f t="shared" si="49"/>
        <v>03748120155</v>
      </c>
      <c r="E445" t="s">
        <v>52</v>
      </c>
      <c r="F445">
        <v>2015</v>
      </c>
      <c r="G445" t="str">
        <f>"            31503997"</f>
        <v xml:space="preserve">            31503997</v>
      </c>
      <c r="H445" s="3">
        <v>42114</v>
      </c>
      <c r="I445" s="3">
        <v>42149</v>
      </c>
      <c r="J445" s="3">
        <v>42138</v>
      </c>
      <c r="K445" s="3">
        <v>42198</v>
      </c>
      <c r="L445"/>
      <c r="N445"/>
      <c r="O445">
        <v>286.14999999999998</v>
      </c>
      <c r="P445">
        <v>255</v>
      </c>
      <c r="Q445" s="4">
        <v>72968.25</v>
      </c>
      <c r="R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 s="3">
        <v>42562</v>
      </c>
      <c r="AC445" t="s">
        <v>53</v>
      </c>
      <c r="AD445" t="s">
        <v>53</v>
      </c>
      <c r="AK445">
        <v>0</v>
      </c>
      <c r="AU445" s="3">
        <v>42453</v>
      </c>
      <c r="AV445" s="3">
        <v>42453</v>
      </c>
      <c r="AW445" t="s">
        <v>54</v>
      </c>
      <c r="AX445" t="str">
        <f t="shared" si="46"/>
        <v>FOR</v>
      </c>
      <c r="AY445" t="s">
        <v>55</v>
      </c>
    </row>
    <row r="446" spans="1:51" hidden="1">
      <c r="A446">
        <v>100270</v>
      </c>
      <c r="B446" t="s">
        <v>96</v>
      </c>
      <c r="C446" t="str">
        <f t="shared" si="48"/>
        <v>01364640233</v>
      </c>
      <c r="D446" t="str">
        <f t="shared" si="49"/>
        <v>03748120155</v>
      </c>
      <c r="E446" t="s">
        <v>52</v>
      </c>
      <c r="F446">
        <v>2015</v>
      </c>
      <c r="G446" t="str">
        <f>"            31503998"</f>
        <v xml:space="preserve">            31503998</v>
      </c>
      <c r="H446" s="3">
        <v>42114</v>
      </c>
      <c r="I446" s="3">
        <v>42149</v>
      </c>
      <c r="J446" s="3">
        <v>42138</v>
      </c>
      <c r="K446" s="3">
        <v>42198</v>
      </c>
      <c r="L446"/>
      <c r="N446"/>
      <c r="O446">
        <v>283.24</v>
      </c>
      <c r="P446">
        <v>255</v>
      </c>
      <c r="Q446" s="4">
        <v>72226.2</v>
      </c>
      <c r="R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 s="3">
        <v>42562</v>
      </c>
      <c r="AC446" t="s">
        <v>53</v>
      </c>
      <c r="AD446" t="s">
        <v>53</v>
      </c>
      <c r="AK446">
        <v>0</v>
      </c>
      <c r="AU446" s="3">
        <v>42453</v>
      </c>
      <c r="AV446" s="3">
        <v>42453</v>
      </c>
      <c r="AW446" t="s">
        <v>54</v>
      </c>
      <c r="AX446" t="str">
        <f t="shared" si="46"/>
        <v>FOR</v>
      </c>
      <c r="AY446" t="s">
        <v>55</v>
      </c>
    </row>
    <row r="447" spans="1:51" hidden="1">
      <c r="A447">
        <v>100270</v>
      </c>
      <c r="B447" t="s">
        <v>96</v>
      </c>
      <c r="C447" t="str">
        <f t="shared" si="48"/>
        <v>01364640233</v>
      </c>
      <c r="D447" t="str">
        <f t="shared" si="49"/>
        <v>03748120155</v>
      </c>
      <c r="E447" t="s">
        <v>52</v>
      </c>
      <c r="F447">
        <v>2015</v>
      </c>
      <c r="G447" t="str">
        <f>"            31503999"</f>
        <v xml:space="preserve">            31503999</v>
      </c>
      <c r="H447" s="3">
        <v>42114</v>
      </c>
      <c r="I447" s="3">
        <v>42149</v>
      </c>
      <c r="J447" s="3">
        <v>42138</v>
      </c>
      <c r="K447" s="3">
        <v>42198</v>
      </c>
      <c r="L447"/>
      <c r="N447"/>
      <c r="O447">
        <v>286.14999999999998</v>
      </c>
      <c r="P447">
        <v>255</v>
      </c>
      <c r="Q447" s="4">
        <v>72968.25</v>
      </c>
      <c r="R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 s="3">
        <v>42562</v>
      </c>
      <c r="AC447" t="s">
        <v>53</v>
      </c>
      <c r="AD447" t="s">
        <v>53</v>
      </c>
      <c r="AK447">
        <v>0</v>
      </c>
      <c r="AU447" s="3">
        <v>42453</v>
      </c>
      <c r="AV447" s="3">
        <v>42453</v>
      </c>
      <c r="AW447" t="s">
        <v>54</v>
      </c>
      <c r="AX447" t="str">
        <f t="shared" si="46"/>
        <v>FOR</v>
      </c>
      <c r="AY447" t="s">
        <v>55</v>
      </c>
    </row>
    <row r="448" spans="1:51" hidden="1">
      <c r="A448">
        <v>100270</v>
      </c>
      <c r="B448" t="s">
        <v>96</v>
      </c>
      <c r="C448" t="str">
        <f t="shared" si="48"/>
        <v>01364640233</v>
      </c>
      <c r="D448" t="str">
        <f t="shared" si="49"/>
        <v>03748120155</v>
      </c>
      <c r="E448" t="s">
        <v>52</v>
      </c>
      <c r="F448">
        <v>2015</v>
      </c>
      <c r="G448" t="str">
        <f>"            31504068"</f>
        <v xml:space="preserve">            31504068</v>
      </c>
      <c r="H448" s="3">
        <v>42115</v>
      </c>
      <c r="I448" s="3">
        <v>42149</v>
      </c>
      <c r="J448" s="3">
        <v>42138</v>
      </c>
      <c r="K448" s="3">
        <v>42198</v>
      </c>
      <c r="L448"/>
      <c r="N448"/>
      <c r="O448" s="4">
        <v>9349.5</v>
      </c>
      <c r="P448">
        <v>255</v>
      </c>
      <c r="Q448" s="4">
        <v>2384122.5</v>
      </c>
      <c r="R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 s="3">
        <v>42562</v>
      </c>
      <c r="AC448" t="s">
        <v>53</v>
      </c>
      <c r="AD448" t="s">
        <v>53</v>
      </c>
      <c r="AK448">
        <v>0</v>
      </c>
      <c r="AU448" s="3">
        <v>42453</v>
      </c>
      <c r="AV448" s="3">
        <v>42453</v>
      </c>
      <c r="AW448" t="s">
        <v>54</v>
      </c>
      <c r="AX448" t="str">
        <f t="shared" si="46"/>
        <v>FOR</v>
      </c>
      <c r="AY448" t="s">
        <v>55</v>
      </c>
    </row>
    <row r="449" spans="1:51" hidden="1">
      <c r="A449">
        <v>100270</v>
      </c>
      <c r="B449" t="s">
        <v>96</v>
      </c>
      <c r="C449" t="str">
        <f t="shared" si="48"/>
        <v>01364640233</v>
      </c>
      <c r="D449" t="str">
        <f t="shared" si="49"/>
        <v>03748120155</v>
      </c>
      <c r="E449" t="s">
        <v>52</v>
      </c>
      <c r="F449">
        <v>2015</v>
      </c>
      <c r="G449" t="str">
        <f>"            31504164"</f>
        <v xml:space="preserve">            31504164</v>
      </c>
      <c r="H449" s="3">
        <v>42117</v>
      </c>
      <c r="I449" s="3">
        <v>42149</v>
      </c>
      <c r="J449" s="3">
        <v>42138</v>
      </c>
      <c r="K449" s="3">
        <v>42198</v>
      </c>
      <c r="L449"/>
      <c r="N449"/>
      <c r="O449">
        <v>882</v>
      </c>
      <c r="P449">
        <v>255</v>
      </c>
      <c r="Q449" s="4">
        <v>224910</v>
      </c>
      <c r="R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 s="3">
        <v>42562</v>
      </c>
      <c r="AC449" t="s">
        <v>53</v>
      </c>
      <c r="AD449" t="s">
        <v>53</v>
      </c>
      <c r="AK449">
        <v>0</v>
      </c>
      <c r="AU449" s="3">
        <v>42453</v>
      </c>
      <c r="AV449" s="3">
        <v>42453</v>
      </c>
      <c r="AW449" t="s">
        <v>54</v>
      </c>
      <c r="AX449" t="str">
        <f t="shared" si="46"/>
        <v>FOR</v>
      </c>
      <c r="AY449" t="s">
        <v>55</v>
      </c>
    </row>
    <row r="450" spans="1:51" hidden="1">
      <c r="A450">
        <v>100270</v>
      </c>
      <c r="B450" t="s">
        <v>96</v>
      </c>
      <c r="C450" t="str">
        <f t="shared" si="48"/>
        <v>01364640233</v>
      </c>
      <c r="D450" t="str">
        <f t="shared" si="49"/>
        <v>03748120155</v>
      </c>
      <c r="E450" t="s">
        <v>52</v>
      </c>
      <c r="F450">
        <v>2015</v>
      </c>
      <c r="G450" t="str">
        <f>"            31504172"</f>
        <v xml:space="preserve">            31504172</v>
      </c>
      <c r="H450" s="3">
        <v>42117</v>
      </c>
      <c r="I450" s="3">
        <v>42149</v>
      </c>
      <c r="J450" s="3">
        <v>42138</v>
      </c>
      <c r="K450" s="3">
        <v>42198</v>
      </c>
      <c r="L450"/>
      <c r="N450"/>
      <c r="O450" s="4">
        <v>18555</v>
      </c>
      <c r="P450">
        <v>255</v>
      </c>
      <c r="Q450" s="4">
        <v>4731525</v>
      </c>
      <c r="R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 s="3">
        <v>42562</v>
      </c>
      <c r="AC450" t="s">
        <v>53</v>
      </c>
      <c r="AD450" t="s">
        <v>53</v>
      </c>
      <c r="AK450">
        <v>0</v>
      </c>
      <c r="AU450" s="3">
        <v>42453</v>
      </c>
      <c r="AV450" s="3">
        <v>42453</v>
      </c>
      <c r="AW450" t="s">
        <v>54</v>
      </c>
      <c r="AX450" t="str">
        <f t="shared" si="46"/>
        <v>FOR</v>
      </c>
      <c r="AY450" t="s">
        <v>55</v>
      </c>
    </row>
    <row r="451" spans="1:51" hidden="1">
      <c r="A451">
        <v>100270</v>
      </c>
      <c r="B451" t="s">
        <v>96</v>
      </c>
      <c r="C451" t="str">
        <f t="shared" si="48"/>
        <v>01364640233</v>
      </c>
      <c r="D451" t="str">
        <f t="shared" si="49"/>
        <v>03748120155</v>
      </c>
      <c r="E451" t="s">
        <v>52</v>
      </c>
      <c r="F451">
        <v>2015</v>
      </c>
      <c r="G451" t="str">
        <f>"            31504181"</f>
        <v xml:space="preserve">            31504181</v>
      </c>
      <c r="H451" s="3">
        <v>42117</v>
      </c>
      <c r="I451" s="3">
        <v>42149</v>
      </c>
      <c r="J451" s="3">
        <v>42138</v>
      </c>
      <c r="K451" s="3">
        <v>42198</v>
      </c>
      <c r="L451"/>
      <c r="N451"/>
      <c r="O451" s="4">
        <v>13207.5</v>
      </c>
      <c r="P451">
        <v>255</v>
      </c>
      <c r="Q451" s="4">
        <v>3367912.5</v>
      </c>
      <c r="R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 s="3">
        <v>42562</v>
      </c>
      <c r="AC451" t="s">
        <v>53</v>
      </c>
      <c r="AD451" t="s">
        <v>53</v>
      </c>
      <c r="AK451">
        <v>0</v>
      </c>
      <c r="AU451" s="3">
        <v>42453</v>
      </c>
      <c r="AV451" s="3">
        <v>42453</v>
      </c>
      <c r="AW451" t="s">
        <v>54</v>
      </c>
      <c r="AX451" t="str">
        <f t="shared" si="46"/>
        <v>FOR</v>
      </c>
      <c r="AY451" t="s">
        <v>55</v>
      </c>
    </row>
    <row r="452" spans="1:51" hidden="1">
      <c r="A452">
        <v>100270</v>
      </c>
      <c r="B452" t="s">
        <v>96</v>
      </c>
      <c r="C452" t="str">
        <f t="shared" si="48"/>
        <v>01364640233</v>
      </c>
      <c r="D452" t="str">
        <f t="shared" si="49"/>
        <v>03748120155</v>
      </c>
      <c r="E452" t="s">
        <v>52</v>
      </c>
      <c r="F452">
        <v>2015</v>
      </c>
      <c r="G452" t="str">
        <f>"            31504680"</f>
        <v xml:space="preserve">            31504680</v>
      </c>
      <c r="H452" s="3">
        <v>42135</v>
      </c>
      <c r="I452" s="3">
        <v>42160</v>
      </c>
      <c r="J452" s="3">
        <v>42149</v>
      </c>
      <c r="K452" s="3">
        <v>42209</v>
      </c>
      <c r="L452"/>
      <c r="N452"/>
      <c r="O452" s="4">
        <v>2445.37</v>
      </c>
      <c r="P452">
        <v>244</v>
      </c>
      <c r="Q452" s="4">
        <v>596670.28</v>
      </c>
      <c r="R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 s="3">
        <v>42562</v>
      </c>
      <c r="AC452" t="s">
        <v>53</v>
      </c>
      <c r="AD452" t="s">
        <v>53</v>
      </c>
      <c r="AK452">
        <v>0</v>
      </c>
      <c r="AU452" s="3">
        <v>42453</v>
      </c>
      <c r="AV452" s="3">
        <v>42453</v>
      </c>
      <c r="AW452" t="s">
        <v>54</v>
      </c>
      <c r="AX452" t="str">
        <f t="shared" si="46"/>
        <v>FOR</v>
      </c>
      <c r="AY452" t="s">
        <v>55</v>
      </c>
    </row>
    <row r="453" spans="1:51" hidden="1">
      <c r="A453">
        <v>100270</v>
      </c>
      <c r="B453" t="s">
        <v>96</v>
      </c>
      <c r="C453" t="str">
        <f t="shared" si="48"/>
        <v>01364640233</v>
      </c>
      <c r="D453" t="str">
        <f t="shared" si="49"/>
        <v>03748120155</v>
      </c>
      <c r="E453" t="s">
        <v>52</v>
      </c>
      <c r="F453">
        <v>2015</v>
      </c>
      <c r="G453" t="str">
        <f>"            31504681"</f>
        <v xml:space="preserve">            31504681</v>
      </c>
      <c r="H453" s="3">
        <v>42135</v>
      </c>
      <c r="I453" s="3">
        <v>42160</v>
      </c>
      <c r="J453" s="3">
        <v>42149</v>
      </c>
      <c r="K453" s="3">
        <v>42209</v>
      </c>
      <c r="L453"/>
      <c r="N453"/>
      <c r="O453" s="4">
        <v>2445.37</v>
      </c>
      <c r="P453">
        <v>244</v>
      </c>
      <c r="Q453" s="4">
        <v>596670.28</v>
      </c>
      <c r="R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 s="3">
        <v>42562</v>
      </c>
      <c r="AC453" t="s">
        <v>53</v>
      </c>
      <c r="AD453" t="s">
        <v>53</v>
      </c>
      <c r="AK453">
        <v>0</v>
      </c>
      <c r="AU453" s="3">
        <v>42453</v>
      </c>
      <c r="AV453" s="3">
        <v>42453</v>
      </c>
      <c r="AW453" t="s">
        <v>54</v>
      </c>
      <c r="AX453" t="str">
        <f t="shared" si="46"/>
        <v>FOR</v>
      </c>
      <c r="AY453" t="s">
        <v>55</v>
      </c>
    </row>
    <row r="454" spans="1:51" hidden="1">
      <c r="A454">
        <v>100270</v>
      </c>
      <c r="B454" t="s">
        <v>96</v>
      </c>
      <c r="C454" t="str">
        <f t="shared" si="48"/>
        <v>01364640233</v>
      </c>
      <c r="D454" t="str">
        <f t="shared" si="49"/>
        <v>03748120155</v>
      </c>
      <c r="E454" t="s">
        <v>52</v>
      </c>
      <c r="F454">
        <v>2015</v>
      </c>
      <c r="G454" t="str">
        <f>"            31504682"</f>
        <v xml:space="preserve">            31504682</v>
      </c>
      <c r="H454" s="3">
        <v>42135</v>
      </c>
      <c r="I454" s="3">
        <v>42160</v>
      </c>
      <c r="J454" s="3">
        <v>42149</v>
      </c>
      <c r="K454" s="3">
        <v>42209</v>
      </c>
      <c r="L454"/>
      <c r="N454"/>
      <c r="O454" s="4">
        <v>2445.37</v>
      </c>
      <c r="P454">
        <v>244</v>
      </c>
      <c r="Q454" s="4">
        <v>596670.28</v>
      </c>
      <c r="R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 s="3">
        <v>42562</v>
      </c>
      <c r="AC454" t="s">
        <v>53</v>
      </c>
      <c r="AD454" t="s">
        <v>53</v>
      </c>
      <c r="AK454">
        <v>0</v>
      </c>
      <c r="AU454" s="3">
        <v>42453</v>
      </c>
      <c r="AV454" s="3">
        <v>42453</v>
      </c>
      <c r="AW454" t="s">
        <v>54</v>
      </c>
      <c r="AX454" t="str">
        <f t="shared" si="46"/>
        <v>FOR</v>
      </c>
      <c r="AY454" t="s">
        <v>55</v>
      </c>
    </row>
    <row r="455" spans="1:51" hidden="1">
      <c r="A455">
        <v>100270</v>
      </c>
      <c r="B455" t="s">
        <v>96</v>
      </c>
      <c r="C455" t="str">
        <f t="shared" si="48"/>
        <v>01364640233</v>
      </c>
      <c r="D455" t="str">
        <f t="shared" si="49"/>
        <v>03748120155</v>
      </c>
      <c r="E455" t="s">
        <v>52</v>
      </c>
      <c r="F455">
        <v>2015</v>
      </c>
      <c r="G455" t="str">
        <f>"            31505201"</f>
        <v xml:space="preserve">            31505201</v>
      </c>
      <c r="H455" s="3">
        <v>42149</v>
      </c>
      <c r="I455" s="3">
        <v>42167</v>
      </c>
      <c r="J455" s="3">
        <v>42166</v>
      </c>
      <c r="K455" s="3">
        <v>42226</v>
      </c>
      <c r="L455"/>
      <c r="N455"/>
      <c r="O455">
        <v>286.14999999999998</v>
      </c>
      <c r="P455">
        <v>227</v>
      </c>
      <c r="Q455" s="4">
        <v>64956.05</v>
      </c>
      <c r="R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 s="3">
        <v>42562</v>
      </c>
      <c r="AC455" t="s">
        <v>53</v>
      </c>
      <c r="AD455" t="s">
        <v>53</v>
      </c>
      <c r="AK455">
        <v>0</v>
      </c>
      <c r="AU455" s="3">
        <v>42453</v>
      </c>
      <c r="AV455" s="3">
        <v>42453</v>
      </c>
      <c r="AW455" t="s">
        <v>54</v>
      </c>
      <c r="AX455" t="str">
        <f t="shared" si="46"/>
        <v>FOR</v>
      </c>
      <c r="AY455" t="s">
        <v>55</v>
      </c>
    </row>
    <row r="456" spans="1:51" hidden="1">
      <c r="A456">
        <v>100270</v>
      </c>
      <c r="B456" t="s">
        <v>96</v>
      </c>
      <c r="C456" t="str">
        <f t="shared" si="48"/>
        <v>01364640233</v>
      </c>
      <c r="D456" t="str">
        <f t="shared" si="49"/>
        <v>03748120155</v>
      </c>
      <c r="E456" t="s">
        <v>52</v>
      </c>
      <c r="F456">
        <v>2015</v>
      </c>
      <c r="G456" t="str">
        <f>"            31505202"</f>
        <v xml:space="preserve">            31505202</v>
      </c>
      <c r="H456" s="3">
        <v>42149</v>
      </c>
      <c r="I456" s="3">
        <v>42167</v>
      </c>
      <c r="J456" s="3">
        <v>42166</v>
      </c>
      <c r="K456" s="3">
        <v>42226</v>
      </c>
      <c r="L456"/>
      <c r="N456"/>
      <c r="O456" s="4">
        <v>2445.37</v>
      </c>
      <c r="P456">
        <v>227</v>
      </c>
      <c r="Q456" s="4">
        <v>555098.99</v>
      </c>
      <c r="R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 s="3">
        <v>42562</v>
      </c>
      <c r="AC456" t="s">
        <v>53</v>
      </c>
      <c r="AD456" t="s">
        <v>53</v>
      </c>
      <c r="AK456">
        <v>0</v>
      </c>
      <c r="AU456" s="3">
        <v>42453</v>
      </c>
      <c r="AV456" s="3">
        <v>42453</v>
      </c>
      <c r="AW456" t="s">
        <v>54</v>
      </c>
      <c r="AX456" t="str">
        <f t="shared" si="46"/>
        <v>FOR</v>
      </c>
      <c r="AY456" t="s">
        <v>55</v>
      </c>
    </row>
    <row r="457" spans="1:51" hidden="1">
      <c r="A457">
        <v>100270</v>
      </c>
      <c r="B457" t="s">
        <v>96</v>
      </c>
      <c r="C457" t="str">
        <f t="shared" si="48"/>
        <v>01364640233</v>
      </c>
      <c r="D457" t="str">
        <f t="shared" si="49"/>
        <v>03748120155</v>
      </c>
      <c r="E457" t="s">
        <v>52</v>
      </c>
      <c r="F457">
        <v>2015</v>
      </c>
      <c r="G457" t="str">
        <f>"            31505203"</f>
        <v xml:space="preserve">            31505203</v>
      </c>
      <c r="H457" s="3">
        <v>42149</v>
      </c>
      <c r="I457" s="3">
        <v>42166</v>
      </c>
      <c r="J457" s="3">
        <v>42166</v>
      </c>
      <c r="K457" s="3">
        <v>42226</v>
      </c>
      <c r="L457"/>
      <c r="N457"/>
      <c r="O457">
        <v>283.24</v>
      </c>
      <c r="P457">
        <v>227</v>
      </c>
      <c r="Q457" s="4">
        <v>64295.48</v>
      </c>
      <c r="R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 s="3">
        <v>42562</v>
      </c>
      <c r="AC457" t="s">
        <v>53</v>
      </c>
      <c r="AD457" t="s">
        <v>53</v>
      </c>
      <c r="AK457">
        <v>0</v>
      </c>
      <c r="AU457" s="3">
        <v>42453</v>
      </c>
      <c r="AV457" s="3">
        <v>42453</v>
      </c>
      <c r="AW457" t="s">
        <v>54</v>
      </c>
      <c r="AX457" t="str">
        <f t="shared" si="46"/>
        <v>FOR</v>
      </c>
      <c r="AY457" t="s">
        <v>55</v>
      </c>
    </row>
    <row r="458" spans="1:51" hidden="1">
      <c r="A458">
        <v>100270</v>
      </c>
      <c r="B458" t="s">
        <v>96</v>
      </c>
      <c r="C458" t="str">
        <f t="shared" si="48"/>
        <v>01364640233</v>
      </c>
      <c r="D458" t="str">
        <f t="shared" si="49"/>
        <v>03748120155</v>
      </c>
      <c r="E458" t="s">
        <v>52</v>
      </c>
      <c r="F458">
        <v>2015</v>
      </c>
      <c r="G458" t="str">
        <f>"            31505204"</f>
        <v xml:space="preserve">            31505204</v>
      </c>
      <c r="H458" s="3">
        <v>42149</v>
      </c>
      <c r="I458" s="3">
        <v>42166</v>
      </c>
      <c r="J458" s="3">
        <v>42166</v>
      </c>
      <c r="K458" s="3">
        <v>42226</v>
      </c>
      <c r="L458"/>
      <c r="N458"/>
      <c r="O458">
        <v>286.14999999999998</v>
      </c>
      <c r="P458">
        <v>227</v>
      </c>
      <c r="Q458" s="4">
        <v>64956.05</v>
      </c>
      <c r="R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 s="3">
        <v>42562</v>
      </c>
      <c r="AC458" t="s">
        <v>53</v>
      </c>
      <c r="AD458" t="s">
        <v>53</v>
      </c>
      <c r="AK458">
        <v>0</v>
      </c>
      <c r="AU458" s="3">
        <v>42453</v>
      </c>
      <c r="AV458" s="3">
        <v>42453</v>
      </c>
      <c r="AW458" t="s">
        <v>54</v>
      </c>
      <c r="AX458" t="str">
        <f t="shared" ref="AX458:AX489" si="50">"FOR"</f>
        <v>FOR</v>
      </c>
      <c r="AY458" t="s">
        <v>55</v>
      </c>
    </row>
    <row r="459" spans="1:51" hidden="1">
      <c r="A459">
        <v>100270</v>
      </c>
      <c r="B459" t="s">
        <v>96</v>
      </c>
      <c r="C459" t="str">
        <f t="shared" si="48"/>
        <v>01364640233</v>
      </c>
      <c r="D459" t="str">
        <f t="shared" si="49"/>
        <v>03748120155</v>
      </c>
      <c r="E459" t="s">
        <v>52</v>
      </c>
      <c r="F459">
        <v>2015</v>
      </c>
      <c r="G459" t="str">
        <f>"            31505205"</f>
        <v xml:space="preserve">            31505205</v>
      </c>
      <c r="H459" s="3">
        <v>42149</v>
      </c>
      <c r="I459" s="3">
        <v>42166</v>
      </c>
      <c r="J459" s="3">
        <v>42166</v>
      </c>
      <c r="K459" s="3">
        <v>42226</v>
      </c>
      <c r="L459"/>
      <c r="N459"/>
      <c r="O459" s="4">
        <v>1755.7</v>
      </c>
      <c r="P459">
        <v>227</v>
      </c>
      <c r="Q459" s="4">
        <v>398543.9</v>
      </c>
      <c r="R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 s="3">
        <v>42562</v>
      </c>
      <c r="AC459" t="s">
        <v>53</v>
      </c>
      <c r="AD459" t="s">
        <v>53</v>
      </c>
      <c r="AK459">
        <v>0</v>
      </c>
      <c r="AU459" s="3">
        <v>42453</v>
      </c>
      <c r="AV459" s="3">
        <v>42453</v>
      </c>
      <c r="AW459" t="s">
        <v>54</v>
      </c>
      <c r="AX459" t="str">
        <f t="shared" si="50"/>
        <v>FOR</v>
      </c>
      <c r="AY459" t="s">
        <v>55</v>
      </c>
    </row>
    <row r="460" spans="1:51" hidden="1">
      <c r="A460">
        <v>100270</v>
      </c>
      <c r="B460" t="s">
        <v>96</v>
      </c>
      <c r="C460" t="str">
        <f t="shared" si="48"/>
        <v>01364640233</v>
      </c>
      <c r="D460" t="str">
        <f t="shared" si="49"/>
        <v>03748120155</v>
      </c>
      <c r="E460" t="s">
        <v>52</v>
      </c>
      <c r="F460">
        <v>2015</v>
      </c>
      <c r="G460" t="str">
        <f>"            31505238"</f>
        <v xml:space="preserve">            31505238</v>
      </c>
      <c r="H460" s="3">
        <v>42150</v>
      </c>
      <c r="I460" s="3">
        <v>42166</v>
      </c>
      <c r="J460" s="3">
        <v>42166</v>
      </c>
      <c r="K460" s="3">
        <v>42226</v>
      </c>
      <c r="L460"/>
      <c r="N460"/>
      <c r="O460" s="4">
        <v>1108.08</v>
      </c>
      <c r="P460">
        <v>227</v>
      </c>
      <c r="Q460" s="4">
        <v>251534.16</v>
      </c>
      <c r="R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 s="3">
        <v>42562</v>
      </c>
      <c r="AC460" t="s">
        <v>53</v>
      </c>
      <c r="AD460" t="s">
        <v>53</v>
      </c>
      <c r="AK460">
        <v>0</v>
      </c>
      <c r="AU460" s="3">
        <v>42453</v>
      </c>
      <c r="AV460" s="3">
        <v>42453</v>
      </c>
      <c r="AW460" t="s">
        <v>54</v>
      </c>
      <c r="AX460" t="str">
        <f t="shared" si="50"/>
        <v>FOR</v>
      </c>
      <c r="AY460" t="s">
        <v>55</v>
      </c>
    </row>
    <row r="461" spans="1:51">
      <c r="A461">
        <v>100270</v>
      </c>
      <c r="B461" t="s">
        <v>96</v>
      </c>
      <c r="C461" t="str">
        <f t="shared" si="48"/>
        <v>01364640233</v>
      </c>
      <c r="D461" t="str">
        <f t="shared" si="49"/>
        <v>03748120155</v>
      </c>
      <c r="E461" t="s">
        <v>52</v>
      </c>
      <c r="F461">
        <v>2015</v>
      </c>
      <c r="G461" t="str">
        <f>"            31505592"</f>
        <v xml:space="preserve">            31505592</v>
      </c>
      <c r="H461" s="3">
        <v>42159</v>
      </c>
      <c r="I461" s="3">
        <v>42185</v>
      </c>
      <c r="J461" s="3">
        <v>42181</v>
      </c>
      <c r="K461" s="3">
        <v>42241</v>
      </c>
      <c r="L461" s="5">
        <v>12875.25</v>
      </c>
      <c r="M461">
        <v>251</v>
      </c>
      <c r="N461" s="5">
        <v>3231687.75</v>
      </c>
      <c r="O461" s="4">
        <v>12875.25</v>
      </c>
      <c r="P461">
        <v>251</v>
      </c>
      <c r="Q461" s="4">
        <v>3231687.75</v>
      </c>
      <c r="R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 s="3">
        <v>42562</v>
      </c>
      <c r="AC461" t="s">
        <v>53</v>
      </c>
      <c r="AD461" t="s">
        <v>53</v>
      </c>
      <c r="AK461">
        <v>0</v>
      </c>
      <c r="AU461" s="3">
        <v>42492</v>
      </c>
      <c r="AV461" s="3">
        <v>42492</v>
      </c>
      <c r="AW461" t="s">
        <v>54</v>
      </c>
      <c r="AX461" t="str">
        <f t="shared" si="50"/>
        <v>FOR</v>
      </c>
      <c r="AY461" t="s">
        <v>55</v>
      </c>
    </row>
    <row r="462" spans="1:51">
      <c r="A462">
        <v>100270</v>
      </c>
      <c r="B462" t="s">
        <v>96</v>
      </c>
      <c r="C462" t="str">
        <f t="shared" si="48"/>
        <v>01364640233</v>
      </c>
      <c r="D462" t="str">
        <f t="shared" si="49"/>
        <v>03748120155</v>
      </c>
      <c r="E462" t="s">
        <v>52</v>
      </c>
      <c r="F462">
        <v>2015</v>
      </c>
      <c r="G462" t="str">
        <f>"            31506283"</f>
        <v xml:space="preserve">            31506283</v>
      </c>
      <c r="H462" s="3">
        <v>42178</v>
      </c>
      <c r="I462" s="3">
        <v>42193</v>
      </c>
      <c r="J462" s="3">
        <v>42192</v>
      </c>
      <c r="K462" s="3">
        <v>42252</v>
      </c>
      <c r="L462" s="1">
        <v>286.14999999999998</v>
      </c>
      <c r="M462">
        <v>240</v>
      </c>
      <c r="N462" s="5">
        <v>68676</v>
      </c>
      <c r="O462">
        <v>286.14999999999998</v>
      </c>
      <c r="P462">
        <v>240</v>
      </c>
      <c r="Q462" s="4">
        <v>68676</v>
      </c>
      <c r="R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 s="3">
        <v>42562</v>
      </c>
      <c r="AC462" t="s">
        <v>53</v>
      </c>
      <c r="AD462" t="s">
        <v>53</v>
      </c>
      <c r="AK462">
        <v>0</v>
      </c>
      <c r="AU462" s="3">
        <v>42492</v>
      </c>
      <c r="AV462" s="3">
        <v>42492</v>
      </c>
      <c r="AW462" t="s">
        <v>54</v>
      </c>
      <c r="AX462" t="str">
        <f t="shared" si="50"/>
        <v>FOR</v>
      </c>
      <c r="AY462" t="s">
        <v>55</v>
      </c>
    </row>
    <row r="463" spans="1:51">
      <c r="A463">
        <v>100275</v>
      </c>
      <c r="B463" t="s">
        <v>97</v>
      </c>
      <c r="C463" t="str">
        <f>"00725050157"</f>
        <v>00725050157</v>
      </c>
      <c r="D463" t="str">
        <f>""</f>
        <v/>
      </c>
      <c r="E463" t="s">
        <v>52</v>
      </c>
      <c r="F463">
        <v>2015</v>
      </c>
      <c r="G463" t="str">
        <f>"            V1507365"</f>
        <v xml:space="preserve">            V1507365</v>
      </c>
      <c r="H463" s="3">
        <v>42356</v>
      </c>
      <c r="I463" s="3">
        <v>42361</v>
      </c>
      <c r="J463" s="3">
        <v>42360</v>
      </c>
      <c r="K463" s="3">
        <v>42420</v>
      </c>
      <c r="L463" s="5">
        <v>5700</v>
      </c>
      <c r="M463">
        <v>109</v>
      </c>
      <c r="N463" s="5">
        <v>621300</v>
      </c>
      <c r="O463" s="4">
        <v>5700</v>
      </c>
      <c r="P463">
        <v>109</v>
      </c>
      <c r="Q463" s="4">
        <v>621300</v>
      </c>
      <c r="R463" s="4">
        <v>1254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 s="3">
        <v>42562</v>
      </c>
      <c r="AC463" t="s">
        <v>53</v>
      </c>
      <c r="AD463" t="s">
        <v>53</v>
      </c>
      <c r="AI463" s="4">
        <v>1254</v>
      </c>
      <c r="AK463">
        <v>0</v>
      </c>
      <c r="AU463" s="3">
        <v>42529</v>
      </c>
      <c r="AV463" s="3">
        <v>42529</v>
      </c>
      <c r="AW463" t="s">
        <v>54</v>
      </c>
      <c r="AX463" t="str">
        <f t="shared" si="50"/>
        <v>FOR</v>
      </c>
      <c r="AY463" t="s">
        <v>55</v>
      </c>
    </row>
    <row r="464" spans="1:51">
      <c r="A464">
        <v>100275</v>
      </c>
      <c r="B464" t="s">
        <v>97</v>
      </c>
      <c r="C464" t="str">
        <f>"00725050157"</f>
        <v>00725050157</v>
      </c>
      <c r="D464" t="str">
        <f>""</f>
        <v/>
      </c>
      <c r="E464" t="s">
        <v>52</v>
      </c>
      <c r="F464">
        <v>2016</v>
      </c>
      <c r="G464" t="str">
        <f>"            V1600233"</f>
        <v xml:space="preserve">            V1600233</v>
      </c>
      <c r="H464" s="3">
        <v>42389</v>
      </c>
      <c r="I464" s="3">
        <v>42395</v>
      </c>
      <c r="J464" s="3">
        <v>42391</v>
      </c>
      <c r="K464" s="3">
        <v>42451</v>
      </c>
      <c r="L464" s="5">
        <v>9500</v>
      </c>
      <c r="M464">
        <v>78</v>
      </c>
      <c r="N464" s="5">
        <v>741000</v>
      </c>
      <c r="O464" s="4">
        <v>9500</v>
      </c>
      <c r="P464">
        <v>78</v>
      </c>
      <c r="Q464" s="4">
        <v>741000</v>
      </c>
      <c r="R464" s="4">
        <v>2090</v>
      </c>
      <c r="V464">
        <v>0</v>
      </c>
      <c r="W464">
        <v>0</v>
      </c>
      <c r="X464">
        <v>0</v>
      </c>
      <c r="Y464" s="4">
        <v>11590</v>
      </c>
      <c r="Z464" s="4">
        <v>11590</v>
      </c>
      <c r="AA464" s="4">
        <v>11590</v>
      </c>
      <c r="AB464" s="3">
        <v>42562</v>
      </c>
      <c r="AC464" t="s">
        <v>53</v>
      </c>
      <c r="AD464" t="s">
        <v>53</v>
      </c>
      <c r="AH464" s="4">
        <v>2090</v>
      </c>
      <c r="AK464">
        <v>0</v>
      </c>
      <c r="AU464" s="3">
        <v>42529</v>
      </c>
      <c r="AV464" s="3">
        <v>42529</v>
      </c>
      <c r="AW464" t="s">
        <v>54</v>
      </c>
      <c r="AX464" t="str">
        <f t="shared" si="50"/>
        <v>FOR</v>
      </c>
      <c r="AY464" t="s">
        <v>55</v>
      </c>
    </row>
    <row r="465" spans="1:51" hidden="1">
      <c r="A465">
        <v>100309</v>
      </c>
      <c r="B465" t="s">
        <v>98</v>
      </c>
      <c r="C465" t="str">
        <f t="shared" ref="C465:D475" si="51">"00311430375"</f>
        <v>00311430375</v>
      </c>
      <c r="D465" t="str">
        <f t="shared" si="51"/>
        <v>00311430375</v>
      </c>
      <c r="E465" t="s">
        <v>52</v>
      </c>
      <c r="F465">
        <v>2015</v>
      </c>
      <c r="G465" t="str">
        <f>"            15360018"</f>
        <v xml:space="preserve">            15360018</v>
      </c>
      <c r="H465" s="3">
        <v>42121</v>
      </c>
      <c r="I465" s="3">
        <v>42132</v>
      </c>
      <c r="J465" s="3">
        <v>42131</v>
      </c>
      <c r="K465" s="3">
        <v>42191</v>
      </c>
      <c r="L465"/>
      <c r="N465"/>
      <c r="O465" s="4">
        <v>13405.5</v>
      </c>
      <c r="P465">
        <v>210</v>
      </c>
      <c r="Q465" s="4">
        <v>2815155</v>
      </c>
      <c r="R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 s="3">
        <v>42562</v>
      </c>
      <c r="AC465" t="s">
        <v>53</v>
      </c>
      <c r="AD465" t="s">
        <v>53</v>
      </c>
      <c r="AK465">
        <v>0</v>
      </c>
      <c r="AU465" s="3">
        <v>42401</v>
      </c>
      <c r="AV465" s="3">
        <v>42401</v>
      </c>
      <c r="AW465" t="s">
        <v>54</v>
      </c>
      <c r="AX465" t="str">
        <f t="shared" si="50"/>
        <v>FOR</v>
      </c>
      <c r="AY465" t="s">
        <v>55</v>
      </c>
    </row>
    <row r="466" spans="1:51" hidden="1">
      <c r="A466">
        <v>100309</v>
      </c>
      <c r="B466" t="s">
        <v>98</v>
      </c>
      <c r="C466" t="str">
        <f t="shared" si="51"/>
        <v>00311430375</v>
      </c>
      <c r="D466" t="str">
        <f t="shared" si="51"/>
        <v>00311430375</v>
      </c>
      <c r="E466" t="s">
        <v>52</v>
      </c>
      <c r="F466">
        <v>2015</v>
      </c>
      <c r="G466" t="str">
        <f>"            15360030"</f>
        <v xml:space="preserve">            15360030</v>
      </c>
      <c r="H466" s="3">
        <v>42122</v>
      </c>
      <c r="I466" s="3">
        <v>42165</v>
      </c>
      <c r="J466" s="3">
        <v>42142</v>
      </c>
      <c r="K466" s="3">
        <v>42202</v>
      </c>
      <c r="L466"/>
      <c r="N466"/>
      <c r="O466" s="4">
        <v>18066.5</v>
      </c>
      <c r="P466">
        <v>199</v>
      </c>
      <c r="Q466" s="4">
        <v>3595233.5</v>
      </c>
      <c r="R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 s="3">
        <v>42562</v>
      </c>
      <c r="AC466" t="s">
        <v>53</v>
      </c>
      <c r="AD466" t="s">
        <v>53</v>
      </c>
      <c r="AK466">
        <v>0</v>
      </c>
      <c r="AU466" s="3">
        <v>42401</v>
      </c>
      <c r="AV466" s="3">
        <v>42401</v>
      </c>
      <c r="AW466" t="s">
        <v>54</v>
      </c>
      <c r="AX466" t="str">
        <f t="shared" si="50"/>
        <v>FOR</v>
      </c>
      <c r="AY466" t="s">
        <v>55</v>
      </c>
    </row>
    <row r="467" spans="1:51" hidden="1">
      <c r="A467">
        <v>100309</v>
      </c>
      <c r="B467" t="s">
        <v>98</v>
      </c>
      <c r="C467" t="str">
        <f t="shared" si="51"/>
        <v>00311430375</v>
      </c>
      <c r="D467" t="str">
        <f t="shared" si="51"/>
        <v>00311430375</v>
      </c>
      <c r="E467" t="s">
        <v>52</v>
      </c>
      <c r="F467">
        <v>2015</v>
      </c>
      <c r="G467" t="str">
        <f>"            15360040"</f>
        <v xml:space="preserve">            15360040</v>
      </c>
      <c r="H467" s="3">
        <v>42124</v>
      </c>
      <c r="I467" s="3">
        <v>42142</v>
      </c>
      <c r="J467" s="3">
        <v>42137</v>
      </c>
      <c r="K467" s="3">
        <v>42197</v>
      </c>
      <c r="L467"/>
      <c r="N467"/>
      <c r="O467" s="4">
        <v>28247</v>
      </c>
      <c r="P467">
        <v>204</v>
      </c>
      <c r="Q467" s="4">
        <v>5762388</v>
      </c>
      <c r="R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 s="3">
        <v>42562</v>
      </c>
      <c r="AC467" t="s">
        <v>53</v>
      </c>
      <c r="AD467" t="s">
        <v>53</v>
      </c>
      <c r="AK467">
        <v>0</v>
      </c>
      <c r="AU467" s="3">
        <v>42401</v>
      </c>
      <c r="AV467" s="3">
        <v>42401</v>
      </c>
      <c r="AW467" t="s">
        <v>54</v>
      </c>
      <c r="AX467" t="str">
        <f t="shared" si="50"/>
        <v>FOR</v>
      </c>
      <c r="AY467" t="s">
        <v>55</v>
      </c>
    </row>
    <row r="468" spans="1:51" hidden="1">
      <c r="A468">
        <v>100309</v>
      </c>
      <c r="B468" t="s">
        <v>98</v>
      </c>
      <c r="C468" t="str">
        <f t="shared" si="51"/>
        <v>00311430375</v>
      </c>
      <c r="D468" t="str">
        <f t="shared" si="51"/>
        <v>00311430375</v>
      </c>
      <c r="E468" t="s">
        <v>52</v>
      </c>
      <c r="F468">
        <v>2015</v>
      </c>
      <c r="G468" t="str">
        <f>"            15360051"</f>
        <v xml:space="preserve">            15360051</v>
      </c>
      <c r="H468" s="3">
        <v>42142</v>
      </c>
      <c r="I468" s="3">
        <v>42165</v>
      </c>
      <c r="J468" s="3">
        <v>42143</v>
      </c>
      <c r="K468" s="3">
        <v>42203</v>
      </c>
      <c r="L468"/>
      <c r="N468"/>
      <c r="O468" s="4">
        <v>38233</v>
      </c>
      <c r="P468">
        <v>230</v>
      </c>
      <c r="Q468" s="4">
        <v>8793590</v>
      </c>
      <c r="R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 s="3">
        <v>42562</v>
      </c>
      <c r="AC468" t="s">
        <v>53</v>
      </c>
      <c r="AD468" t="s">
        <v>53</v>
      </c>
      <c r="AK468">
        <v>0</v>
      </c>
      <c r="AU468" s="3">
        <v>42433</v>
      </c>
      <c r="AV468" s="3">
        <v>42433</v>
      </c>
      <c r="AW468" t="s">
        <v>54</v>
      </c>
      <c r="AX468" t="str">
        <f t="shared" si="50"/>
        <v>FOR</v>
      </c>
      <c r="AY468" t="s">
        <v>55</v>
      </c>
    </row>
    <row r="469" spans="1:51" hidden="1">
      <c r="A469">
        <v>100309</v>
      </c>
      <c r="B469" t="s">
        <v>98</v>
      </c>
      <c r="C469" t="str">
        <f t="shared" si="51"/>
        <v>00311430375</v>
      </c>
      <c r="D469" t="str">
        <f t="shared" si="51"/>
        <v>00311430375</v>
      </c>
      <c r="E469" t="s">
        <v>52</v>
      </c>
      <c r="F469">
        <v>2015</v>
      </c>
      <c r="G469" t="str">
        <f>"            15360074"</f>
        <v xml:space="preserve">            15360074</v>
      </c>
      <c r="H469" s="3">
        <v>42143</v>
      </c>
      <c r="I469" s="3">
        <v>42165</v>
      </c>
      <c r="J469" s="3">
        <v>42144</v>
      </c>
      <c r="K469" s="3">
        <v>42204</v>
      </c>
      <c r="L469"/>
      <c r="N469"/>
      <c r="O469" s="4">
        <v>2400</v>
      </c>
      <c r="P469">
        <v>229</v>
      </c>
      <c r="Q469" s="4">
        <v>549600</v>
      </c>
      <c r="R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 s="3">
        <v>42562</v>
      </c>
      <c r="AC469" t="s">
        <v>53</v>
      </c>
      <c r="AD469" t="s">
        <v>53</v>
      </c>
      <c r="AK469">
        <v>0</v>
      </c>
      <c r="AU469" s="3">
        <v>42433</v>
      </c>
      <c r="AV469" s="3">
        <v>42433</v>
      </c>
      <c r="AW469" t="s">
        <v>54</v>
      </c>
      <c r="AX469" t="str">
        <f t="shared" si="50"/>
        <v>FOR</v>
      </c>
      <c r="AY469" t="s">
        <v>55</v>
      </c>
    </row>
    <row r="470" spans="1:51">
      <c r="A470">
        <v>100309</v>
      </c>
      <c r="B470" t="s">
        <v>98</v>
      </c>
      <c r="C470" t="str">
        <f t="shared" si="51"/>
        <v>00311430375</v>
      </c>
      <c r="D470" t="str">
        <f t="shared" si="51"/>
        <v>00311430375</v>
      </c>
      <c r="E470" t="s">
        <v>52</v>
      </c>
      <c r="F470">
        <v>2015</v>
      </c>
      <c r="G470" t="str">
        <f>"            15360259"</f>
        <v xml:space="preserve">            15360259</v>
      </c>
      <c r="H470" s="3">
        <v>42247</v>
      </c>
      <c r="I470" s="3">
        <v>42261</v>
      </c>
      <c r="J470" s="3">
        <v>42257</v>
      </c>
      <c r="K470" s="3">
        <v>42317</v>
      </c>
      <c r="L470" s="5">
        <v>1200</v>
      </c>
      <c r="M470">
        <v>170</v>
      </c>
      <c r="N470" s="5">
        <v>204000</v>
      </c>
      <c r="O470" s="4">
        <v>1200</v>
      </c>
      <c r="P470">
        <v>170</v>
      </c>
      <c r="Q470" s="4">
        <v>204000</v>
      </c>
      <c r="R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 s="3">
        <v>42562</v>
      </c>
      <c r="AC470" t="s">
        <v>53</v>
      </c>
      <c r="AD470" t="s">
        <v>53</v>
      </c>
      <c r="AK470">
        <v>0</v>
      </c>
      <c r="AU470" s="3">
        <v>42487</v>
      </c>
      <c r="AV470" s="3">
        <v>42487</v>
      </c>
      <c r="AW470" t="s">
        <v>54</v>
      </c>
      <c r="AX470" t="str">
        <f t="shared" si="50"/>
        <v>FOR</v>
      </c>
      <c r="AY470" t="s">
        <v>55</v>
      </c>
    </row>
    <row r="471" spans="1:51">
      <c r="A471">
        <v>100309</v>
      </c>
      <c r="B471" t="s">
        <v>98</v>
      </c>
      <c r="C471" t="str">
        <f t="shared" si="51"/>
        <v>00311430375</v>
      </c>
      <c r="D471" t="str">
        <f t="shared" si="51"/>
        <v>00311430375</v>
      </c>
      <c r="E471" t="s">
        <v>52</v>
      </c>
      <c r="F471">
        <v>2015</v>
      </c>
      <c r="G471" t="str">
        <f>"            15360262"</f>
        <v xml:space="preserve">            15360262</v>
      </c>
      <c r="H471" s="3">
        <v>42247</v>
      </c>
      <c r="I471" s="3">
        <v>42261</v>
      </c>
      <c r="J471" s="3">
        <v>42258</v>
      </c>
      <c r="K471" s="3">
        <v>42318</v>
      </c>
      <c r="L471" s="5">
        <v>1800</v>
      </c>
      <c r="M471">
        <v>169</v>
      </c>
      <c r="N471" s="5">
        <v>304200</v>
      </c>
      <c r="O471" s="4">
        <v>1800</v>
      </c>
      <c r="P471">
        <v>169</v>
      </c>
      <c r="Q471" s="4">
        <v>304200</v>
      </c>
      <c r="R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 s="3">
        <v>42562</v>
      </c>
      <c r="AC471" t="s">
        <v>53</v>
      </c>
      <c r="AD471" t="s">
        <v>53</v>
      </c>
      <c r="AK471">
        <v>0</v>
      </c>
      <c r="AU471" s="3">
        <v>42487</v>
      </c>
      <c r="AV471" s="3">
        <v>42487</v>
      </c>
      <c r="AW471" t="s">
        <v>54</v>
      </c>
      <c r="AX471" t="str">
        <f t="shared" si="50"/>
        <v>FOR</v>
      </c>
      <c r="AY471" t="s">
        <v>55</v>
      </c>
    </row>
    <row r="472" spans="1:51">
      <c r="A472">
        <v>100309</v>
      </c>
      <c r="B472" t="s">
        <v>98</v>
      </c>
      <c r="C472" t="str">
        <f t="shared" si="51"/>
        <v>00311430375</v>
      </c>
      <c r="D472" t="str">
        <f t="shared" si="51"/>
        <v>00311430375</v>
      </c>
      <c r="E472" t="s">
        <v>52</v>
      </c>
      <c r="F472">
        <v>2015</v>
      </c>
      <c r="G472" t="str">
        <f>"            15360263"</f>
        <v xml:space="preserve">            15360263</v>
      </c>
      <c r="H472" s="3">
        <v>42247</v>
      </c>
      <c r="I472" s="3">
        <v>42261</v>
      </c>
      <c r="J472" s="3">
        <v>42258</v>
      </c>
      <c r="K472" s="3">
        <v>42318</v>
      </c>
      <c r="L472" s="1">
        <v>600</v>
      </c>
      <c r="M472">
        <v>169</v>
      </c>
      <c r="N472" s="5">
        <v>101400</v>
      </c>
      <c r="O472">
        <v>600</v>
      </c>
      <c r="P472">
        <v>169</v>
      </c>
      <c r="Q472" s="4">
        <v>101400</v>
      </c>
      <c r="R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 s="3">
        <v>42562</v>
      </c>
      <c r="AC472" t="s">
        <v>53</v>
      </c>
      <c r="AD472" t="s">
        <v>53</v>
      </c>
      <c r="AK472">
        <v>0</v>
      </c>
      <c r="AU472" s="3">
        <v>42487</v>
      </c>
      <c r="AV472" s="3">
        <v>42487</v>
      </c>
      <c r="AW472" t="s">
        <v>54</v>
      </c>
      <c r="AX472" t="str">
        <f t="shared" si="50"/>
        <v>FOR</v>
      </c>
      <c r="AY472" t="s">
        <v>55</v>
      </c>
    </row>
    <row r="473" spans="1:51">
      <c r="A473">
        <v>100309</v>
      </c>
      <c r="B473" t="s">
        <v>98</v>
      </c>
      <c r="C473" t="str">
        <f t="shared" si="51"/>
        <v>00311430375</v>
      </c>
      <c r="D473" t="str">
        <f t="shared" si="51"/>
        <v>00311430375</v>
      </c>
      <c r="E473" t="s">
        <v>52</v>
      </c>
      <c r="F473">
        <v>2015</v>
      </c>
      <c r="G473" t="str">
        <f>"            15360289"</f>
        <v xml:space="preserve">            15360289</v>
      </c>
      <c r="H473" s="3">
        <v>42247</v>
      </c>
      <c r="I473" s="3">
        <v>42261</v>
      </c>
      <c r="J473" s="3">
        <v>42258</v>
      </c>
      <c r="K473" s="3">
        <v>42318</v>
      </c>
      <c r="L473" s="5">
        <v>1200</v>
      </c>
      <c r="M473">
        <v>169</v>
      </c>
      <c r="N473" s="5">
        <v>202800</v>
      </c>
      <c r="O473" s="4">
        <v>1200</v>
      </c>
      <c r="P473">
        <v>169</v>
      </c>
      <c r="Q473" s="4">
        <v>202800</v>
      </c>
      <c r="R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 s="3">
        <v>42562</v>
      </c>
      <c r="AC473" t="s">
        <v>53</v>
      </c>
      <c r="AD473" t="s">
        <v>53</v>
      </c>
      <c r="AK473">
        <v>0</v>
      </c>
      <c r="AU473" s="3">
        <v>42487</v>
      </c>
      <c r="AV473" s="3">
        <v>42487</v>
      </c>
      <c r="AW473" t="s">
        <v>54</v>
      </c>
      <c r="AX473" t="str">
        <f t="shared" si="50"/>
        <v>FOR</v>
      </c>
      <c r="AY473" t="s">
        <v>55</v>
      </c>
    </row>
    <row r="474" spans="1:51">
      <c r="A474">
        <v>100309</v>
      </c>
      <c r="B474" t="s">
        <v>98</v>
      </c>
      <c r="C474" t="str">
        <f t="shared" si="51"/>
        <v>00311430375</v>
      </c>
      <c r="D474" t="str">
        <f t="shared" si="51"/>
        <v>00311430375</v>
      </c>
      <c r="E474" t="s">
        <v>52</v>
      </c>
      <c r="F474">
        <v>2015</v>
      </c>
      <c r="G474" t="str">
        <f>"            15360395"</f>
        <v xml:space="preserve">            15360395</v>
      </c>
      <c r="H474" s="3">
        <v>42305</v>
      </c>
      <c r="I474" s="3">
        <v>42321</v>
      </c>
      <c r="J474" s="3">
        <v>42320</v>
      </c>
      <c r="K474" s="3">
        <v>42380</v>
      </c>
      <c r="L474" s="5">
        <v>3000</v>
      </c>
      <c r="M474">
        <v>107</v>
      </c>
      <c r="N474" s="5">
        <v>321000</v>
      </c>
      <c r="O474" s="4">
        <v>3000</v>
      </c>
      <c r="P474">
        <v>107</v>
      </c>
      <c r="Q474" s="4">
        <v>321000</v>
      </c>
      <c r="R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 s="3">
        <v>42562</v>
      </c>
      <c r="AC474" t="s">
        <v>53</v>
      </c>
      <c r="AD474" t="s">
        <v>53</v>
      </c>
      <c r="AK474">
        <v>0</v>
      </c>
      <c r="AU474" s="3">
        <v>42487</v>
      </c>
      <c r="AV474" s="3">
        <v>42487</v>
      </c>
      <c r="AW474" t="s">
        <v>54</v>
      </c>
      <c r="AX474" t="str">
        <f t="shared" si="50"/>
        <v>FOR</v>
      </c>
      <c r="AY474" t="s">
        <v>55</v>
      </c>
    </row>
    <row r="475" spans="1:51">
      <c r="A475">
        <v>100309</v>
      </c>
      <c r="B475" t="s">
        <v>98</v>
      </c>
      <c r="C475" t="str">
        <f t="shared" si="51"/>
        <v>00311430375</v>
      </c>
      <c r="D475" t="str">
        <f t="shared" si="51"/>
        <v>00311430375</v>
      </c>
      <c r="E475" t="s">
        <v>52</v>
      </c>
      <c r="F475">
        <v>2015</v>
      </c>
      <c r="G475" t="str">
        <f>"            15360396"</f>
        <v xml:space="preserve">            15360396</v>
      </c>
      <c r="H475" s="3">
        <v>42305</v>
      </c>
      <c r="I475" s="3">
        <v>42313</v>
      </c>
      <c r="J475" s="3">
        <v>42311</v>
      </c>
      <c r="K475" s="3">
        <v>42371</v>
      </c>
      <c r="L475" s="1">
        <v>280</v>
      </c>
      <c r="M475">
        <v>116</v>
      </c>
      <c r="N475" s="5">
        <v>32480</v>
      </c>
      <c r="O475">
        <v>280</v>
      </c>
      <c r="P475">
        <v>116</v>
      </c>
      <c r="Q475" s="4">
        <v>32480</v>
      </c>
      <c r="R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 s="3">
        <v>42562</v>
      </c>
      <c r="AC475" t="s">
        <v>53</v>
      </c>
      <c r="AD475" t="s">
        <v>53</v>
      </c>
      <c r="AK475">
        <v>0</v>
      </c>
      <c r="AU475" s="3">
        <v>42487</v>
      </c>
      <c r="AV475" s="3">
        <v>42487</v>
      </c>
      <c r="AW475" t="s">
        <v>54</v>
      </c>
      <c r="AX475" t="str">
        <f t="shared" si="50"/>
        <v>FOR</v>
      </c>
      <c r="AY475" t="s">
        <v>55</v>
      </c>
    </row>
    <row r="476" spans="1:51">
      <c r="A476">
        <v>100320</v>
      </c>
      <c r="B476" t="s">
        <v>99</v>
      </c>
      <c r="C476" t="str">
        <f>"00426150488"</f>
        <v>00426150488</v>
      </c>
      <c r="D476" t="str">
        <f>"00426150488"</f>
        <v>00426150488</v>
      </c>
      <c r="E476" t="s">
        <v>52</v>
      </c>
      <c r="F476">
        <v>2015</v>
      </c>
      <c r="G476" t="str">
        <f>"          0000144898"</f>
        <v xml:space="preserve">          0000144898</v>
      </c>
      <c r="H476" s="3">
        <v>42355</v>
      </c>
      <c r="I476" s="3">
        <v>42366</v>
      </c>
      <c r="J476" s="3">
        <v>42362</v>
      </c>
      <c r="K476" s="3">
        <v>42422</v>
      </c>
      <c r="L476" s="5">
        <v>8122.5</v>
      </c>
      <c r="M476">
        <v>107</v>
      </c>
      <c r="N476" s="5">
        <v>869107.5</v>
      </c>
      <c r="O476" s="4">
        <v>8122.5</v>
      </c>
      <c r="P476">
        <v>107</v>
      </c>
      <c r="Q476" s="4">
        <v>869107.5</v>
      </c>
      <c r="R476">
        <v>812.25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 s="3">
        <v>42562</v>
      </c>
      <c r="AC476" t="s">
        <v>53</v>
      </c>
      <c r="AD476" t="s">
        <v>53</v>
      </c>
      <c r="AI476">
        <v>812.25</v>
      </c>
      <c r="AK476">
        <v>0</v>
      </c>
      <c r="AU476" s="3">
        <v>42529</v>
      </c>
      <c r="AV476" s="3">
        <v>42529</v>
      </c>
      <c r="AW476" t="s">
        <v>54</v>
      </c>
      <c r="AX476" t="str">
        <f t="shared" si="50"/>
        <v>FOR</v>
      </c>
      <c r="AY476" t="s">
        <v>55</v>
      </c>
    </row>
    <row r="477" spans="1:51">
      <c r="A477">
        <v>100320</v>
      </c>
      <c r="B477" t="s">
        <v>99</v>
      </c>
      <c r="C477" t="str">
        <f>"00426150488"</f>
        <v>00426150488</v>
      </c>
      <c r="D477" t="str">
        <f>"00426150488"</f>
        <v>00426150488</v>
      </c>
      <c r="E477" t="s">
        <v>52</v>
      </c>
      <c r="F477">
        <v>2016</v>
      </c>
      <c r="G477" t="str">
        <f>"          0000101750"</f>
        <v xml:space="preserve">          0000101750</v>
      </c>
      <c r="H477" s="3">
        <v>42387</v>
      </c>
      <c r="I477" s="3">
        <v>42389</v>
      </c>
      <c r="J477" s="3">
        <v>42388</v>
      </c>
      <c r="K477" s="3">
        <v>42448</v>
      </c>
      <c r="L477" s="5">
        <v>5415</v>
      </c>
      <c r="M477">
        <v>81</v>
      </c>
      <c r="N477" s="5">
        <v>438615</v>
      </c>
      <c r="O477" s="4">
        <v>5415</v>
      </c>
      <c r="P477">
        <v>81</v>
      </c>
      <c r="Q477" s="4">
        <v>438615</v>
      </c>
      <c r="R477">
        <v>541.5</v>
      </c>
      <c r="V477">
        <v>0</v>
      </c>
      <c r="W477">
        <v>0</v>
      </c>
      <c r="X477">
        <v>0</v>
      </c>
      <c r="Y477" s="4">
        <v>5956.5</v>
      </c>
      <c r="Z477" s="4">
        <v>5956.5</v>
      </c>
      <c r="AA477" s="4">
        <v>5956.5</v>
      </c>
      <c r="AB477" s="3">
        <v>42562</v>
      </c>
      <c r="AC477" t="s">
        <v>53</v>
      </c>
      <c r="AD477" t="s">
        <v>53</v>
      </c>
      <c r="AH477">
        <v>541.5</v>
      </c>
      <c r="AK477">
        <v>0</v>
      </c>
      <c r="AU477" s="3">
        <v>42529</v>
      </c>
      <c r="AV477" s="3">
        <v>42529</v>
      </c>
      <c r="AW477" t="s">
        <v>54</v>
      </c>
      <c r="AX477" t="str">
        <f t="shared" si="50"/>
        <v>FOR</v>
      </c>
      <c r="AY477" t="s">
        <v>55</v>
      </c>
    </row>
    <row r="478" spans="1:51" hidden="1">
      <c r="A478">
        <v>100325</v>
      </c>
      <c r="B478" t="s">
        <v>100</v>
      </c>
      <c r="C478" t="str">
        <f t="shared" ref="C478:D481" si="52">"00182080622"</f>
        <v>00182080622</v>
      </c>
      <c r="D478" t="str">
        <f t="shared" si="52"/>
        <v>00182080622</v>
      </c>
      <c r="E478" t="s">
        <v>52</v>
      </c>
      <c r="F478">
        <v>2015</v>
      </c>
      <c r="G478" t="str">
        <f>"               17/01"</f>
        <v xml:space="preserve">               17/01</v>
      </c>
      <c r="H478" s="3">
        <v>42216</v>
      </c>
      <c r="I478" s="3">
        <v>42227</v>
      </c>
      <c r="J478" s="3">
        <v>42216</v>
      </c>
      <c r="K478" s="3">
        <v>42276</v>
      </c>
      <c r="L478"/>
      <c r="N478"/>
      <c r="O478" s="4">
        <v>1440</v>
      </c>
      <c r="P478">
        <v>128</v>
      </c>
      <c r="Q478" s="4">
        <v>184320</v>
      </c>
      <c r="R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 s="3">
        <v>42562</v>
      </c>
      <c r="AC478" t="s">
        <v>53</v>
      </c>
      <c r="AD478" t="s">
        <v>53</v>
      </c>
      <c r="AK478">
        <v>0</v>
      </c>
      <c r="AU478" s="3">
        <v>42404</v>
      </c>
      <c r="AV478" s="3">
        <v>42404</v>
      </c>
      <c r="AW478" t="s">
        <v>54</v>
      </c>
      <c r="AX478" t="str">
        <f t="shared" si="50"/>
        <v>FOR</v>
      </c>
      <c r="AY478" t="s">
        <v>55</v>
      </c>
    </row>
    <row r="479" spans="1:51" hidden="1">
      <c r="A479">
        <v>100325</v>
      </c>
      <c r="B479" t="s">
        <v>100</v>
      </c>
      <c r="C479" t="str">
        <f t="shared" si="52"/>
        <v>00182080622</v>
      </c>
      <c r="D479" t="str">
        <f t="shared" si="52"/>
        <v>00182080622</v>
      </c>
      <c r="E479" t="s">
        <v>52</v>
      </c>
      <c r="F479">
        <v>2015</v>
      </c>
      <c r="G479" t="str">
        <f>"               21/01"</f>
        <v xml:space="preserve">               21/01</v>
      </c>
      <c r="H479" s="3">
        <v>42257</v>
      </c>
      <c r="I479" s="3">
        <v>42257</v>
      </c>
      <c r="J479" s="3">
        <v>42257</v>
      </c>
      <c r="K479" s="3">
        <v>42317</v>
      </c>
      <c r="L479"/>
      <c r="N479"/>
      <c r="O479" s="4">
        <v>1030.1400000000001</v>
      </c>
      <c r="P479">
        <v>99</v>
      </c>
      <c r="Q479" s="4">
        <v>101983.86</v>
      </c>
      <c r="R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 s="3">
        <v>42562</v>
      </c>
      <c r="AC479" t="s">
        <v>53</v>
      </c>
      <c r="AD479" t="s">
        <v>53</v>
      </c>
      <c r="AK479">
        <v>0</v>
      </c>
      <c r="AU479" s="3">
        <v>42416</v>
      </c>
      <c r="AV479" s="3">
        <v>42416</v>
      </c>
      <c r="AW479" t="s">
        <v>54</v>
      </c>
      <c r="AX479" t="str">
        <f t="shared" si="50"/>
        <v>FOR</v>
      </c>
      <c r="AY479" t="s">
        <v>55</v>
      </c>
    </row>
    <row r="480" spans="1:51">
      <c r="A480">
        <v>100325</v>
      </c>
      <c r="B480" t="s">
        <v>100</v>
      </c>
      <c r="C480" t="str">
        <f t="shared" si="52"/>
        <v>00182080622</v>
      </c>
      <c r="D480" t="str">
        <f t="shared" si="52"/>
        <v>00182080622</v>
      </c>
      <c r="E480" t="s">
        <v>52</v>
      </c>
      <c r="F480">
        <v>2015</v>
      </c>
      <c r="G480" t="str">
        <f>"               30/01"</f>
        <v xml:space="preserve">               30/01</v>
      </c>
      <c r="H480" s="3">
        <v>42321</v>
      </c>
      <c r="I480" s="3">
        <v>42325</v>
      </c>
      <c r="J480" s="3">
        <v>42321</v>
      </c>
      <c r="K480" s="3">
        <v>42381</v>
      </c>
      <c r="L480" s="1">
        <v>580</v>
      </c>
      <c r="M480">
        <v>106</v>
      </c>
      <c r="N480" s="5">
        <v>61480</v>
      </c>
      <c r="O480">
        <v>580</v>
      </c>
      <c r="P480">
        <v>106</v>
      </c>
      <c r="Q480" s="4">
        <v>61480</v>
      </c>
      <c r="R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 s="3">
        <v>42562</v>
      </c>
      <c r="AC480" t="s">
        <v>53</v>
      </c>
      <c r="AD480" t="s">
        <v>53</v>
      </c>
      <c r="AK480">
        <v>0</v>
      </c>
      <c r="AU480" s="3">
        <v>42487</v>
      </c>
      <c r="AV480" s="3">
        <v>42487</v>
      </c>
      <c r="AW480" t="s">
        <v>54</v>
      </c>
      <c r="AX480" t="str">
        <f t="shared" si="50"/>
        <v>FOR</v>
      </c>
      <c r="AY480" t="s">
        <v>55</v>
      </c>
    </row>
    <row r="481" spans="1:51">
      <c r="A481">
        <v>100325</v>
      </c>
      <c r="B481" t="s">
        <v>100</v>
      </c>
      <c r="C481" t="str">
        <f t="shared" si="52"/>
        <v>00182080622</v>
      </c>
      <c r="D481" t="str">
        <f t="shared" si="52"/>
        <v>00182080622</v>
      </c>
      <c r="E481" t="s">
        <v>52</v>
      </c>
      <c r="F481">
        <v>2015</v>
      </c>
      <c r="G481" t="str">
        <f>"               34/01"</f>
        <v xml:space="preserve">               34/01</v>
      </c>
      <c r="H481" s="3">
        <v>42368</v>
      </c>
      <c r="I481" s="3">
        <v>42368</v>
      </c>
      <c r="J481" s="3">
        <v>42368</v>
      </c>
      <c r="K481" s="3">
        <v>42428</v>
      </c>
      <c r="L481" s="5">
        <v>1250</v>
      </c>
      <c r="M481">
        <v>59</v>
      </c>
      <c r="N481" s="5">
        <v>73750</v>
      </c>
      <c r="O481" s="4">
        <v>1250</v>
      </c>
      <c r="P481">
        <v>59</v>
      </c>
      <c r="Q481" s="4">
        <v>73750</v>
      </c>
      <c r="R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 s="3">
        <v>42562</v>
      </c>
      <c r="AC481" t="s">
        <v>53</v>
      </c>
      <c r="AD481" t="s">
        <v>53</v>
      </c>
      <c r="AK481">
        <v>0</v>
      </c>
      <c r="AU481" s="3">
        <v>42487</v>
      </c>
      <c r="AV481" s="3">
        <v>42487</v>
      </c>
      <c r="AW481" t="s">
        <v>54</v>
      </c>
      <c r="AX481" t="str">
        <f t="shared" si="50"/>
        <v>FOR</v>
      </c>
      <c r="AY481" t="s">
        <v>55</v>
      </c>
    </row>
    <row r="482" spans="1:51" hidden="1">
      <c r="A482">
        <v>100338</v>
      </c>
      <c r="B482" t="s">
        <v>101</v>
      </c>
      <c r="C482" t="str">
        <f t="shared" ref="C482:D488" si="53">"02154270595"</f>
        <v>02154270595</v>
      </c>
      <c r="D482" t="str">
        <f t="shared" si="53"/>
        <v>02154270595</v>
      </c>
      <c r="E482" t="s">
        <v>52</v>
      </c>
      <c r="F482">
        <v>2007</v>
      </c>
      <c r="G482" t="str">
        <f>"                 332"</f>
        <v xml:space="preserve">                 332</v>
      </c>
      <c r="H482" s="3">
        <v>39182</v>
      </c>
      <c r="I482" s="3">
        <v>40714</v>
      </c>
      <c r="J482" s="3">
        <v>40714</v>
      </c>
      <c r="K482" s="3">
        <v>40804</v>
      </c>
      <c r="L482"/>
      <c r="N482"/>
      <c r="O482">
        <v>352.43</v>
      </c>
      <c r="P482">
        <v>1628</v>
      </c>
      <c r="Q482" s="4">
        <v>573756.04</v>
      </c>
      <c r="R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 s="3">
        <v>42562</v>
      </c>
      <c r="AC482" t="s">
        <v>53</v>
      </c>
      <c r="AD482" t="s">
        <v>53</v>
      </c>
      <c r="AK482">
        <v>0</v>
      </c>
      <c r="AU482" s="3">
        <v>42432</v>
      </c>
      <c r="AV482" s="3">
        <v>42432</v>
      </c>
      <c r="AW482" t="s">
        <v>54</v>
      </c>
      <c r="AX482" t="str">
        <f t="shared" si="50"/>
        <v>FOR</v>
      </c>
      <c r="AY482" t="s">
        <v>55</v>
      </c>
    </row>
    <row r="483" spans="1:51" hidden="1">
      <c r="A483">
        <v>100338</v>
      </c>
      <c r="B483" t="s">
        <v>101</v>
      </c>
      <c r="C483" t="str">
        <f t="shared" si="53"/>
        <v>02154270595</v>
      </c>
      <c r="D483" t="str">
        <f t="shared" si="53"/>
        <v>02154270595</v>
      </c>
      <c r="E483" t="s">
        <v>52</v>
      </c>
      <c r="F483">
        <v>2007</v>
      </c>
      <c r="G483" t="str">
        <f>"                 439"</f>
        <v xml:space="preserve">                 439</v>
      </c>
      <c r="H483" s="3">
        <v>39270</v>
      </c>
      <c r="I483" s="3">
        <v>40714</v>
      </c>
      <c r="J483" s="3">
        <v>40714</v>
      </c>
      <c r="K483" s="3">
        <v>40804</v>
      </c>
      <c r="L483"/>
      <c r="N483"/>
      <c r="O483">
        <v>252.42</v>
      </c>
      <c r="P483">
        <v>1628</v>
      </c>
      <c r="Q483" s="4">
        <v>410939.76</v>
      </c>
      <c r="R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 s="3">
        <v>42562</v>
      </c>
      <c r="AC483" t="s">
        <v>53</v>
      </c>
      <c r="AD483" t="s">
        <v>53</v>
      </c>
      <c r="AK483">
        <v>0</v>
      </c>
      <c r="AU483" s="3">
        <v>42432</v>
      </c>
      <c r="AV483" s="3">
        <v>42432</v>
      </c>
      <c r="AW483" t="s">
        <v>54</v>
      </c>
      <c r="AX483" t="str">
        <f t="shared" si="50"/>
        <v>FOR</v>
      </c>
      <c r="AY483" t="s">
        <v>55</v>
      </c>
    </row>
    <row r="484" spans="1:51" hidden="1">
      <c r="A484">
        <v>100338</v>
      </c>
      <c r="B484" t="s">
        <v>101</v>
      </c>
      <c r="C484" t="str">
        <f t="shared" si="53"/>
        <v>02154270595</v>
      </c>
      <c r="D484" t="str">
        <f t="shared" si="53"/>
        <v>02154270595</v>
      </c>
      <c r="E484" t="s">
        <v>52</v>
      </c>
      <c r="F484">
        <v>2015</v>
      </c>
      <c r="G484" t="str">
        <f>"            21504085"</f>
        <v xml:space="preserve">            21504085</v>
      </c>
      <c r="H484" s="3">
        <v>42068</v>
      </c>
      <c r="I484" s="3">
        <v>42080</v>
      </c>
      <c r="J484" s="3">
        <v>42080</v>
      </c>
      <c r="K484" s="3">
        <v>42140</v>
      </c>
      <c r="L484"/>
      <c r="N484"/>
      <c r="O484" s="4">
        <v>2400</v>
      </c>
      <c r="P484">
        <v>275</v>
      </c>
      <c r="Q484" s="4">
        <v>660000</v>
      </c>
      <c r="R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 s="3">
        <v>42562</v>
      </c>
      <c r="AC484" t="s">
        <v>53</v>
      </c>
      <c r="AD484" t="s">
        <v>53</v>
      </c>
      <c r="AK484">
        <v>0</v>
      </c>
      <c r="AU484" s="3">
        <v>42415</v>
      </c>
      <c r="AV484" s="3">
        <v>42415</v>
      </c>
      <c r="AW484" t="s">
        <v>54</v>
      </c>
      <c r="AX484" t="str">
        <f t="shared" si="50"/>
        <v>FOR</v>
      </c>
      <c r="AY484" t="s">
        <v>55</v>
      </c>
    </row>
    <row r="485" spans="1:51" hidden="1">
      <c r="A485">
        <v>100338</v>
      </c>
      <c r="B485" t="s">
        <v>101</v>
      </c>
      <c r="C485" t="str">
        <f t="shared" si="53"/>
        <v>02154270595</v>
      </c>
      <c r="D485" t="str">
        <f t="shared" si="53"/>
        <v>02154270595</v>
      </c>
      <c r="E485" t="s">
        <v>52</v>
      </c>
      <c r="F485">
        <v>2015</v>
      </c>
      <c r="G485" t="str">
        <f>"            91500599"</f>
        <v xml:space="preserve">            91500599</v>
      </c>
      <c r="H485" s="3">
        <v>42108</v>
      </c>
      <c r="I485" s="3">
        <v>42165</v>
      </c>
      <c r="J485" s="3">
        <v>42158</v>
      </c>
      <c r="K485" s="3">
        <v>42218</v>
      </c>
      <c r="L485"/>
      <c r="N485"/>
      <c r="O485">
        <v>310</v>
      </c>
      <c r="P485">
        <v>234</v>
      </c>
      <c r="Q485" s="4">
        <v>72540</v>
      </c>
      <c r="R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 s="3">
        <v>42562</v>
      </c>
      <c r="AC485" t="s">
        <v>53</v>
      </c>
      <c r="AD485" t="s">
        <v>53</v>
      </c>
      <c r="AK485">
        <v>0</v>
      </c>
      <c r="AU485" s="3">
        <v>42452</v>
      </c>
      <c r="AV485" s="3">
        <v>42452</v>
      </c>
      <c r="AW485" t="s">
        <v>54</v>
      </c>
      <c r="AX485" t="str">
        <f t="shared" si="50"/>
        <v>FOR</v>
      </c>
      <c r="AY485" t="s">
        <v>55</v>
      </c>
    </row>
    <row r="486" spans="1:51" hidden="1">
      <c r="A486">
        <v>100338</v>
      </c>
      <c r="B486" t="s">
        <v>101</v>
      </c>
      <c r="C486" t="str">
        <f t="shared" si="53"/>
        <v>02154270595</v>
      </c>
      <c r="D486" t="str">
        <f t="shared" si="53"/>
        <v>02154270595</v>
      </c>
      <c r="E486" t="s">
        <v>52</v>
      </c>
      <c r="F486">
        <v>2015</v>
      </c>
      <c r="G486" t="str">
        <f>"            91500891"</f>
        <v xml:space="preserve">            91500891</v>
      </c>
      <c r="H486" s="3">
        <v>42115</v>
      </c>
      <c r="I486" s="3">
        <v>42163</v>
      </c>
      <c r="J486" s="3">
        <v>42158</v>
      </c>
      <c r="K486" s="3">
        <v>42218</v>
      </c>
      <c r="L486"/>
      <c r="N486"/>
      <c r="O486" s="4">
        <v>1800</v>
      </c>
      <c r="P486">
        <v>234</v>
      </c>
      <c r="Q486" s="4">
        <v>421200</v>
      </c>
      <c r="R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 s="3">
        <v>42562</v>
      </c>
      <c r="AC486" t="s">
        <v>53</v>
      </c>
      <c r="AD486" t="s">
        <v>53</v>
      </c>
      <c r="AK486">
        <v>0</v>
      </c>
      <c r="AU486" s="3">
        <v>42452</v>
      </c>
      <c r="AV486" s="3">
        <v>42452</v>
      </c>
      <c r="AW486" t="s">
        <v>54</v>
      </c>
      <c r="AX486" t="str">
        <f t="shared" si="50"/>
        <v>FOR</v>
      </c>
      <c r="AY486" t="s">
        <v>55</v>
      </c>
    </row>
    <row r="487" spans="1:51">
      <c r="A487">
        <v>100338</v>
      </c>
      <c r="B487" t="s">
        <v>101</v>
      </c>
      <c r="C487" t="str">
        <f t="shared" si="53"/>
        <v>02154270595</v>
      </c>
      <c r="D487" t="str">
        <f t="shared" si="53"/>
        <v>02154270595</v>
      </c>
      <c r="E487" t="s">
        <v>52</v>
      </c>
      <c r="F487">
        <v>2015</v>
      </c>
      <c r="G487" t="str">
        <f>"            91502895"</f>
        <v xml:space="preserve">            91502895</v>
      </c>
      <c r="H487" s="3">
        <v>42165</v>
      </c>
      <c r="I487" s="3">
        <v>42171</v>
      </c>
      <c r="J487" s="3">
        <v>42170</v>
      </c>
      <c r="K487" s="3">
        <v>42230</v>
      </c>
      <c r="L487" s="5">
        <v>3000</v>
      </c>
      <c r="M487">
        <v>290</v>
      </c>
      <c r="N487" s="5">
        <v>870000</v>
      </c>
      <c r="O487" s="4">
        <v>3000</v>
      </c>
      <c r="P487">
        <v>290</v>
      </c>
      <c r="Q487" s="4">
        <v>870000</v>
      </c>
      <c r="R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 s="3">
        <v>42562</v>
      </c>
      <c r="AC487" t="s">
        <v>53</v>
      </c>
      <c r="AD487" t="s">
        <v>53</v>
      </c>
      <c r="AK487">
        <v>0</v>
      </c>
      <c r="AU487" s="3">
        <v>42520</v>
      </c>
      <c r="AV487" s="3">
        <v>42520</v>
      </c>
      <c r="AW487" t="s">
        <v>54</v>
      </c>
      <c r="AX487" t="str">
        <f t="shared" si="50"/>
        <v>FOR</v>
      </c>
      <c r="AY487" t="s">
        <v>55</v>
      </c>
    </row>
    <row r="488" spans="1:51">
      <c r="A488">
        <v>100338</v>
      </c>
      <c r="B488" t="s">
        <v>101</v>
      </c>
      <c r="C488" t="str">
        <f t="shared" si="53"/>
        <v>02154270595</v>
      </c>
      <c r="D488" t="str">
        <f t="shared" si="53"/>
        <v>02154270595</v>
      </c>
      <c r="E488" t="s">
        <v>52</v>
      </c>
      <c r="F488">
        <v>2015</v>
      </c>
      <c r="G488" t="str">
        <f>"            91503596"</f>
        <v xml:space="preserve">            91503596</v>
      </c>
      <c r="H488" s="3">
        <v>42181</v>
      </c>
      <c r="I488" s="3">
        <v>42187</v>
      </c>
      <c r="J488" s="3">
        <v>42184</v>
      </c>
      <c r="K488" s="3">
        <v>42244</v>
      </c>
      <c r="L488" s="1">
        <v>900</v>
      </c>
      <c r="M488">
        <v>276</v>
      </c>
      <c r="N488" s="5">
        <v>248400</v>
      </c>
      <c r="O488">
        <v>900</v>
      </c>
      <c r="P488">
        <v>276</v>
      </c>
      <c r="Q488" s="4">
        <v>248400</v>
      </c>
      <c r="R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 s="3">
        <v>42562</v>
      </c>
      <c r="AC488" t="s">
        <v>53</v>
      </c>
      <c r="AD488" t="s">
        <v>53</v>
      </c>
      <c r="AK488">
        <v>0</v>
      </c>
      <c r="AU488" s="3">
        <v>42520</v>
      </c>
      <c r="AV488" s="3">
        <v>42520</v>
      </c>
      <c r="AW488" t="s">
        <v>54</v>
      </c>
      <c r="AX488" t="str">
        <f t="shared" si="50"/>
        <v>FOR</v>
      </c>
      <c r="AY488" t="s">
        <v>55</v>
      </c>
    </row>
    <row r="489" spans="1:51" hidden="1">
      <c r="A489">
        <v>100352</v>
      </c>
      <c r="B489" t="s">
        <v>102</v>
      </c>
      <c r="C489" t="str">
        <f t="shared" ref="C489:C502" si="54">"00503151201"</f>
        <v>00503151201</v>
      </c>
      <c r="D489" t="str">
        <f t="shared" ref="D489:D502" si="55">"00322800376"</f>
        <v>00322800376</v>
      </c>
      <c r="E489" t="s">
        <v>52</v>
      </c>
      <c r="F489">
        <v>2015</v>
      </c>
      <c r="G489" t="str">
        <f>"             8003437"</f>
        <v xml:space="preserve">             8003437</v>
      </c>
      <c r="H489" s="3">
        <v>42072</v>
      </c>
      <c r="I489" s="3">
        <v>42087</v>
      </c>
      <c r="J489" s="3">
        <v>42087</v>
      </c>
      <c r="K489" s="3">
        <v>42147</v>
      </c>
      <c r="L489"/>
      <c r="N489"/>
      <c r="O489">
        <v>89.1</v>
      </c>
      <c r="P489">
        <v>268</v>
      </c>
      <c r="Q489" s="4">
        <v>23878.799999999999</v>
      </c>
      <c r="R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 s="3">
        <v>42562</v>
      </c>
      <c r="AC489" t="s">
        <v>53</v>
      </c>
      <c r="AD489" t="s">
        <v>53</v>
      </c>
      <c r="AK489">
        <v>0</v>
      </c>
      <c r="AU489" s="3">
        <v>42415</v>
      </c>
      <c r="AV489" s="3">
        <v>42415</v>
      </c>
      <c r="AW489" t="s">
        <v>54</v>
      </c>
      <c r="AX489" t="str">
        <f t="shared" si="50"/>
        <v>FOR</v>
      </c>
      <c r="AY489" t="s">
        <v>55</v>
      </c>
    </row>
    <row r="490" spans="1:51" hidden="1">
      <c r="A490">
        <v>100352</v>
      </c>
      <c r="B490" t="s">
        <v>102</v>
      </c>
      <c r="C490" t="str">
        <f t="shared" si="54"/>
        <v>00503151201</v>
      </c>
      <c r="D490" t="str">
        <f t="shared" si="55"/>
        <v>00322800376</v>
      </c>
      <c r="E490" t="s">
        <v>52</v>
      </c>
      <c r="F490">
        <v>2015</v>
      </c>
      <c r="G490" t="str">
        <f>"             8003905"</f>
        <v xml:space="preserve">             8003905</v>
      </c>
      <c r="H490" s="3">
        <v>42080</v>
      </c>
      <c r="I490" s="3">
        <v>42097</v>
      </c>
      <c r="J490" s="3">
        <v>42097</v>
      </c>
      <c r="K490" s="3">
        <v>42157</v>
      </c>
      <c r="L490"/>
      <c r="N490"/>
      <c r="O490">
        <v>309</v>
      </c>
      <c r="P490">
        <v>258</v>
      </c>
      <c r="Q490" s="4">
        <v>79722</v>
      </c>
      <c r="R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 s="3">
        <v>42562</v>
      </c>
      <c r="AC490" t="s">
        <v>53</v>
      </c>
      <c r="AD490" t="s">
        <v>53</v>
      </c>
      <c r="AK490">
        <v>0</v>
      </c>
      <c r="AU490" s="3">
        <v>42415</v>
      </c>
      <c r="AV490" s="3">
        <v>42415</v>
      </c>
      <c r="AW490" t="s">
        <v>54</v>
      </c>
      <c r="AX490" t="str">
        <f t="shared" ref="AX490:AX521" si="56">"FOR"</f>
        <v>FOR</v>
      </c>
      <c r="AY490" t="s">
        <v>55</v>
      </c>
    </row>
    <row r="491" spans="1:51">
      <c r="A491">
        <v>100352</v>
      </c>
      <c r="B491" t="s">
        <v>102</v>
      </c>
      <c r="C491" t="str">
        <f t="shared" si="54"/>
        <v>00503151201</v>
      </c>
      <c r="D491" t="str">
        <f t="shared" si="55"/>
        <v>00322800376</v>
      </c>
      <c r="E491" t="s">
        <v>52</v>
      </c>
      <c r="F491">
        <v>2015</v>
      </c>
      <c r="G491" t="str">
        <f>"             8005279"</f>
        <v xml:space="preserve">             8005279</v>
      </c>
      <c r="H491" s="3">
        <v>42103</v>
      </c>
      <c r="I491" s="3">
        <v>42115</v>
      </c>
      <c r="J491" s="3">
        <v>42110</v>
      </c>
      <c r="K491" s="3">
        <v>42170</v>
      </c>
      <c r="L491" s="1">
        <v>220</v>
      </c>
      <c r="M491">
        <v>350</v>
      </c>
      <c r="N491" s="5">
        <v>77000</v>
      </c>
      <c r="O491">
        <v>220</v>
      </c>
      <c r="P491">
        <v>350</v>
      </c>
      <c r="Q491" s="4">
        <v>77000</v>
      </c>
      <c r="R491">
        <v>0</v>
      </c>
      <c r="V491">
        <v>0</v>
      </c>
      <c r="W491">
        <v>-268.39999999999998</v>
      </c>
      <c r="X491">
        <v>0</v>
      </c>
      <c r="Y491">
        <v>0</v>
      </c>
      <c r="Z491">
        <v>-268.39999999999998</v>
      </c>
      <c r="AA491">
        <v>0</v>
      </c>
      <c r="AB491" s="3">
        <v>42562</v>
      </c>
      <c r="AC491" t="s">
        <v>53</v>
      </c>
      <c r="AD491" t="s">
        <v>53</v>
      </c>
      <c r="AK491">
        <v>0</v>
      </c>
      <c r="AU491" s="3">
        <v>42520</v>
      </c>
      <c r="AV491" s="3">
        <v>42520</v>
      </c>
      <c r="AW491" t="s">
        <v>54</v>
      </c>
      <c r="AX491" t="str">
        <f t="shared" si="56"/>
        <v>FOR</v>
      </c>
      <c r="AY491" t="s">
        <v>55</v>
      </c>
    </row>
    <row r="492" spans="1:51" hidden="1">
      <c r="A492">
        <v>100352</v>
      </c>
      <c r="B492" t="s">
        <v>102</v>
      </c>
      <c r="C492" t="str">
        <f t="shared" si="54"/>
        <v>00503151201</v>
      </c>
      <c r="D492" t="str">
        <f t="shared" si="55"/>
        <v>00322800376</v>
      </c>
      <c r="E492" t="s">
        <v>52</v>
      </c>
      <c r="F492">
        <v>2015</v>
      </c>
      <c r="G492" t="str">
        <f>"             8006727"</f>
        <v xml:space="preserve">             8006727</v>
      </c>
      <c r="H492" s="3">
        <v>42132</v>
      </c>
      <c r="I492" s="3">
        <v>42174</v>
      </c>
      <c r="J492" s="3">
        <v>42138</v>
      </c>
      <c r="K492" s="3">
        <v>42198</v>
      </c>
      <c r="L492"/>
      <c r="N492"/>
      <c r="O492">
        <v>750</v>
      </c>
      <c r="P492">
        <v>217</v>
      </c>
      <c r="Q492" s="4">
        <v>162750</v>
      </c>
      <c r="R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 s="3">
        <v>42562</v>
      </c>
      <c r="AC492" t="s">
        <v>53</v>
      </c>
      <c r="AD492" t="s">
        <v>53</v>
      </c>
      <c r="AK492">
        <v>0</v>
      </c>
      <c r="AU492" s="3">
        <v>42415</v>
      </c>
      <c r="AV492" s="3">
        <v>42415</v>
      </c>
      <c r="AW492" t="s">
        <v>54</v>
      </c>
      <c r="AX492" t="str">
        <f t="shared" si="56"/>
        <v>FOR</v>
      </c>
      <c r="AY492" t="s">
        <v>55</v>
      </c>
    </row>
    <row r="493" spans="1:51" hidden="1">
      <c r="A493">
        <v>100352</v>
      </c>
      <c r="B493" t="s">
        <v>102</v>
      </c>
      <c r="C493" t="str">
        <f t="shared" si="54"/>
        <v>00503151201</v>
      </c>
      <c r="D493" t="str">
        <f t="shared" si="55"/>
        <v>00322800376</v>
      </c>
      <c r="E493" t="s">
        <v>52</v>
      </c>
      <c r="F493">
        <v>2015</v>
      </c>
      <c r="G493" t="str">
        <f>"             8007121"</f>
        <v xml:space="preserve">             8007121</v>
      </c>
      <c r="H493" s="3">
        <v>42142</v>
      </c>
      <c r="I493" s="3">
        <v>42160</v>
      </c>
      <c r="J493" s="3">
        <v>42148</v>
      </c>
      <c r="K493" s="3">
        <v>42208</v>
      </c>
      <c r="L493"/>
      <c r="N493"/>
      <c r="O493">
        <v>162</v>
      </c>
      <c r="P493">
        <v>207</v>
      </c>
      <c r="Q493" s="4">
        <v>33534</v>
      </c>
      <c r="R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 s="3">
        <v>42562</v>
      </c>
      <c r="AC493" t="s">
        <v>53</v>
      </c>
      <c r="AD493" t="s">
        <v>53</v>
      </c>
      <c r="AK493">
        <v>0</v>
      </c>
      <c r="AU493" s="3">
        <v>42415</v>
      </c>
      <c r="AV493" s="3">
        <v>42415</v>
      </c>
      <c r="AW493" t="s">
        <v>54</v>
      </c>
      <c r="AX493" t="str">
        <f t="shared" si="56"/>
        <v>FOR</v>
      </c>
      <c r="AY493" t="s">
        <v>55</v>
      </c>
    </row>
    <row r="494" spans="1:51" hidden="1">
      <c r="A494">
        <v>100352</v>
      </c>
      <c r="B494" t="s">
        <v>102</v>
      </c>
      <c r="C494" t="str">
        <f t="shared" si="54"/>
        <v>00503151201</v>
      </c>
      <c r="D494" t="str">
        <f t="shared" si="55"/>
        <v>00322800376</v>
      </c>
      <c r="E494" t="s">
        <v>52</v>
      </c>
      <c r="F494">
        <v>2015</v>
      </c>
      <c r="G494" t="str">
        <f>"             8008160"</f>
        <v xml:space="preserve">             8008160</v>
      </c>
      <c r="H494" s="3">
        <v>42154</v>
      </c>
      <c r="I494" s="3">
        <v>42163</v>
      </c>
      <c r="J494" s="3">
        <v>42159</v>
      </c>
      <c r="K494" s="3">
        <v>42219</v>
      </c>
      <c r="L494"/>
      <c r="N494"/>
      <c r="O494">
        <v>206</v>
      </c>
      <c r="P494">
        <v>196</v>
      </c>
      <c r="Q494" s="4">
        <v>40376</v>
      </c>
      <c r="R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 s="3">
        <v>42562</v>
      </c>
      <c r="AC494" t="s">
        <v>53</v>
      </c>
      <c r="AD494" t="s">
        <v>53</v>
      </c>
      <c r="AK494">
        <v>0</v>
      </c>
      <c r="AU494" s="3">
        <v>42415</v>
      </c>
      <c r="AV494" s="3">
        <v>42415</v>
      </c>
      <c r="AW494" t="s">
        <v>54</v>
      </c>
      <c r="AX494" t="str">
        <f t="shared" si="56"/>
        <v>FOR</v>
      </c>
      <c r="AY494" t="s">
        <v>55</v>
      </c>
    </row>
    <row r="495" spans="1:51" hidden="1">
      <c r="A495">
        <v>100352</v>
      </c>
      <c r="B495" t="s">
        <v>102</v>
      </c>
      <c r="C495" t="str">
        <f t="shared" si="54"/>
        <v>00503151201</v>
      </c>
      <c r="D495" t="str">
        <f t="shared" si="55"/>
        <v>00322800376</v>
      </c>
      <c r="E495" t="s">
        <v>52</v>
      </c>
      <c r="F495">
        <v>2015</v>
      </c>
      <c r="G495" t="str">
        <f>"             8009394"</f>
        <v xml:space="preserve">             8009394</v>
      </c>
      <c r="H495" s="3">
        <v>42174</v>
      </c>
      <c r="I495" s="3">
        <v>42185</v>
      </c>
      <c r="J495" s="3">
        <v>42181</v>
      </c>
      <c r="K495" s="3">
        <v>42241</v>
      </c>
      <c r="L495"/>
      <c r="N495"/>
      <c r="O495">
        <v>220</v>
      </c>
      <c r="P495">
        <v>211</v>
      </c>
      <c r="Q495" s="4">
        <v>46420</v>
      </c>
      <c r="R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 s="3">
        <v>42562</v>
      </c>
      <c r="AC495" t="s">
        <v>53</v>
      </c>
      <c r="AD495" t="s">
        <v>53</v>
      </c>
      <c r="AK495">
        <v>0</v>
      </c>
      <c r="AU495" s="3">
        <v>42452</v>
      </c>
      <c r="AV495" s="3">
        <v>42452</v>
      </c>
      <c r="AW495" t="s">
        <v>54</v>
      </c>
      <c r="AX495" t="str">
        <f t="shared" si="56"/>
        <v>FOR</v>
      </c>
      <c r="AY495" t="s">
        <v>55</v>
      </c>
    </row>
    <row r="496" spans="1:51" hidden="1">
      <c r="A496">
        <v>100352</v>
      </c>
      <c r="B496" t="s">
        <v>102</v>
      </c>
      <c r="C496" t="str">
        <f t="shared" si="54"/>
        <v>00503151201</v>
      </c>
      <c r="D496" t="str">
        <f t="shared" si="55"/>
        <v>00322800376</v>
      </c>
      <c r="E496" t="s">
        <v>52</v>
      </c>
      <c r="F496">
        <v>2015</v>
      </c>
      <c r="G496" t="str">
        <f>"             8009395"</f>
        <v xml:space="preserve">             8009395</v>
      </c>
      <c r="H496" s="3">
        <v>42174</v>
      </c>
      <c r="I496" s="3">
        <v>42185</v>
      </c>
      <c r="J496" s="3">
        <v>42181</v>
      </c>
      <c r="K496" s="3">
        <v>42241</v>
      </c>
      <c r="L496"/>
      <c r="N496"/>
      <c r="O496">
        <v>99</v>
      </c>
      <c r="P496">
        <v>211</v>
      </c>
      <c r="Q496" s="4">
        <v>20889</v>
      </c>
      <c r="R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 s="3">
        <v>42562</v>
      </c>
      <c r="AC496" t="s">
        <v>53</v>
      </c>
      <c r="AD496" t="s">
        <v>53</v>
      </c>
      <c r="AK496">
        <v>0</v>
      </c>
      <c r="AU496" s="3">
        <v>42452</v>
      </c>
      <c r="AV496" s="3">
        <v>42452</v>
      </c>
      <c r="AW496" t="s">
        <v>54</v>
      </c>
      <c r="AX496" t="str">
        <f t="shared" si="56"/>
        <v>FOR</v>
      </c>
      <c r="AY496" t="s">
        <v>55</v>
      </c>
    </row>
    <row r="497" spans="1:51" hidden="1">
      <c r="A497">
        <v>100352</v>
      </c>
      <c r="B497" t="s">
        <v>102</v>
      </c>
      <c r="C497" t="str">
        <f t="shared" si="54"/>
        <v>00503151201</v>
      </c>
      <c r="D497" t="str">
        <f t="shared" si="55"/>
        <v>00322800376</v>
      </c>
      <c r="E497" t="s">
        <v>52</v>
      </c>
      <c r="F497">
        <v>2015</v>
      </c>
      <c r="G497" t="str">
        <f>"             8010535"</f>
        <v xml:space="preserve">             8010535</v>
      </c>
      <c r="H497" s="3">
        <v>42193</v>
      </c>
      <c r="I497" s="3">
        <v>42198</v>
      </c>
      <c r="J497" s="3">
        <v>42198</v>
      </c>
      <c r="K497" s="3">
        <v>42258</v>
      </c>
      <c r="L497"/>
      <c r="N497"/>
      <c r="O497" s="4">
        <v>1500</v>
      </c>
      <c r="P497">
        <v>194</v>
      </c>
      <c r="Q497" s="4">
        <v>291000</v>
      </c>
      <c r="R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 s="3">
        <v>42562</v>
      </c>
      <c r="AC497" t="s">
        <v>53</v>
      </c>
      <c r="AD497" t="s">
        <v>53</v>
      </c>
      <c r="AK497">
        <v>0</v>
      </c>
      <c r="AU497" s="3">
        <v>42452</v>
      </c>
      <c r="AV497" s="3">
        <v>42452</v>
      </c>
      <c r="AW497" t="s">
        <v>54</v>
      </c>
      <c r="AX497" t="str">
        <f t="shared" si="56"/>
        <v>FOR</v>
      </c>
      <c r="AY497" t="s">
        <v>55</v>
      </c>
    </row>
    <row r="498" spans="1:51" hidden="1">
      <c r="A498">
        <v>100352</v>
      </c>
      <c r="B498" t="s">
        <v>102</v>
      </c>
      <c r="C498" t="str">
        <f t="shared" si="54"/>
        <v>00503151201</v>
      </c>
      <c r="D498" t="str">
        <f t="shared" si="55"/>
        <v>00322800376</v>
      </c>
      <c r="E498" t="s">
        <v>52</v>
      </c>
      <c r="F498">
        <v>2015</v>
      </c>
      <c r="G498" t="str">
        <f>"             8014625"</f>
        <v xml:space="preserve">             8014625</v>
      </c>
      <c r="H498" s="3">
        <v>42275</v>
      </c>
      <c r="I498" s="3">
        <v>42282</v>
      </c>
      <c r="J498" s="3">
        <v>42277</v>
      </c>
      <c r="K498" s="3">
        <v>42337</v>
      </c>
      <c r="L498"/>
      <c r="N498"/>
      <c r="O498">
        <v>467</v>
      </c>
      <c r="P498">
        <v>115</v>
      </c>
      <c r="Q498" s="4">
        <v>53705</v>
      </c>
      <c r="R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 s="3">
        <v>42562</v>
      </c>
      <c r="AC498" t="s">
        <v>53</v>
      </c>
      <c r="AD498" t="s">
        <v>53</v>
      </c>
      <c r="AK498">
        <v>0</v>
      </c>
      <c r="AU498" s="3">
        <v>42452</v>
      </c>
      <c r="AV498" s="3">
        <v>42452</v>
      </c>
      <c r="AW498" t="s">
        <v>54</v>
      </c>
      <c r="AX498" t="str">
        <f t="shared" si="56"/>
        <v>FOR</v>
      </c>
      <c r="AY498" t="s">
        <v>55</v>
      </c>
    </row>
    <row r="499" spans="1:51" hidden="1">
      <c r="A499">
        <v>100352</v>
      </c>
      <c r="B499" t="s">
        <v>102</v>
      </c>
      <c r="C499" t="str">
        <f t="shared" si="54"/>
        <v>00503151201</v>
      </c>
      <c r="D499" t="str">
        <f t="shared" si="55"/>
        <v>00322800376</v>
      </c>
      <c r="E499" t="s">
        <v>52</v>
      </c>
      <c r="F499">
        <v>2015</v>
      </c>
      <c r="G499" t="str">
        <f>"             8017059"</f>
        <v xml:space="preserve">             8017059</v>
      </c>
      <c r="H499" s="3">
        <v>42319</v>
      </c>
      <c r="I499" s="3">
        <v>42326</v>
      </c>
      <c r="J499" s="3">
        <v>42324</v>
      </c>
      <c r="K499" s="3">
        <v>42384</v>
      </c>
      <c r="L499"/>
      <c r="N499"/>
      <c r="O499">
        <v>880</v>
      </c>
      <c r="P499">
        <v>68</v>
      </c>
      <c r="Q499" s="4">
        <v>59840</v>
      </c>
      <c r="R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 s="3">
        <v>42562</v>
      </c>
      <c r="AC499" t="s">
        <v>53</v>
      </c>
      <c r="AD499" t="s">
        <v>53</v>
      </c>
      <c r="AK499">
        <v>0</v>
      </c>
      <c r="AU499" s="3">
        <v>42452</v>
      </c>
      <c r="AV499" s="3">
        <v>42452</v>
      </c>
      <c r="AW499" t="s">
        <v>54</v>
      </c>
      <c r="AX499" t="str">
        <f t="shared" si="56"/>
        <v>FOR</v>
      </c>
      <c r="AY499" t="s">
        <v>55</v>
      </c>
    </row>
    <row r="500" spans="1:51" hidden="1">
      <c r="A500">
        <v>100352</v>
      </c>
      <c r="B500" t="s">
        <v>102</v>
      </c>
      <c r="C500" t="str">
        <f t="shared" si="54"/>
        <v>00503151201</v>
      </c>
      <c r="D500" t="str">
        <f t="shared" si="55"/>
        <v>00322800376</v>
      </c>
      <c r="E500" t="s">
        <v>52</v>
      </c>
      <c r="F500">
        <v>2015</v>
      </c>
      <c r="G500" t="str">
        <f>"             8018257"</f>
        <v xml:space="preserve">             8018257</v>
      </c>
      <c r="H500" s="3">
        <v>42335</v>
      </c>
      <c r="I500" s="3">
        <v>42340</v>
      </c>
      <c r="J500" s="3">
        <v>42339</v>
      </c>
      <c r="K500" s="3">
        <v>42399</v>
      </c>
      <c r="L500"/>
      <c r="N500"/>
      <c r="O500">
        <v>261</v>
      </c>
      <c r="P500">
        <v>53</v>
      </c>
      <c r="Q500" s="4">
        <v>13833</v>
      </c>
      <c r="R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 s="3">
        <v>42562</v>
      </c>
      <c r="AC500" t="s">
        <v>53</v>
      </c>
      <c r="AD500" t="s">
        <v>53</v>
      </c>
      <c r="AK500">
        <v>0</v>
      </c>
      <c r="AU500" s="3">
        <v>42452</v>
      </c>
      <c r="AV500" s="3">
        <v>42452</v>
      </c>
      <c r="AW500" t="s">
        <v>54</v>
      </c>
      <c r="AX500" t="str">
        <f t="shared" si="56"/>
        <v>FOR</v>
      </c>
      <c r="AY500" t="s">
        <v>55</v>
      </c>
    </row>
    <row r="501" spans="1:51" hidden="1">
      <c r="A501">
        <v>100352</v>
      </c>
      <c r="B501" t="s">
        <v>102</v>
      </c>
      <c r="C501" t="str">
        <f t="shared" si="54"/>
        <v>00503151201</v>
      </c>
      <c r="D501" t="str">
        <f t="shared" si="55"/>
        <v>00322800376</v>
      </c>
      <c r="E501" t="s">
        <v>52</v>
      </c>
      <c r="F501">
        <v>2015</v>
      </c>
      <c r="G501" t="str">
        <f>"             8018258"</f>
        <v xml:space="preserve">             8018258</v>
      </c>
      <c r="H501" s="3">
        <v>42335</v>
      </c>
      <c r="I501" s="3">
        <v>42340</v>
      </c>
      <c r="J501" s="3">
        <v>42339</v>
      </c>
      <c r="K501" s="3">
        <v>42399</v>
      </c>
      <c r="L501"/>
      <c r="N501"/>
      <c r="O501" s="4">
        <v>1500</v>
      </c>
      <c r="P501">
        <v>53</v>
      </c>
      <c r="Q501" s="4">
        <v>79500</v>
      </c>
      <c r="R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 s="3">
        <v>42562</v>
      </c>
      <c r="AC501" t="s">
        <v>53</v>
      </c>
      <c r="AD501" t="s">
        <v>53</v>
      </c>
      <c r="AK501">
        <v>0</v>
      </c>
      <c r="AU501" s="3">
        <v>42452</v>
      </c>
      <c r="AV501" s="3">
        <v>42452</v>
      </c>
      <c r="AW501" t="s">
        <v>54</v>
      </c>
      <c r="AX501" t="str">
        <f t="shared" si="56"/>
        <v>FOR</v>
      </c>
      <c r="AY501" t="s">
        <v>55</v>
      </c>
    </row>
    <row r="502" spans="1:51" hidden="1">
      <c r="A502">
        <v>100352</v>
      </c>
      <c r="B502" t="s">
        <v>102</v>
      </c>
      <c r="C502" t="str">
        <f t="shared" si="54"/>
        <v>00503151201</v>
      </c>
      <c r="D502" t="str">
        <f t="shared" si="55"/>
        <v>00322800376</v>
      </c>
      <c r="E502" t="s">
        <v>52</v>
      </c>
      <c r="F502">
        <v>2015</v>
      </c>
      <c r="G502" t="str">
        <f>"             8018259"</f>
        <v xml:space="preserve">             8018259</v>
      </c>
      <c r="H502" s="3">
        <v>42335</v>
      </c>
      <c r="I502" s="3">
        <v>42340</v>
      </c>
      <c r="J502" s="3">
        <v>42339</v>
      </c>
      <c r="K502" s="3">
        <v>42399</v>
      </c>
      <c r="L502"/>
      <c r="N502"/>
      <c r="O502">
        <v>247.2</v>
      </c>
      <c r="P502">
        <v>53</v>
      </c>
      <c r="Q502" s="4">
        <v>13101.6</v>
      </c>
      <c r="R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 s="3">
        <v>42562</v>
      </c>
      <c r="AC502" t="s">
        <v>53</v>
      </c>
      <c r="AD502" t="s">
        <v>53</v>
      </c>
      <c r="AK502">
        <v>0</v>
      </c>
      <c r="AU502" s="3">
        <v>42452</v>
      </c>
      <c r="AV502" s="3">
        <v>42452</v>
      </c>
      <c r="AW502" t="s">
        <v>54</v>
      </c>
      <c r="AX502" t="str">
        <f t="shared" si="56"/>
        <v>FOR</v>
      </c>
      <c r="AY502" t="s">
        <v>55</v>
      </c>
    </row>
    <row r="503" spans="1:51" hidden="1">
      <c r="A503">
        <v>100353</v>
      </c>
      <c r="B503" t="s">
        <v>103</v>
      </c>
      <c r="C503" t="str">
        <f t="shared" ref="C503:D506" si="57">"04559761210"</f>
        <v>04559761210</v>
      </c>
      <c r="D503" t="str">
        <f t="shared" si="57"/>
        <v>04559761210</v>
      </c>
      <c r="E503" t="s">
        <v>52</v>
      </c>
      <c r="F503">
        <v>2014</v>
      </c>
      <c r="G503" t="str">
        <f>"                1017"</f>
        <v xml:space="preserve">                1017</v>
      </c>
      <c r="H503" s="3">
        <v>41985</v>
      </c>
      <c r="I503" s="3">
        <v>41995</v>
      </c>
      <c r="J503" s="3">
        <v>41995</v>
      </c>
      <c r="K503" s="3">
        <v>42055</v>
      </c>
      <c r="L503"/>
      <c r="N503"/>
      <c r="O503">
        <v>507.52</v>
      </c>
      <c r="P503">
        <v>346</v>
      </c>
      <c r="Q503" s="4">
        <v>175601.92000000001</v>
      </c>
      <c r="R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 s="3">
        <v>42562</v>
      </c>
      <c r="AC503" t="s">
        <v>53</v>
      </c>
      <c r="AD503" t="s">
        <v>53</v>
      </c>
      <c r="AK503">
        <v>0</v>
      </c>
      <c r="AU503" s="3">
        <v>42401</v>
      </c>
      <c r="AV503" s="3">
        <v>42401</v>
      </c>
      <c r="AW503" t="s">
        <v>54</v>
      </c>
      <c r="AX503" t="str">
        <f t="shared" si="56"/>
        <v>FOR</v>
      </c>
      <c r="AY503" t="s">
        <v>55</v>
      </c>
    </row>
    <row r="504" spans="1:51" hidden="1">
      <c r="A504">
        <v>100353</v>
      </c>
      <c r="B504" t="s">
        <v>103</v>
      </c>
      <c r="C504" t="str">
        <f t="shared" si="57"/>
        <v>04559761210</v>
      </c>
      <c r="D504" t="str">
        <f t="shared" si="57"/>
        <v>04559761210</v>
      </c>
      <c r="E504" t="s">
        <v>52</v>
      </c>
      <c r="F504">
        <v>2015</v>
      </c>
      <c r="G504" t="str">
        <f>"                 253"</f>
        <v xml:space="preserve">                 253</v>
      </c>
      <c r="H504" s="3">
        <v>42083</v>
      </c>
      <c r="I504" s="3">
        <v>42087</v>
      </c>
      <c r="J504" s="3">
        <v>42087</v>
      </c>
      <c r="K504" s="3">
        <v>42147</v>
      </c>
      <c r="L504"/>
      <c r="N504"/>
      <c r="O504">
        <v>416</v>
      </c>
      <c r="P504">
        <v>254</v>
      </c>
      <c r="Q504" s="4">
        <v>105664</v>
      </c>
      <c r="R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 s="3">
        <v>42562</v>
      </c>
      <c r="AC504" t="s">
        <v>53</v>
      </c>
      <c r="AD504" t="s">
        <v>53</v>
      </c>
      <c r="AK504">
        <v>0</v>
      </c>
      <c r="AU504" s="3">
        <v>42401</v>
      </c>
      <c r="AV504" s="3">
        <v>42401</v>
      </c>
      <c r="AW504" t="s">
        <v>54</v>
      </c>
      <c r="AX504" t="str">
        <f t="shared" si="56"/>
        <v>FOR</v>
      </c>
      <c r="AY504" t="s">
        <v>55</v>
      </c>
    </row>
    <row r="505" spans="1:51" hidden="1">
      <c r="A505">
        <v>100353</v>
      </c>
      <c r="B505" t="s">
        <v>103</v>
      </c>
      <c r="C505" t="str">
        <f t="shared" si="57"/>
        <v>04559761210</v>
      </c>
      <c r="D505" t="str">
        <f t="shared" si="57"/>
        <v>04559761210</v>
      </c>
      <c r="E505" t="s">
        <v>52</v>
      </c>
      <c r="F505">
        <v>2015</v>
      </c>
      <c r="G505" t="str">
        <f>"         FATTPA 1_15"</f>
        <v xml:space="preserve">         FATTPA 1_15</v>
      </c>
      <c r="H505" s="3">
        <v>42206</v>
      </c>
      <c r="I505" s="3">
        <v>42300</v>
      </c>
      <c r="J505" s="3">
        <v>42299</v>
      </c>
      <c r="K505" s="3">
        <v>42359</v>
      </c>
      <c r="L505"/>
      <c r="N505"/>
      <c r="O505">
        <v>416</v>
      </c>
      <c r="P505">
        <v>42</v>
      </c>
      <c r="Q505" s="4">
        <v>17472</v>
      </c>
      <c r="R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 s="3">
        <v>42562</v>
      </c>
      <c r="AC505" t="s">
        <v>53</v>
      </c>
      <c r="AD505" t="s">
        <v>53</v>
      </c>
      <c r="AK505">
        <v>0</v>
      </c>
      <c r="AU505" s="3">
        <v>42401</v>
      </c>
      <c r="AV505" s="3">
        <v>42401</v>
      </c>
      <c r="AW505" t="s">
        <v>54</v>
      </c>
      <c r="AX505" t="str">
        <f t="shared" si="56"/>
        <v>FOR</v>
      </c>
      <c r="AY505" t="s">
        <v>55</v>
      </c>
    </row>
    <row r="506" spans="1:51" hidden="1">
      <c r="A506">
        <v>100353</v>
      </c>
      <c r="B506" t="s">
        <v>103</v>
      </c>
      <c r="C506" t="str">
        <f t="shared" si="57"/>
        <v>04559761210</v>
      </c>
      <c r="D506" t="str">
        <f t="shared" si="57"/>
        <v>04559761210</v>
      </c>
      <c r="E506" t="s">
        <v>52</v>
      </c>
      <c r="F506">
        <v>2015</v>
      </c>
      <c r="G506" t="str">
        <f>"         FATTPA 2_15"</f>
        <v xml:space="preserve">         FATTPA 2_15</v>
      </c>
      <c r="H506" s="3">
        <v>42367</v>
      </c>
      <c r="I506" s="3">
        <v>42369</v>
      </c>
      <c r="J506" s="3">
        <v>42369</v>
      </c>
      <c r="K506" s="3">
        <v>42429</v>
      </c>
      <c r="L506"/>
      <c r="N506"/>
      <c r="O506">
        <v>208</v>
      </c>
      <c r="P506">
        <v>-28</v>
      </c>
      <c r="Q506" s="4">
        <v>-5824</v>
      </c>
      <c r="R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 s="3">
        <v>42562</v>
      </c>
      <c r="AC506" t="s">
        <v>53</v>
      </c>
      <c r="AD506" t="s">
        <v>53</v>
      </c>
      <c r="AK506">
        <v>0</v>
      </c>
      <c r="AU506" s="3">
        <v>42401</v>
      </c>
      <c r="AV506" s="3">
        <v>42401</v>
      </c>
      <c r="AW506" t="s">
        <v>54</v>
      </c>
      <c r="AX506" t="str">
        <f t="shared" si="56"/>
        <v>FOR</v>
      </c>
      <c r="AY506" t="s">
        <v>55</v>
      </c>
    </row>
    <row r="507" spans="1:51">
      <c r="A507">
        <v>100362</v>
      </c>
      <c r="B507" t="s">
        <v>104</v>
      </c>
      <c r="C507" t="str">
        <f>"00394440481"</f>
        <v>00394440481</v>
      </c>
      <c r="D507" t="str">
        <f>"00394440481"</f>
        <v>00394440481</v>
      </c>
      <c r="E507" t="s">
        <v>52</v>
      </c>
      <c r="F507">
        <v>2015</v>
      </c>
      <c r="G507" t="str">
        <f>"              900041"</f>
        <v xml:space="preserve">              900041</v>
      </c>
      <c r="H507" s="3">
        <v>42184</v>
      </c>
      <c r="I507" s="3">
        <v>42191</v>
      </c>
      <c r="J507" s="3">
        <v>42188</v>
      </c>
      <c r="K507" s="3">
        <v>42248</v>
      </c>
      <c r="L507" s="5">
        <v>6757.6</v>
      </c>
      <c r="M507">
        <v>272</v>
      </c>
      <c r="N507" s="5">
        <v>1838067.2</v>
      </c>
      <c r="O507" s="4">
        <v>6757.6</v>
      </c>
      <c r="P507">
        <v>272</v>
      </c>
      <c r="Q507" s="4">
        <v>1838067.2</v>
      </c>
      <c r="R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 s="3">
        <v>42562</v>
      </c>
      <c r="AC507" t="s">
        <v>53</v>
      </c>
      <c r="AD507" t="s">
        <v>53</v>
      </c>
      <c r="AK507">
        <v>0</v>
      </c>
      <c r="AU507" s="3">
        <v>42520</v>
      </c>
      <c r="AV507" s="3">
        <v>42520</v>
      </c>
      <c r="AW507" t="s">
        <v>54</v>
      </c>
      <c r="AX507" t="str">
        <f t="shared" si="56"/>
        <v>FOR</v>
      </c>
      <c r="AY507" t="s">
        <v>55</v>
      </c>
    </row>
    <row r="508" spans="1:51" hidden="1">
      <c r="A508">
        <v>100364</v>
      </c>
      <c r="B508" t="s">
        <v>105</v>
      </c>
      <c r="C508" t="str">
        <f t="shared" ref="C508:D510" si="58">"00212840235"</f>
        <v>00212840235</v>
      </c>
      <c r="D508" t="str">
        <f t="shared" si="58"/>
        <v>00212840235</v>
      </c>
      <c r="E508" t="s">
        <v>52</v>
      </c>
      <c r="F508">
        <v>2015</v>
      </c>
      <c r="G508" t="str">
        <f>"     000001015022203"</f>
        <v xml:space="preserve">     000001015022203</v>
      </c>
      <c r="H508" s="3">
        <v>42222</v>
      </c>
      <c r="I508" s="3">
        <v>42296</v>
      </c>
      <c r="J508" s="3">
        <v>42293</v>
      </c>
      <c r="K508" s="3">
        <v>42353</v>
      </c>
      <c r="L508"/>
      <c r="N508"/>
      <c r="O508">
        <v>795.45</v>
      </c>
      <c r="P508">
        <v>52</v>
      </c>
      <c r="Q508" s="4">
        <v>41363.4</v>
      </c>
      <c r="R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 s="3">
        <v>42562</v>
      </c>
      <c r="AC508" t="s">
        <v>53</v>
      </c>
      <c r="AD508" t="s">
        <v>53</v>
      </c>
      <c r="AK508">
        <v>0</v>
      </c>
      <c r="AU508" s="3">
        <v>42405</v>
      </c>
      <c r="AV508" s="3">
        <v>42405</v>
      </c>
      <c r="AW508" t="s">
        <v>54</v>
      </c>
      <c r="AX508" t="str">
        <f t="shared" si="56"/>
        <v>FOR</v>
      </c>
      <c r="AY508" t="s">
        <v>55</v>
      </c>
    </row>
    <row r="509" spans="1:51" hidden="1">
      <c r="A509">
        <v>100364</v>
      </c>
      <c r="B509" t="s">
        <v>105</v>
      </c>
      <c r="C509" t="str">
        <f t="shared" si="58"/>
        <v>00212840235</v>
      </c>
      <c r="D509" t="str">
        <f t="shared" si="58"/>
        <v>00212840235</v>
      </c>
      <c r="E509" t="s">
        <v>52</v>
      </c>
      <c r="F509">
        <v>2015</v>
      </c>
      <c r="G509" t="str">
        <f>"     000001015027251"</f>
        <v xml:space="preserve">     000001015027251</v>
      </c>
      <c r="H509" s="3">
        <v>42269</v>
      </c>
      <c r="I509" s="3">
        <v>42369</v>
      </c>
      <c r="J509" s="3">
        <v>42369</v>
      </c>
      <c r="K509" s="3">
        <v>42429</v>
      </c>
      <c r="L509"/>
      <c r="N509"/>
      <c r="O509" s="4">
        <v>-1191.27</v>
      </c>
      <c r="P509">
        <v>-24</v>
      </c>
      <c r="Q509" s="4">
        <v>28590.48</v>
      </c>
      <c r="R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 s="3">
        <v>42562</v>
      </c>
      <c r="AC509" t="s">
        <v>53</v>
      </c>
      <c r="AD509" t="s">
        <v>53</v>
      </c>
      <c r="AK509">
        <v>0</v>
      </c>
      <c r="AU509" s="3">
        <v>42405</v>
      </c>
      <c r="AV509" s="3">
        <v>42405</v>
      </c>
      <c r="AW509" t="s">
        <v>54</v>
      </c>
      <c r="AX509" t="str">
        <f t="shared" si="56"/>
        <v>FOR</v>
      </c>
      <c r="AY509" t="s">
        <v>55</v>
      </c>
    </row>
    <row r="510" spans="1:51" hidden="1">
      <c r="A510">
        <v>100364</v>
      </c>
      <c r="B510" t="s">
        <v>105</v>
      </c>
      <c r="C510" t="str">
        <f t="shared" si="58"/>
        <v>00212840235</v>
      </c>
      <c r="D510" t="str">
        <f t="shared" si="58"/>
        <v>00212840235</v>
      </c>
      <c r="E510" t="s">
        <v>52</v>
      </c>
      <c r="F510">
        <v>2015</v>
      </c>
      <c r="G510" t="str">
        <f>"     000001015032316"</f>
        <v xml:space="preserve">     000001015032316</v>
      </c>
      <c r="H510" s="3">
        <v>42306</v>
      </c>
      <c r="I510" s="3">
        <v>42310</v>
      </c>
      <c r="J510" s="3">
        <v>42307</v>
      </c>
      <c r="K510" s="3">
        <v>42367</v>
      </c>
      <c r="L510"/>
      <c r="N510"/>
      <c r="O510">
        <v>795.45</v>
      </c>
      <c r="P510">
        <v>38</v>
      </c>
      <c r="Q510" s="4">
        <v>30227.1</v>
      </c>
      <c r="R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 s="3">
        <v>42562</v>
      </c>
      <c r="AC510" t="s">
        <v>53</v>
      </c>
      <c r="AD510" t="s">
        <v>53</v>
      </c>
      <c r="AK510">
        <v>0</v>
      </c>
      <c r="AU510" s="3">
        <v>42405</v>
      </c>
      <c r="AV510" s="3">
        <v>42405</v>
      </c>
      <c r="AW510" t="s">
        <v>54</v>
      </c>
      <c r="AX510" t="str">
        <f t="shared" si="56"/>
        <v>FOR</v>
      </c>
      <c r="AY510" t="s">
        <v>55</v>
      </c>
    </row>
    <row r="511" spans="1:51" hidden="1">
      <c r="A511">
        <v>100371</v>
      </c>
      <c r="B511" t="s">
        <v>106</v>
      </c>
      <c r="C511" t="str">
        <f t="shared" ref="C511:D538" si="59">"11629770154"</f>
        <v>11629770154</v>
      </c>
      <c r="D511" t="str">
        <f t="shared" si="59"/>
        <v>11629770154</v>
      </c>
      <c r="E511" t="s">
        <v>52</v>
      </c>
      <c r="F511">
        <v>2015</v>
      </c>
      <c r="G511" t="str">
        <f>"               55190"</f>
        <v xml:space="preserve">               55190</v>
      </c>
      <c r="H511" s="3">
        <v>42247</v>
      </c>
      <c r="I511" s="3">
        <v>42261</v>
      </c>
      <c r="J511" s="3">
        <v>42257</v>
      </c>
      <c r="K511" s="3">
        <v>42317</v>
      </c>
      <c r="L511"/>
      <c r="N511"/>
      <c r="O511" s="4">
        <v>178062.1</v>
      </c>
      <c r="P511">
        <v>84</v>
      </c>
      <c r="Q511" s="4">
        <v>14957216.4</v>
      </c>
      <c r="R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 s="3">
        <v>42562</v>
      </c>
      <c r="AC511" t="s">
        <v>53</v>
      </c>
      <c r="AD511" t="s">
        <v>53</v>
      </c>
      <c r="AK511">
        <v>0</v>
      </c>
      <c r="AU511" s="3">
        <v>42401</v>
      </c>
      <c r="AV511" s="3">
        <v>42401</v>
      </c>
      <c r="AW511" t="s">
        <v>54</v>
      </c>
      <c r="AX511" t="str">
        <f t="shared" si="56"/>
        <v>FOR</v>
      </c>
      <c r="AY511" t="s">
        <v>55</v>
      </c>
    </row>
    <row r="512" spans="1:51" hidden="1">
      <c r="A512">
        <v>100371</v>
      </c>
      <c r="B512" t="s">
        <v>106</v>
      </c>
      <c r="C512" t="str">
        <f t="shared" si="59"/>
        <v>11629770154</v>
      </c>
      <c r="D512" t="str">
        <f t="shared" si="59"/>
        <v>11629770154</v>
      </c>
      <c r="E512" t="s">
        <v>52</v>
      </c>
      <c r="F512">
        <v>2015</v>
      </c>
      <c r="G512" t="str">
        <f>"               55191"</f>
        <v xml:space="preserve">               55191</v>
      </c>
      <c r="H512" s="3">
        <v>42247</v>
      </c>
      <c r="I512" s="3">
        <v>42261</v>
      </c>
      <c r="J512" s="3">
        <v>42257</v>
      </c>
      <c r="K512" s="3">
        <v>42317</v>
      </c>
      <c r="L512"/>
      <c r="N512"/>
      <c r="O512" s="4">
        <v>1139.24</v>
      </c>
      <c r="P512">
        <v>84</v>
      </c>
      <c r="Q512" s="4">
        <v>95696.16</v>
      </c>
      <c r="R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 s="3">
        <v>42562</v>
      </c>
      <c r="AC512" t="s">
        <v>53</v>
      </c>
      <c r="AD512" t="s">
        <v>53</v>
      </c>
      <c r="AK512">
        <v>0</v>
      </c>
      <c r="AU512" s="3">
        <v>42401</v>
      </c>
      <c r="AV512" s="3">
        <v>42401</v>
      </c>
      <c r="AW512" t="s">
        <v>54</v>
      </c>
      <c r="AX512" t="str">
        <f t="shared" si="56"/>
        <v>FOR</v>
      </c>
      <c r="AY512" t="s">
        <v>55</v>
      </c>
    </row>
    <row r="513" spans="1:51" hidden="1">
      <c r="A513">
        <v>100371</v>
      </c>
      <c r="B513" t="s">
        <v>106</v>
      </c>
      <c r="C513" t="str">
        <f t="shared" si="59"/>
        <v>11629770154</v>
      </c>
      <c r="D513" t="str">
        <f t="shared" si="59"/>
        <v>11629770154</v>
      </c>
      <c r="E513" t="s">
        <v>52</v>
      </c>
      <c r="F513">
        <v>2015</v>
      </c>
      <c r="G513" t="str">
        <f>"               55192"</f>
        <v xml:space="preserve">               55192</v>
      </c>
      <c r="H513" s="3">
        <v>42247</v>
      </c>
      <c r="I513" s="3">
        <v>42261</v>
      </c>
      <c r="J513" s="3">
        <v>42257</v>
      </c>
      <c r="K513" s="3">
        <v>42317</v>
      </c>
      <c r="L513"/>
      <c r="N513"/>
      <c r="O513" s="4">
        <v>48863.79</v>
      </c>
      <c r="P513">
        <v>84</v>
      </c>
      <c r="Q513" s="4">
        <v>4104558.36</v>
      </c>
      <c r="R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 s="3">
        <v>42562</v>
      </c>
      <c r="AC513" t="s">
        <v>53</v>
      </c>
      <c r="AD513" t="s">
        <v>53</v>
      </c>
      <c r="AK513">
        <v>0</v>
      </c>
      <c r="AU513" s="3">
        <v>42401</v>
      </c>
      <c r="AV513" s="3">
        <v>42401</v>
      </c>
      <c r="AW513" t="s">
        <v>54</v>
      </c>
      <c r="AX513" t="str">
        <f t="shared" si="56"/>
        <v>FOR</v>
      </c>
      <c r="AY513" t="s">
        <v>55</v>
      </c>
    </row>
    <row r="514" spans="1:51" hidden="1">
      <c r="A514">
        <v>100371</v>
      </c>
      <c r="B514" t="s">
        <v>106</v>
      </c>
      <c r="C514" t="str">
        <f t="shared" si="59"/>
        <v>11629770154</v>
      </c>
      <c r="D514" t="str">
        <f t="shared" si="59"/>
        <v>11629770154</v>
      </c>
      <c r="E514" t="s">
        <v>52</v>
      </c>
      <c r="F514">
        <v>2015</v>
      </c>
      <c r="G514" t="str">
        <f>"               55193"</f>
        <v xml:space="preserve">               55193</v>
      </c>
      <c r="H514" s="3">
        <v>42247</v>
      </c>
      <c r="I514" s="3">
        <v>42261</v>
      </c>
      <c r="J514" s="3">
        <v>42257</v>
      </c>
      <c r="K514" s="3">
        <v>42317</v>
      </c>
      <c r="L514"/>
      <c r="N514"/>
      <c r="O514" s="4">
        <v>2306.4499999999998</v>
      </c>
      <c r="P514">
        <v>84</v>
      </c>
      <c r="Q514" s="4">
        <v>193741.8</v>
      </c>
      <c r="R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 s="3">
        <v>42562</v>
      </c>
      <c r="AC514" t="s">
        <v>53</v>
      </c>
      <c r="AD514" t="s">
        <v>53</v>
      </c>
      <c r="AK514">
        <v>0</v>
      </c>
      <c r="AU514" s="3">
        <v>42401</v>
      </c>
      <c r="AV514" s="3">
        <v>42401</v>
      </c>
      <c r="AW514" t="s">
        <v>54</v>
      </c>
      <c r="AX514" t="str">
        <f t="shared" si="56"/>
        <v>FOR</v>
      </c>
      <c r="AY514" t="s">
        <v>55</v>
      </c>
    </row>
    <row r="515" spans="1:51" hidden="1">
      <c r="A515">
        <v>100371</v>
      </c>
      <c r="B515" t="s">
        <v>106</v>
      </c>
      <c r="C515" t="str">
        <f t="shared" si="59"/>
        <v>11629770154</v>
      </c>
      <c r="D515" t="str">
        <f t="shared" si="59"/>
        <v>11629770154</v>
      </c>
      <c r="E515" t="s">
        <v>52</v>
      </c>
      <c r="F515">
        <v>2015</v>
      </c>
      <c r="G515" t="str">
        <f>"               55194"</f>
        <v xml:space="preserve">               55194</v>
      </c>
      <c r="H515" s="3">
        <v>42247</v>
      </c>
      <c r="I515" s="3">
        <v>42261</v>
      </c>
      <c r="J515" s="3">
        <v>42257</v>
      </c>
      <c r="K515" s="3">
        <v>42317</v>
      </c>
      <c r="L515"/>
      <c r="N515"/>
      <c r="O515" s="4">
        <v>13020.9</v>
      </c>
      <c r="P515">
        <v>84</v>
      </c>
      <c r="Q515" s="4">
        <v>1093755.6000000001</v>
      </c>
      <c r="R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 s="3">
        <v>42562</v>
      </c>
      <c r="AC515" t="s">
        <v>53</v>
      </c>
      <c r="AD515" t="s">
        <v>53</v>
      </c>
      <c r="AK515">
        <v>0</v>
      </c>
      <c r="AU515" s="3">
        <v>42401</v>
      </c>
      <c r="AV515" s="3">
        <v>42401</v>
      </c>
      <c r="AW515" t="s">
        <v>54</v>
      </c>
      <c r="AX515" t="str">
        <f t="shared" si="56"/>
        <v>FOR</v>
      </c>
      <c r="AY515" t="s">
        <v>55</v>
      </c>
    </row>
    <row r="516" spans="1:51" hidden="1">
      <c r="A516">
        <v>100371</v>
      </c>
      <c r="B516" t="s">
        <v>106</v>
      </c>
      <c r="C516" t="str">
        <f t="shared" si="59"/>
        <v>11629770154</v>
      </c>
      <c r="D516" t="str">
        <f t="shared" si="59"/>
        <v>11629770154</v>
      </c>
      <c r="E516" t="s">
        <v>52</v>
      </c>
      <c r="F516">
        <v>2015</v>
      </c>
      <c r="G516" t="str">
        <f>"               55195"</f>
        <v xml:space="preserve">               55195</v>
      </c>
      <c r="H516" s="3">
        <v>42247</v>
      </c>
      <c r="I516" s="3">
        <v>42261</v>
      </c>
      <c r="J516" s="3">
        <v>42257</v>
      </c>
      <c r="K516" s="3">
        <v>42317</v>
      </c>
      <c r="L516"/>
      <c r="N516"/>
      <c r="O516" s="4">
        <v>3009.25</v>
      </c>
      <c r="P516">
        <v>84</v>
      </c>
      <c r="Q516" s="4">
        <v>252777</v>
      </c>
      <c r="R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 s="3">
        <v>42562</v>
      </c>
      <c r="AC516" t="s">
        <v>53</v>
      </c>
      <c r="AD516" t="s">
        <v>53</v>
      </c>
      <c r="AK516">
        <v>0</v>
      </c>
      <c r="AU516" s="3">
        <v>42401</v>
      </c>
      <c r="AV516" s="3">
        <v>42401</v>
      </c>
      <c r="AW516" t="s">
        <v>54</v>
      </c>
      <c r="AX516" t="str">
        <f t="shared" si="56"/>
        <v>FOR</v>
      </c>
      <c r="AY516" t="s">
        <v>55</v>
      </c>
    </row>
    <row r="517" spans="1:51" hidden="1">
      <c r="A517">
        <v>100371</v>
      </c>
      <c r="B517" t="s">
        <v>106</v>
      </c>
      <c r="C517" t="str">
        <f t="shared" si="59"/>
        <v>11629770154</v>
      </c>
      <c r="D517" t="str">
        <f t="shared" si="59"/>
        <v>11629770154</v>
      </c>
      <c r="E517" t="s">
        <v>52</v>
      </c>
      <c r="F517">
        <v>2015</v>
      </c>
      <c r="G517" t="str">
        <f>"               55316"</f>
        <v xml:space="preserve">               55316</v>
      </c>
      <c r="H517" s="3">
        <v>42247</v>
      </c>
      <c r="I517" s="3">
        <v>42261</v>
      </c>
      <c r="J517" s="3">
        <v>42257</v>
      </c>
      <c r="K517" s="3">
        <v>42317</v>
      </c>
      <c r="L517"/>
      <c r="N517"/>
      <c r="O517" s="4">
        <v>3604.88</v>
      </c>
      <c r="P517">
        <v>84</v>
      </c>
      <c r="Q517" s="4">
        <v>302809.92</v>
      </c>
      <c r="R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 s="3">
        <v>42562</v>
      </c>
      <c r="AC517" t="s">
        <v>53</v>
      </c>
      <c r="AD517" t="s">
        <v>53</v>
      </c>
      <c r="AK517">
        <v>0</v>
      </c>
      <c r="AU517" s="3">
        <v>42401</v>
      </c>
      <c r="AV517" s="3">
        <v>42401</v>
      </c>
      <c r="AW517" t="s">
        <v>54</v>
      </c>
      <c r="AX517" t="str">
        <f t="shared" si="56"/>
        <v>FOR</v>
      </c>
      <c r="AY517" t="s">
        <v>55</v>
      </c>
    </row>
    <row r="518" spans="1:51" hidden="1">
      <c r="A518">
        <v>100371</v>
      </c>
      <c r="B518" t="s">
        <v>106</v>
      </c>
      <c r="C518" t="str">
        <f t="shared" si="59"/>
        <v>11629770154</v>
      </c>
      <c r="D518" t="str">
        <f t="shared" si="59"/>
        <v>11629770154</v>
      </c>
      <c r="E518" t="s">
        <v>52</v>
      </c>
      <c r="F518">
        <v>2015</v>
      </c>
      <c r="G518" t="str">
        <f>"               62535"</f>
        <v xml:space="preserve">               62535</v>
      </c>
      <c r="H518" s="3">
        <v>42277</v>
      </c>
      <c r="I518" s="3">
        <v>42291</v>
      </c>
      <c r="J518" s="3">
        <v>42290</v>
      </c>
      <c r="K518" s="3">
        <v>42350</v>
      </c>
      <c r="L518"/>
      <c r="N518"/>
      <c r="O518" s="4">
        <v>179456.56</v>
      </c>
      <c r="P518">
        <v>80</v>
      </c>
      <c r="Q518" s="4">
        <v>14356524.800000001</v>
      </c>
      <c r="R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 s="3">
        <v>42562</v>
      </c>
      <c r="AC518" t="s">
        <v>53</v>
      </c>
      <c r="AD518" t="s">
        <v>53</v>
      </c>
      <c r="AK518">
        <v>0</v>
      </c>
      <c r="AU518" s="3">
        <v>42430</v>
      </c>
      <c r="AV518" s="3">
        <v>42430</v>
      </c>
      <c r="AW518" t="s">
        <v>54</v>
      </c>
      <c r="AX518" t="str">
        <f t="shared" si="56"/>
        <v>FOR</v>
      </c>
      <c r="AY518" t="s">
        <v>55</v>
      </c>
    </row>
    <row r="519" spans="1:51" hidden="1">
      <c r="A519">
        <v>100371</v>
      </c>
      <c r="B519" t="s">
        <v>106</v>
      </c>
      <c r="C519" t="str">
        <f t="shared" si="59"/>
        <v>11629770154</v>
      </c>
      <c r="D519" t="str">
        <f t="shared" si="59"/>
        <v>11629770154</v>
      </c>
      <c r="E519" t="s">
        <v>52</v>
      </c>
      <c r="F519">
        <v>2015</v>
      </c>
      <c r="G519" t="str">
        <f>"               62543"</f>
        <v xml:space="preserve">               62543</v>
      </c>
      <c r="H519" s="3">
        <v>42277</v>
      </c>
      <c r="I519" s="3">
        <v>42291</v>
      </c>
      <c r="J519" s="3">
        <v>42290</v>
      </c>
      <c r="K519" s="3">
        <v>42350</v>
      </c>
      <c r="L519"/>
      <c r="N519"/>
      <c r="O519" s="4">
        <v>1728.92</v>
      </c>
      <c r="P519">
        <v>80</v>
      </c>
      <c r="Q519" s="4">
        <v>138313.60000000001</v>
      </c>
      <c r="R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 s="3">
        <v>42562</v>
      </c>
      <c r="AC519" t="s">
        <v>53</v>
      </c>
      <c r="AD519" t="s">
        <v>53</v>
      </c>
      <c r="AK519">
        <v>0</v>
      </c>
      <c r="AU519" s="3">
        <v>42430</v>
      </c>
      <c r="AV519" s="3">
        <v>42430</v>
      </c>
      <c r="AW519" t="s">
        <v>54</v>
      </c>
      <c r="AX519" t="str">
        <f t="shared" si="56"/>
        <v>FOR</v>
      </c>
      <c r="AY519" t="s">
        <v>55</v>
      </c>
    </row>
    <row r="520" spans="1:51" hidden="1">
      <c r="A520">
        <v>100371</v>
      </c>
      <c r="B520" t="s">
        <v>106</v>
      </c>
      <c r="C520" t="str">
        <f t="shared" si="59"/>
        <v>11629770154</v>
      </c>
      <c r="D520" t="str">
        <f t="shared" si="59"/>
        <v>11629770154</v>
      </c>
      <c r="E520" t="s">
        <v>52</v>
      </c>
      <c r="F520">
        <v>2015</v>
      </c>
      <c r="G520" t="str">
        <f>"               62544"</f>
        <v xml:space="preserve">               62544</v>
      </c>
      <c r="H520" s="3">
        <v>42277</v>
      </c>
      <c r="I520" s="3">
        <v>42291</v>
      </c>
      <c r="J520" s="3">
        <v>42290</v>
      </c>
      <c r="K520" s="3">
        <v>42350</v>
      </c>
      <c r="L520"/>
      <c r="N520"/>
      <c r="O520" s="4">
        <v>50601.98</v>
      </c>
      <c r="P520">
        <v>80</v>
      </c>
      <c r="Q520" s="4">
        <v>4048158.4</v>
      </c>
      <c r="R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 s="3">
        <v>42562</v>
      </c>
      <c r="AC520" t="s">
        <v>53</v>
      </c>
      <c r="AD520" t="s">
        <v>53</v>
      </c>
      <c r="AK520">
        <v>0</v>
      </c>
      <c r="AU520" s="3">
        <v>42430</v>
      </c>
      <c r="AV520" s="3">
        <v>42430</v>
      </c>
      <c r="AW520" t="s">
        <v>54</v>
      </c>
      <c r="AX520" t="str">
        <f t="shared" si="56"/>
        <v>FOR</v>
      </c>
      <c r="AY520" t="s">
        <v>55</v>
      </c>
    </row>
    <row r="521" spans="1:51" hidden="1">
      <c r="A521">
        <v>100371</v>
      </c>
      <c r="B521" t="s">
        <v>106</v>
      </c>
      <c r="C521" t="str">
        <f t="shared" si="59"/>
        <v>11629770154</v>
      </c>
      <c r="D521" t="str">
        <f t="shared" si="59"/>
        <v>11629770154</v>
      </c>
      <c r="E521" t="s">
        <v>52</v>
      </c>
      <c r="F521">
        <v>2015</v>
      </c>
      <c r="G521" t="str">
        <f>"               62545"</f>
        <v xml:space="preserve">               62545</v>
      </c>
      <c r="H521" s="3">
        <v>42277</v>
      </c>
      <c r="I521" s="3">
        <v>42291</v>
      </c>
      <c r="J521" s="3">
        <v>42290</v>
      </c>
      <c r="K521" s="3">
        <v>42350</v>
      </c>
      <c r="L521"/>
      <c r="N521"/>
      <c r="O521" s="4">
        <v>3874.16</v>
      </c>
      <c r="P521">
        <v>80</v>
      </c>
      <c r="Q521" s="4">
        <v>309932.79999999999</v>
      </c>
      <c r="R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 s="3">
        <v>42562</v>
      </c>
      <c r="AC521" t="s">
        <v>53</v>
      </c>
      <c r="AD521" t="s">
        <v>53</v>
      </c>
      <c r="AK521">
        <v>0</v>
      </c>
      <c r="AU521" s="3">
        <v>42430</v>
      </c>
      <c r="AV521" s="3">
        <v>42430</v>
      </c>
      <c r="AW521" t="s">
        <v>54</v>
      </c>
      <c r="AX521" t="str">
        <f t="shared" si="56"/>
        <v>FOR</v>
      </c>
      <c r="AY521" t="s">
        <v>55</v>
      </c>
    </row>
    <row r="522" spans="1:51" hidden="1">
      <c r="A522">
        <v>100371</v>
      </c>
      <c r="B522" t="s">
        <v>106</v>
      </c>
      <c r="C522" t="str">
        <f t="shared" si="59"/>
        <v>11629770154</v>
      </c>
      <c r="D522" t="str">
        <f t="shared" si="59"/>
        <v>11629770154</v>
      </c>
      <c r="E522" t="s">
        <v>52</v>
      </c>
      <c r="F522">
        <v>2015</v>
      </c>
      <c r="G522" t="str">
        <f>"               62546"</f>
        <v xml:space="preserve">               62546</v>
      </c>
      <c r="H522" s="3">
        <v>42277</v>
      </c>
      <c r="I522" s="3">
        <v>42291</v>
      </c>
      <c r="J522" s="3">
        <v>42290</v>
      </c>
      <c r="K522" s="3">
        <v>42350</v>
      </c>
      <c r="L522"/>
      <c r="N522"/>
      <c r="O522" s="4">
        <v>11448.32</v>
      </c>
      <c r="P522">
        <v>80</v>
      </c>
      <c r="Q522" s="4">
        <v>915865.59999999998</v>
      </c>
      <c r="R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 s="3">
        <v>42562</v>
      </c>
      <c r="AC522" t="s">
        <v>53</v>
      </c>
      <c r="AD522" t="s">
        <v>53</v>
      </c>
      <c r="AK522">
        <v>0</v>
      </c>
      <c r="AU522" s="3">
        <v>42430</v>
      </c>
      <c r="AV522" s="3">
        <v>42430</v>
      </c>
      <c r="AW522" t="s">
        <v>54</v>
      </c>
      <c r="AX522" t="str">
        <f t="shared" ref="AX522:AX538" si="60">"FOR"</f>
        <v>FOR</v>
      </c>
      <c r="AY522" t="s">
        <v>55</v>
      </c>
    </row>
    <row r="523" spans="1:51" hidden="1">
      <c r="A523">
        <v>100371</v>
      </c>
      <c r="B523" t="s">
        <v>106</v>
      </c>
      <c r="C523" t="str">
        <f t="shared" si="59"/>
        <v>11629770154</v>
      </c>
      <c r="D523" t="str">
        <f t="shared" si="59"/>
        <v>11629770154</v>
      </c>
      <c r="E523" t="s">
        <v>52</v>
      </c>
      <c r="F523">
        <v>2015</v>
      </c>
      <c r="G523" t="str">
        <f>"               62547"</f>
        <v xml:space="preserve">               62547</v>
      </c>
      <c r="H523" s="3">
        <v>42277</v>
      </c>
      <c r="I523" s="3">
        <v>42291</v>
      </c>
      <c r="J523" s="3">
        <v>42290</v>
      </c>
      <c r="K523" s="3">
        <v>42350</v>
      </c>
      <c r="L523"/>
      <c r="N523"/>
      <c r="O523" s="4">
        <v>3361.29</v>
      </c>
      <c r="P523">
        <v>80</v>
      </c>
      <c r="Q523" s="4">
        <v>268903.2</v>
      </c>
      <c r="R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 s="3">
        <v>42562</v>
      </c>
      <c r="AC523" t="s">
        <v>53</v>
      </c>
      <c r="AD523" t="s">
        <v>53</v>
      </c>
      <c r="AK523">
        <v>0</v>
      </c>
      <c r="AU523" s="3">
        <v>42430</v>
      </c>
      <c r="AV523" s="3">
        <v>42430</v>
      </c>
      <c r="AW523" t="s">
        <v>54</v>
      </c>
      <c r="AX523" t="str">
        <f t="shared" si="60"/>
        <v>FOR</v>
      </c>
      <c r="AY523" t="s">
        <v>55</v>
      </c>
    </row>
    <row r="524" spans="1:51" hidden="1">
      <c r="A524">
        <v>100371</v>
      </c>
      <c r="B524" t="s">
        <v>106</v>
      </c>
      <c r="C524" t="str">
        <f t="shared" si="59"/>
        <v>11629770154</v>
      </c>
      <c r="D524" t="str">
        <f t="shared" si="59"/>
        <v>11629770154</v>
      </c>
      <c r="E524" t="s">
        <v>52</v>
      </c>
      <c r="F524">
        <v>2015</v>
      </c>
      <c r="G524" t="str">
        <f>"               62643"</f>
        <v xml:space="preserve">               62643</v>
      </c>
      <c r="H524" s="3">
        <v>42277</v>
      </c>
      <c r="I524" s="3">
        <v>42291</v>
      </c>
      <c r="J524" s="3">
        <v>42290</v>
      </c>
      <c r="K524" s="3">
        <v>42350</v>
      </c>
      <c r="L524"/>
      <c r="N524"/>
      <c r="O524" s="4">
        <v>3905.12</v>
      </c>
      <c r="P524">
        <v>80</v>
      </c>
      <c r="Q524" s="4">
        <v>312409.59999999998</v>
      </c>
      <c r="R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 s="3">
        <v>42562</v>
      </c>
      <c r="AC524" t="s">
        <v>53</v>
      </c>
      <c r="AD524" t="s">
        <v>53</v>
      </c>
      <c r="AK524">
        <v>0</v>
      </c>
      <c r="AU524" s="3">
        <v>42430</v>
      </c>
      <c r="AV524" s="3">
        <v>42430</v>
      </c>
      <c r="AW524" t="s">
        <v>54</v>
      </c>
      <c r="AX524" t="str">
        <f t="shared" si="60"/>
        <v>FOR</v>
      </c>
      <c r="AY524" t="s">
        <v>55</v>
      </c>
    </row>
    <row r="525" spans="1:51" hidden="1">
      <c r="A525">
        <v>100371</v>
      </c>
      <c r="B525" t="s">
        <v>106</v>
      </c>
      <c r="C525" t="str">
        <f t="shared" si="59"/>
        <v>11629770154</v>
      </c>
      <c r="D525" t="str">
        <f t="shared" si="59"/>
        <v>11629770154</v>
      </c>
      <c r="E525" t="s">
        <v>52</v>
      </c>
      <c r="F525">
        <v>2015</v>
      </c>
      <c r="G525" t="str">
        <f>"               70210"</f>
        <v xml:space="preserve">               70210</v>
      </c>
      <c r="H525" s="3">
        <v>42308</v>
      </c>
      <c r="I525" s="3">
        <v>42320</v>
      </c>
      <c r="J525" s="3">
        <v>42319</v>
      </c>
      <c r="K525" s="3">
        <v>42379</v>
      </c>
      <c r="L525"/>
      <c r="N525"/>
      <c r="O525" s="4">
        <v>185143.39</v>
      </c>
      <c r="P525">
        <v>74</v>
      </c>
      <c r="Q525" s="4">
        <v>13700610.859999999</v>
      </c>
      <c r="R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 s="3">
        <v>42562</v>
      </c>
      <c r="AC525" t="s">
        <v>53</v>
      </c>
      <c r="AD525" t="s">
        <v>53</v>
      </c>
      <c r="AK525">
        <v>0</v>
      </c>
      <c r="AU525" s="3">
        <v>42453</v>
      </c>
      <c r="AV525" s="3">
        <v>42453</v>
      </c>
      <c r="AW525" t="s">
        <v>54</v>
      </c>
      <c r="AX525" t="str">
        <f t="shared" si="60"/>
        <v>FOR</v>
      </c>
      <c r="AY525" t="s">
        <v>55</v>
      </c>
    </row>
    <row r="526" spans="1:51" hidden="1">
      <c r="A526">
        <v>100371</v>
      </c>
      <c r="B526" t="s">
        <v>106</v>
      </c>
      <c r="C526" t="str">
        <f t="shared" si="59"/>
        <v>11629770154</v>
      </c>
      <c r="D526" t="str">
        <f t="shared" si="59"/>
        <v>11629770154</v>
      </c>
      <c r="E526" t="s">
        <v>52</v>
      </c>
      <c r="F526">
        <v>2015</v>
      </c>
      <c r="G526" t="str">
        <f>"               70211"</f>
        <v xml:space="preserve">               70211</v>
      </c>
      <c r="H526" s="3">
        <v>42308</v>
      </c>
      <c r="I526" s="3">
        <v>42320</v>
      </c>
      <c r="J526" s="3">
        <v>42319</v>
      </c>
      <c r="K526" s="3">
        <v>42379</v>
      </c>
      <c r="L526"/>
      <c r="N526"/>
      <c r="O526" s="4">
        <v>1581.5</v>
      </c>
      <c r="P526">
        <v>74</v>
      </c>
      <c r="Q526" s="4">
        <v>117031</v>
      </c>
      <c r="R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 s="3">
        <v>42562</v>
      </c>
      <c r="AC526" t="s">
        <v>53</v>
      </c>
      <c r="AD526" t="s">
        <v>53</v>
      </c>
      <c r="AK526">
        <v>0</v>
      </c>
      <c r="AU526" s="3">
        <v>42453</v>
      </c>
      <c r="AV526" s="3">
        <v>42453</v>
      </c>
      <c r="AW526" t="s">
        <v>54</v>
      </c>
      <c r="AX526" t="str">
        <f t="shared" si="60"/>
        <v>FOR</v>
      </c>
      <c r="AY526" t="s">
        <v>55</v>
      </c>
    </row>
    <row r="527" spans="1:51" hidden="1">
      <c r="A527">
        <v>100371</v>
      </c>
      <c r="B527" t="s">
        <v>106</v>
      </c>
      <c r="C527" t="str">
        <f t="shared" si="59"/>
        <v>11629770154</v>
      </c>
      <c r="D527" t="str">
        <f t="shared" si="59"/>
        <v>11629770154</v>
      </c>
      <c r="E527" t="s">
        <v>52</v>
      </c>
      <c r="F527">
        <v>2015</v>
      </c>
      <c r="G527" t="str">
        <f>"               70212"</f>
        <v xml:space="preserve">               70212</v>
      </c>
      <c r="H527" s="3">
        <v>42308</v>
      </c>
      <c r="I527" s="3">
        <v>42320</v>
      </c>
      <c r="J527" s="3">
        <v>42319</v>
      </c>
      <c r="K527" s="3">
        <v>42379</v>
      </c>
      <c r="L527"/>
      <c r="N527"/>
      <c r="O527" s="4">
        <v>52503.13</v>
      </c>
      <c r="P527">
        <v>74</v>
      </c>
      <c r="Q527" s="4">
        <v>3885231.62</v>
      </c>
      <c r="R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 s="3">
        <v>42562</v>
      </c>
      <c r="AC527" t="s">
        <v>53</v>
      </c>
      <c r="AD527" t="s">
        <v>53</v>
      </c>
      <c r="AK527">
        <v>0</v>
      </c>
      <c r="AU527" s="3">
        <v>42453</v>
      </c>
      <c r="AV527" s="3">
        <v>42453</v>
      </c>
      <c r="AW527" t="s">
        <v>54</v>
      </c>
      <c r="AX527" t="str">
        <f t="shared" si="60"/>
        <v>FOR</v>
      </c>
      <c r="AY527" t="s">
        <v>55</v>
      </c>
    </row>
    <row r="528" spans="1:51" hidden="1">
      <c r="A528">
        <v>100371</v>
      </c>
      <c r="B528" t="s">
        <v>106</v>
      </c>
      <c r="C528" t="str">
        <f t="shared" si="59"/>
        <v>11629770154</v>
      </c>
      <c r="D528" t="str">
        <f t="shared" si="59"/>
        <v>11629770154</v>
      </c>
      <c r="E528" t="s">
        <v>52</v>
      </c>
      <c r="F528">
        <v>2015</v>
      </c>
      <c r="G528" t="str">
        <f>"               70224"</f>
        <v xml:space="preserve">               70224</v>
      </c>
      <c r="H528" s="3">
        <v>42308</v>
      </c>
      <c r="I528" s="3">
        <v>42320</v>
      </c>
      <c r="J528" s="3">
        <v>42319</v>
      </c>
      <c r="K528" s="3">
        <v>42379</v>
      </c>
      <c r="L528"/>
      <c r="N528"/>
      <c r="O528" s="4">
        <v>3397.52</v>
      </c>
      <c r="P528">
        <v>74</v>
      </c>
      <c r="Q528" s="4">
        <v>251416.48</v>
      </c>
      <c r="R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 s="3">
        <v>42562</v>
      </c>
      <c r="AC528" t="s">
        <v>53</v>
      </c>
      <c r="AD528" t="s">
        <v>53</v>
      </c>
      <c r="AK528">
        <v>0</v>
      </c>
      <c r="AU528" s="3">
        <v>42453</v>
      </c>
      <c r="AV528" s="3">
        <v>42453</v>
      </c>
      <c r="AW528" t="s">
        <v>54</v>
      </c>
      <c r="AX528" t="str">
        <f t="shared" si="60"/>
        <v>FOR</v>
      </c>
      <c r="AY528" t="s">
        <v>55</v>
      </c>
    </row>
    <row r="529" spans="1:51" hidden="1">
      <c r="A529">
        <v>100371</v>
      </c>
      <c r="B529" t="s">
        <v>106</v>
      </c>
      <c r="C529" t="str">
        <f t="shared" si="59"/>
        <v>11629770154</v>
      </c>
      <c r="D529" t="str">
        <f t="shared" si="59"/>
        <v>11629770154</v>
      </c>
      <c r="E529" t="s">
        <v>52</v>
      </c>
      <c r="F529">
        <v>2015</v>
      </c>
      <c r="G529" t="str">
        <f>"               70225"</f>
        <v xml:space="preserve">               70225</v>
      </c>
      <c r="H529" s="3">
        <v>42308</v>
      </c>
      <c r="I529" s="3">
        <v>42320</v>
      </c>
      <c r="J529" s="3">
        <v>42319</v>
      </c>
      <c r="K529" s="3">
        <v>42379</v>
      </c>
      <c r="L529"/>
      <c r="N529"/>
      <c r="O529" s="4">
        <v>11345.2</v>
      </c>
      <c r="P529">
        <v>74</v>
      </c>
      <c r="Q529" s="4">
        <v>839544.8</v>
      </c>
      <c r="R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 s="3">
        <v>42562</v>
      </c>
      <c r="AC529" t="s">
        <v>53</v>
      </c>
      <c r="AD529" t="s">
        <v>53</v>
      </c>
      <c r="AK529">
        <v>0</v>
      </c>
      <c r="AU529" s="3">
        <v>42453</v>
      </c>
      <c r="AV529" s="3">
        <v>42453</v>
      </c>
      <c r="AW529" t="s">
        <v>54</v>
      </c>
      <c r="AX529" t="str">
        <f t="shared" si="60"/>
        <v>FOR</v>
      </c>
      <c r="AY529" t="s">
        <v>55</v>
      </c>
    </row>
    <row r="530" spans="1:51" hidden="1">
      <c r="A530">
        <v>100371</v>
      </c>
      <c r="B530" t="s">
        <v>106</v>
      </c>
      <c r="C530" t="str">
        <f t="shared" si="59"/>
        <v>11629770154</v>
      </c>
      <c r="D530" t="str">
        <f t="shared" si="59"/>
        <v>11629770154</v>
      </c>
      <c r="E530" t="s">
        <v>52</v>
      </c>
      <c r="F530">
        <v>2015</v>
      </c>
      <c r="G530" t="str">
        <f>"               70226"</f>
        <v xml:space="preserve">               70226</v>
      </c>
      <c r="H530" s="3">
        <v>42308</v>
      </c>
      <c r="I530" s="3">
        <v>42320</v>
      </c>
      <c r="J530" s="3">
        <v>42319</v>
      </c>
      <c r="K530" s="3">
        <v>42379</v>
      </c>
      <c r="L530"/>
      <c r="N530"/>
      <c r="O530" s="4">
        <v>3539.49</v>
      </c>
      <c r="P530">
        <v>74</v>
      </c>
      <c r="Q530" s="4">
        <v>261922.26</v>
      </c>
      <c r="R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 s="3">
        <v>42562</v>
      </c>
      <c r="AC530" t="s">
        <v>53</v>
      </c>
      <c r="AD530" t="s">
        <v>53</v>
      </c>
      <c r="AK530">
        <v>0</v>
      </c>
      <c r="AU530" s="3">
        <v>42453</v>
      </c>
      <c r="AV530" s="3">
        <v>42453</v>
      </c>
      <c r="AW530" t="s">
        <v>54</v>
      </c>
      <c r="AX530" t="str">
        <f t="shared" si="60"/>
        <v>FOR</v>
      </c>
      <c r="AY530" t="s">
        <v>55</v>
      </c>
    </row>
    <row r="531" spans="1:51" hidden="1">
      <c r="A531">
        <v>100371</v>
      </c>
      <c r="B531" t="s">
        <v>106</v>
      </c>
      <c r="C531" t="str">
        <f t="shared" si="59"/>
        <v>11629770154</v>
      </c>
      <c r="D531" t="str">
        <f t="shared" si="59"/>
        <v>11629770154</v>
      </c>
      <c r="E531" t="s">
        <v>52</v>
      </c>
      <c r="F531">
        <v>2015</v>
      </c>
      <c r="G531" t="str">
        <f>"               70392"</f>
        <v xml:space="preserve">               70392</v>
      </c>
      <c r="H531" s="3">
        <v>42308</v>
      </c>
      <c r="I531" s="3">
        <v>42320</v>
      </c>
      <c r="J531" s="3">
        <v>42319</v>
      </c>
      <c r="K531" s="3">
        <v>42379</v>
      </c>
      <c r="L531"/>
      <c r="N531"/>
      <c r="O531" s="4">
        <v>4042.73</v>
      </c>
      <c r="P531">
        <v>74</v>
      </c>
      <c r="Q531" s="4">
        <v>299162.02</v>
      </c>
      <c r="R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 s="3">
        <v>42562</v>
      </c>
      <c r="AC531" t="s">
        <v>53</v>
      </c>
      <c r="AD531" t="s">
        <v>53</v>
      </c>
      <c r="AK531">
        <v>0</v>
      </c>
      <c r="AU531" s="3">
        <v>42453</v>
      </c>
      <c r="AV531" s="3">
        <v>42453</v>
      </c>
      <c r="AW531" t="s">
        <v>54</v>
      </c>
      <c r="AX531" t="str">
        <f t="shared" si="60"/>
        <v>FOR</v>
      </c>
      <c r="AY531" t="s">
        <v>55</v>
      </c>
    </row>
    <row r="532" spans="1:51">
      <c r="A532">
        <v>100371</v>
      </c>
      <c r="B532" t="s">
        <v>106</v>
      </c>
      <c r="C532" t="str">
        <f t="shared" si="59"/>
        <v>11629770154</v>
      </c>
      <c r="D532" t="str">
        <f t="shared" si="59"/>
        <v>11629770154</v>
      </c>
      <c r="E532" t="s">
        <v>52</v>
      </c>
      <c r="F532">
        <v>2015</v>
      </c>
      <c r="G532" t="str">
        <f>"               77785"</f>
        <v xml:space="preserve">               77785</v>
      </c>
      <c r="H532" s="3">
        <v>42338</v>
      </c>
      <c r="I532" s="3">
        <v>42352</v>
      </c>
      <c r="J532" s="3">
        <v>42350</v>
      </c>
      <c r="K532" s="3">
        <v>42410</v>
      </c>
      <c r="L532" s="5">
        <v>4055.24</v>
      </c>
      <c r="M532">
        <v>118</v>
      </c>
      <c r="N532" s="5">
        <v>478518.32</v>
      </c>
      <c r="O532" s="4">
        <v>4055.24</v>
      </c>
      <c r="P532">
        <v>118</v>
      </c>
      <c r="Q532" s="4">
        <v>478518.32</v>
      </c>
      <c r="R532">
        <v>32.43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 s="3">
        <v>42562</v>
      </c>
      <c r="AC532" t="s">
        <v>53</v>
      </c>
      <c r="AD532" t="s">
        <v>53</v>
      </c>
      <c r="AI532">
        <v>32.43</v>
      </c>
      <c r="AK532">
        <v>0</v>
      </c>
      <c r="AU532" s="3">
        <v>42528</v>
      </c>
      <c r="AV532" s="3">
        <v>42528</v>
      </c>
      <c r="AW532" t="s">
        <v>54</v>
      </c>
      <c r="AX532" t="str">
        <f t="shared" si="60"/>
        <v>FOR</v>
      </c>
      <c r="AY532" t="s">
        <v>55</v>
      </c>
    </row>
    <row r="533" spans="1:51">
      <c r="A533">
        <v>100371</v>
      </c>
      <c r="B533" t="s">
        <v>106</v>
      </c>
      <c r="C533" t="str">
        <f t="shared" si="59"/>
        <v>11629770154</v>
      </c>
      <c r="D533" t="str">
        <f t="shared" si="59"/>
        <v>11629770154</v>
      </c>
      <c r="E533" t="s">
        <v>52</v>
      </c>
      <c r="F533">
        <v>2015</v>
      </c>
      <c r="G533" t="str">
        <f>"               77786"</f>
        <v xml:space="preserve">               77786</v>
      </c>
      <c r="H533" s="3">
        <v>42338</v>
      </c>
      <c r="I533" s="3">
        <v>42352</v>
      </c>
      <c r="J533" s="3">
        <v>42350</v>
      </c>
      <c r="K533" s="3">
        <v>42410</v>
      </c>
      <c r="L533" s="5">
        <v>3068.65</v>
      </c>
      <c r="M533">
        <v>118</v>
      </c>
      <c r="N533" s="5">
        <v>362100.7</v>
      </c>
      <c r="O533" s="4">
        <v>3068.65</v>
      </c>
      <c r="P533">
        <v>118</v>
      </c>
      <c r="Q533" s="4">
        <v>362100.7</v>
      </c>
      <c r="R533">
        <v>23.1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 s="3">
        <v>42562</v>
      </c>
      <c r="AC533" t="s">
        <v>53</v>
      </c>
      <c r="AD533" t="s">
        <v>53</v>
      </c>
      <c r="AI533">
        <v>23.1</v>
      </c>
      <c r="AK533">
        <v>0</v>
      </c>
      <c r="AU533" s="3">
        <v>42528</v>
      </c>
      <c r="AV533" s="3">
        <v>42528</v>
      </c>
      <c r="AW533" t="s">
        <v>54</v>
      </c>
      <c r="AX533" t="str">
        <f t="shared" si="60"/>
        <v>FOR</v>
      </c>
      <c r="AY533" t="s">
        <v>55</v>
      </c>
    </row>
    <row r="534" spans="1:51">
      <c r="A534">
        <v>100371</v>
      </c>
      <c r="B534" t="s">
        <v>106</v>
      </c>
      <c r="C534" t="str">
        <f t="shared" si="59"/>
        <v>11629770154</v>
      </c>
      <c r="D534" t="str">
        <f t="shared" si="59"/>
        <v>11629770154</v>
      </c>
      <c r="E534" t="s">
        <v>52</v>
      </c>
      <c r="F534">
        <v>2015</v>
      </c>
      <c r="G534" t="str">
        <f>"               77787"</f>
        <v xml:space="preserve">               77787</v>
      </c>
      <c r="H534" s="3">
        <v>42338</v>
      </c>
      <c r="I534" s="3">
        <v>42352</v>
      </c>
      <c r="J534" s="3">
        <v>42350</v>
      </c>
      <c r="K534" s="3">
        <v>42410</v>
      </c>
      <c r="L534" s="5">
        <v>3020.24</v>
      </c>
      <c r="M534">
        <v>118</v>
      </c>
      <c r="N534" s="5">
        <v>356388.32</v>
      </c>
      <c r="O534" s="4">
        <v>3020.24</v>
      </c>
      <c r="P534">
        <v>118</v>
      </c>
      <c r="Q534" s="4">
        <v>356388.32</v>
      </c>
      <c r="R534">
        <v>24.39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 s="3">
        <v>42562</v>
      </c>
      <c r="AC534" t="s">
        <v>53</v>
      </c>
      <c r="AD534" t="s">
        <v>53</v>
      </c>
      <c r="AI534">
        <v>24.39</v>
      </c>
      <c r="AK534">
        <v>0</v>
      </c>
      <c r="AU534" s="3">
        <v>42528</v>
      </c>
      <c r="AV534" s="3">
        <v>42528</v>
      </c>
      <c r="AW534" t="s">
        <v>54</v>
      </c>
      <c r="AX534" t="str">
        <f t="shared" si="60"/>
        <v>FOR</v>
      </c>
      <c r="AY534" t="s">
        <v>55</v>
      </c>
    </row>
    <row r="535" spans="1:51">
      <c r="A535">
        <v>100371</v>
      </c>
      <c r="B535" t="s">
        <v>106</v>
      </c>
      <c r="C535" t="str">
        <f t="shared" si="59"/>
        <v>11629770154</v>
      </c>
      <c r="D535" t="str">
        <f t="shared" si="59"/>
        <v>11629770154</v>
      </c>
      <c r="E535" t="s">
        <v>52</v>
      </c>
      <c r="F535">
        <v>2015</v>
      </c>
      <c r="G535" t="str">
        <f>"               77788"</f>
        <v xml:space="preserve">               77788</v>
      </c>
      <c r="H535" s="3">
        <v>42338</v>
      </c>
      <c r="I535" s="3">
        <v>42352</v>
      </c>
      <c r="J535" s="3">
        <v>42350</v>
      </c>
      <c r="K535" s="3">
        <v>42410</v>
      </c>
      <c r="L535" s="5">
        <v>51318.59</v>
      </c>
      <c r="M535">
        <v>118</v>
      </c>
      <c r="N535" s="5">
        <v>6055593.6200000001</v>
      </c>
      <c r="O535" s="4">
        <v>51318.59</v>
      </c>
      <c r="P535">
        <v>118</v>
      </c>
      <c r="Q535" s="4">
        <v>6055593.6200000001</v>
      </c>
      <c r="R535">
        <v>371.85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 s="3">
        <v>42562</v>
      </c>
      <c r="AC535" t="s">
        <v>53</v>
      </c>
      <c r="AD535" t="s">
        <v>53</v>
      </c>
      <c r="AI535">
        <v>371.85</v>
      </c>
      <c r="AK535">
        <v>0</v>
      </c>
      <c r="AU535" s="3">
        <v>42528</v>
      </c>
      <c r="AV535" s="3">
        <v>42528</v>
      </c>
      <c r="AW535" t="s">
        <v>54</v>
      </c>
      <c r="AX535" t="str">
        <f t="shared" si="60"/>
        <v>FOR</v>
      </c>
      <c r="AY535" t="s">
        <v>55</v>
      </c>
    </row>
    <row r="536" spans="1:51">
      <c r="A536">
        <v>100371</v>
      </c>
      <c r="B536" t="s">
        <v>106</v>
      </c>
      <c r="C536" t="str">
        <f t="shared" si="59"/>
        <v>11629770154</v>
      </c>
      <c r="D536" t="str">
        <f t="shared" si="59"/>
        <v>11629770154</v>
      </c>
      <c r="E536" t="s">
        <v>52</v>
      </c>
      <c r="F536">
        <v>2015</v>
      </c>
      <c r="G536" t="str">
        <f>"               77789"</f>
        <v xml:space="preserve">               77789</v>
      </c>
      <c r="H536" s="3">
        <v>42338</v>
      </c>
      <c r="I536" s="3">
        <v>42352</v>
      </c>
      <c r="J536" s="3">
        <v>42350</v>
      </c>
      <c r="K536" s="3">
        <v>42410</v>
      </c>
      <c r="L536" s="5">
        <v>1623.62</v>
      </c>
      <c r="M536">
        <v>118</v>
      </c>
      <c r="N536" s="5">
        <v>191587.16</v>
      </c>
      <c r="O536" s="4">
        <v>1623.62</v>
      </c>
      <c r="P536">
        <v>118</v>
      </c>
      <c r="Q536" s="4">
        <v>191587.16</v>
      </c>
      <c r="R536">
        <v>13.04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 s="3">
        <v>42562</v>
      </c>
      <c r="AC536" t="s">
        <v>53</v>
      </c>
      <c r="AD536" t="s">
        <v>53</v>
      </c>
      <c r="AI536">
        <v>13.04</v>
      </c>
      <c r="AK536">
        <v>0</v>
      </c>
      <c r="AU536" s="3">
        <v>42528</v>
      </c>
      <c r="AV536" s="3">
        <v>42528</v>
      </c>
      <c r="AW536" t="s">
        <v>54</v>
      </c>
      <c r="AX536" t="str">
        <f t="shared" si="60"/>
        <v>FOR</v>
      </c>
      <c r="AY536" t="s">
        <v>55</v>
      </c>
    </row>
    <row r="537" spans="1:51">
      <c r="A537">
        <v>100371</v>
      </c>
      <c r="B537" t="s">
        <v>106</v>
      </c>
      <c r="C537" t="str">
        <f t="shared" si="59"/>
        <v>11629770154</v>
      </c>
      <c r="D537" t="str">
        <f t="shared" si="59"/>
        <v>11629770154</v>
      </c>
      <c r="E537" t="s">
        <v>52</v>
      </c>
      <c r="F537">
        <v>2015</v>
      </c>
      <c r="G537" t="str">
        <f>"               77790"</f>
        <v xml:space="preserve">               77790</v>
      </c>
      <c r="H537" s="3">
        <v>42338</v>
      </c>
      <c r="I537" s="3">
        <v>42352</v>
      </c>
      <c r="J537" s="3">
        <v>42350</v>
      </c>
      <c r="K537" s="3">
        <v>42410</v>
      </c>
      <c r="L537" s="5">
        <v>177893.09</v>
      </c>
      <c r="M537">
        <v>118</v>
      </c>
      <c r="N537" s="5">
        <v>20991384.620000001</v>
      </c>
      <c r="O537" s="4">
        <v>177893.09</v>
      </c>
      <c r="P537">
        <v>118</v>
      </c>
      <c r="Q537" s="4">
        <v>20991384.620000001</v>
      </c>
      <c r="R537" s="4">
        <v>1025.2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 s="3">
        <v>42562</v>
      </c>
      <c r="AC537" t="s">
        <v>53</v>
      </c>
      <c r="AD537" t="s">
        <v>53</v>
      </c>
      <c r="AI537" s="4">
        <v>1025.2</v>
      </c>
      <c r="AK537">
        <v>0</v>
      </c>
      <c r="AU537" s="3">
        <v>42528</v>
      </c>
      <c r="AV537" s="3">
        <v>42528</v>
      </c>
      <c r="AW537" t="s">
        <v>54</v>
      </c>
      <c r="AX537" t="str">
        <f t="shared" si="60"/>
        <v>FOR</v>
      </c>
      <c r="AY537" t="s">
        <v>55</v>
      </c>
    </row>
    <row r="538" spans="1:51">
      <c r="A538">
        <v>100371</v>
      </c>
      <c r="B538" t="s">
        <v>106</v>
      </c>
      <c r="C538" t="str">
        <f t="shared" si="59"/>
        <v>11629770154</v>
      </c>
      <c r="D538" t="str">
        <f t="shared" si="59"/>
        <v>11629770154</v>
      </c>
      <c r="E538" t="s">
        <v>52</v>
      </c>
      <c r="F538">
        <v>2015</v>
      </c>
      <c r="G538" t="str">
        <f>"               77791"</f>
        <v xml:space="preserve">               77791</v>
      </c>
      <c r="H538" s="3">
        <v>42338</v>
      </c>
      <c r="I538" s="3">
        <v>42352</v>
      </c>
      <c r="J538" s="3">
        <v>42350</v>
      </c>
      <c r="K538" s="3">
        <v>42410</v>
      </c>
      <c r="L538" s="5">
        <v>11551.44</v>
      </c>
      <c r="M538">
        <v>118</v>
      </c>
      <c r="N538" s="5">
        <v>1363069.92</v>
      </c>
      <c r="O538" s="4">
        <v>11551.44</v>
      </c>
      <c r="P538">
        <v>118</v>
      </c>
      <c r="Q538" s="4">
        <v>1363069.92</v>
      </c>
      <c r="R538">
        <v>83.78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 s="3">
        <v>42562</v>
      </c>
      <c r="AC538" t="s">
        <v>53</v>
      </c>
      <c r="AD538" t="s">
        <v>53</v>
      </c>
      <c r="AI538">
        <v>83.78</v>
      </c>
      <c r="AK538">
        <v>0</v>
      </c>
      <c r="AU538" s="3">
        <v>42528</v>
      </c>
      <c r="AV538" s="3">
        <v>42528</v>
      </c>
      <c r="AW538" t="s">
        <v>54</v>
      </c>
      <c r="AX538" t="str">
        <f t="shared" si="60"/>
        <v>FOR</v>
      </c>
      <c r="AY538" t="s">
        <v>55</v>
      </c>
    </row>
    <row r="539" spans="1:51" hidden="1">
      <c r="A539">
        <v>100378</v>
      </c>
      <c r="B539" t="s">
        <v>107</v>
      </c>
      <c r="C539" t="str">
        <f t="shared" ref="C539:C544" si="61">"01351760622"</f>
        <v>01351760622</v>
      </c>
      <c r="D539" t="str">
        <f t="shared" ref="D539:D544" si="62">"FCCSLV74H65A783W"</f>
        <v>FCCSLV74H65A783W</v>
      </c>
      <c r="E539" t="s">
        <v>52</v>
      </c>
      <c r="F539">
        <v>2016</v>
      </c>
      <c r="G539" t="str">
        <f>"         FATTPA 1_16"</f>
        <v xml:space="preserve">         FATTPA 1_16</v>
      </c>
      <c r="H539" s="3">
        <v>42381</v>
      </c>
      <c r="I539" s="3">
        <v>42388</v>
      </c>
      <c r="J539" s="3">
        <v>42384</v>
      </c>
      <c r="K539" s="3">
        <v>42444</v>
      </c>
      <c r="L539"/>
      <c r="N539"/>
      <c r="O539" s="4">
        <v>2277.7800000000002</v>
      </c>
      <c r="P539">
        <v>-47</v>
      </c>
      <c r="Q539" s="4">
        <v>-107055.66</v>
      </c>
      <c r="R539">
        <v>0</v>
      </c>
      <c r="V539">
        <v>0</v>
      </c>
      <c r="W539">
        <v>0</v>
      </c>
      <c r="X539">
        <v>0</v>
      </c>
      <c r="Y539">
        <v>-568.94000000000005</v>
      </c>
      <c r="Z539" s="4">
        <v>2277.7800000000002</v>
      </c>
      <c r="AA539" s="4">
        <v>2277.7800000000002</v>
      </c>
      <c r="AB539" s="3">
        <v>42562</v>
      </c>
      <c r="AC539" t="s">
        <v>53</v>
      </c>
      <c r="AD539" t="s">
        <v>53</v>
      </c>
      <c r="AK539">
        <v>0</v>
      </c>
      <c r="AU539" s="3">
        <v>42397</v>
      </c>
      <c r="AV539" s="3">
        <v>42397</v>
      </c>
      <c r="AW539" t="s">
        <v>54</v>
      </c>
      <c r="AX539" t="str">
        <f t="shared" ref="AX539:AX544" si="63">"ALTPRO"</f>
        <v>ALTPRO</v>
      </c>
      <c r="AY539" t="s">
        <v>93</v>
      </c>
    </row>
    <row r="540" spans="1:51" hidden="1">
      <c r="A540">
        <v>100378</v>
      </c>
      <c r="B540" t="s">
        <v>107</v>
      </c>
      <c r="C540" t="str">
        <f t="shared" si="61"/>
        <v>01351760622</v>
      </c>
      <c r="D540" t="str">
        <f t="shared" si="62"/>
        <v>FCCSLV74H65A783W</v>
      </c>
      <c r="E540" t="s">
        <v>52</v>
      </c>
      <c r="F540">
        <v>2016</v>
      </c>
      <c r="G540" t="str">
        <f>"         FATTPA 2_16"</f>
        <v xml:space="preserve">         FATTPA 2_16</v>
      </c>
      <c r="H540" s="3">
        <v>42389</v>
      </c>
      <c r="I540" s="3">
        <v>42390</v>
      </c>
      <c r="J540" s="3">
        <v>42390</v>
      </c>
      <c r="K540" s="3">
        <v>42450</v>
      </c>
      <c r="L540"/>
      <c r="N540"/>
      <c r="O540" s="4">
        <v>2109.1999999999998</v>
      </c>
      <c r="P540">
        <v>-53</v>
      </c>
      <c r="Q540" s="4">
        <v>-111787.6</v>
      </c>
      <c r="R540">
        <v>0</v>
      </c>
      <c r="V540">
        <v>0</v>
      </c>
      <c r="W540">
        <v>0</v>
      </c>
      <c r="X540">
        <v>0</v>
      </c>
      <c r="Y540">
        <v>-526.79999999999995</v>
      </c>
      <c r="Z540" s="4">
        <v>2109.1999999999998</v>
      </c>
      <c r="AA540" s="4">
        <v>2109.1999999999998</v>
      </c>
      <c r="AB540" s="3">
        <v>42562</v>
      </c>
      <c r="AC540" t="s">
        <v>53</v>
      </c>
      <c r="AD540" t="s">
        <v>53</v>
      </c>
      <c r="AK540">
        <v>0</v>
      </c>
      <c r="AU540" s="3">
        <v>42397</v>
      </c>
      <c r="AV540" s="3">
        <v>42397</v>
      </c>
      <c r="AW540" t="s">
        <v>54</v>
      </c>
      <c r="AX540" t="str">
        <f t="shared" si="63"/>
        <v>ALTPRO</v>
      </c>
      <c r="AY540" t="s">
        <v>93</v>
      </c>
    </row>
    <row r="541" spans="1:51" hidden="1">
      <c r="A541">
        <v>100378</v>
      </c>
      <c r="B541" t="s">
        <v>107</v>
      </c>
      <c r="C541" t="str">
        <f t="shared" si="61"/>
        <v>01351760622</v>
      </c>
      <c r="D541" t="str">
        <f t="shared" si="62"/>
        <v>FCCSLV74H65A783W</v>
      </c>
      <c r="E541" t="s">
        <v>52</v>
      </c>
      <c r="F541">
        <v>2016</v>
      </c>
      <c r="G541" t="str">
        <f>"         FATTPA 3_16"</f>
        <v xml:space="preserve">         FATTPA 3_16</v>
      </c>
      <c r="H541" s="3">
        <v>42391</v>
      </c>
      <c r="I541" s="3">
        <v>42394</v>
      </c>
      <c r="J541" s="3">
        <v>42391</v>
      </c>
      <c r="K541" s="3">
        <v>42451</v>
      </c>
      <c r="L541"/>
      <c r="N541"/>
      <c r="O541" s="4">
        <v>2024.91</v>
      </c>
      <c r="P541">
        <v>-54</v>
      </c>
      <c r="Q541" s="4">
        <v>-109345.14</v>
      </c>
      <c r="R541">
        <v>0</v>
      </c>
      <c r="V541">
        <v>0</v>
      </c>
      <c r="W541">
        <v>0</v>
      </c>
      <c r="X541">
        <v>0</v>
      </c>
      <c r="Y541">
        <v>-505.73</v>
      </c>
      <c r="Z541" s="4">
        <v>2024.91</v>
      </c>
      <c r="AA541" s="4">
        <v>2024.91</v>
      </c>
      <c r="AB541" s="3">
        <v>42562</v>
      </c>
      <c r="AC541" t="s">
        <v>53</v>
      </c>
      <c r="AD541" t="s">
        <v>53</v>
      </c>
      <c r="AK541">
        <v>0</v>
      </c>
      <c r="AU541" s="3">
        <v>42397</v>
      </c>
      <c r="AV541" s="3">
        <v>42397</v>
      </c>
      <c r="AW541" t="s">
        <v>54</v>
      </c>
      <c r="AX541" t="str">
        <f t="shared" si="63"/>
        <v>ALTPRO</v>
      </c>
      <c r="AY541" t="s">
        <v>93</v>
      </c>
    </row>
    <row r="542" spans="1:51">
      <c r="A542">
        <v>100378</v>
      </c>
      <c r="B542" t="s">
        <v>107</v>
      </c>
      <c r="C542" t="str">
        <f t="shared" si="61"/>
        <v>01351760622</v>
      </c>
      <c r="D542" t="str">
        <f t="shared" si="62"/>
        <v>FCCSLV74H65A783W</v>
      </c>
      <c r="E542" t="s">
        <v>52</v>
      </c>
      <c r="F542">
        <v>2016</v>
      </c>
      <c r="G542" t="str">
        <f>"         FATTPA 4_16"</f>
        <v xml:space="preserve">         FATTPA 4_16</v>
      </c>
      <c r="H542" s="3">
        <v>42468</v>
      </c>
      <c r="I542" s="3">
        <v>42472</v>
      </c>
      <c r="J542" s="3">
        <v>42471</v>
      </c>
      <c r="K542" s="3">
        <v>42531</v>
      </c>
      <c r="L542" s="5">
        <v>2024.91</v>
      </c>
      <c r="M542">
        <v>-44</v>
      </c>
      <c r="N542" s="5">
        <v>-89096.04</v>
      </c>
      <c r="O542" s="4">
        <v>2024.91</v>
      </c>
      <c r="P542">
        <v>-44</v>
      </c>
      <c r="Q542" s="4">
        <v>-89096.04</v>
      </c>
      <c r="R542">
        <v>0</v>
      </c>
      <c r="V542">
        <v>-505.73</v>
      </c>
      <c r="W542" s="4">
        <v>2024.91</v>
      </c>
      <c r="X542" s="4">
        <v>2024.91</v>
      </c>
      <c r="Y542" s="4">
        <v>2024.91</v>
      </c>
      <c r="Z542" s="4">
        <v>2024.91</v>
      </c>
      <c r="AA542" s="4">
        <v>2024.91</v>
      </c>
      <c r="AB542" s="3">
        <v>42562</v>
      </c>
      <c r="AC542" t="s">
        <v>53</v>
      </c>
      <c r="AD542" t="s">
        <v>53</v>
      </c>
      <c r="AK542">
        <v>0</v>
      </c>
      <c r="AU542" s="3">
        <v>42487</v>
      </c>
      <c r="AV542" s="3">
        <v>42487</v>
      </c>
      <c r="AW542" t="s">
        <v>54</v>
      </c>
      <c r="AX542" t="str">
        <f t="shared" si="63"/>
        <v>ALTPRO</v>
      </c>
      <c r="AY542" t="s">
        <v>93</v>
      </c>
    </row>
    <row r="543" spans="1:51">
      <c r="A543">
        <v>100378</v>
      </c>
      <c r="B543" t="s">
        <v>107</v>
      </c>
      <c r="C543" t="str">
        <f t="shared" si="61"/>
        <v>01351760622</v>
      </c>
      <c r="D543" t="str">
        <f t="shared" si="62"/>
        <v>FCCSLV74H65A783W</v>
      </c>
      <c r="E543" t="s">
        <v>52</v>
      </c>
      <c r="F543">
        <v>2016</v>
      </c>
      <c r="G543" t="str">
        <f>"         FATTPA 5_16"</f>
        <v xml:space="preserve">         FATTPA 5_16</v>
      </c>
      <c r="H543" s="3">
        <v>42472</v>
      </c>
      <c r="I543" s="3">
        <v>42472</v>
      </c>
      <c r="J543" s="3">
        <v>42472</v>
      </c>
      <c r="K543" s="3">
        <v>42532</v>
      </c>
      <c r="L543" s="5">
        <v>2109.1999999999998</v>
      </c>
      <c r="M543">
        <v>-45</v>
      </c>
      <c r="N543" s="5">
        <v>-94914</v>
      </c>
      <c r="O543" s="4">
        <v>2109.1999999999998</v>
      </c>
      <c r="P543">
        <v>-45</v>
      </c>
      <c r="Q543" s="4">
        <v>-94914</v>
      </c>
      <c r="R543">
        <v>0</v>
      </c>
      <c r="V543">
        <v>-526.79999999999995</v>
      </c>
      <c r="W543" s="4">
        <v>2109.1999999999998</v>
      </c>
      <c r="X543" s="4">
        <v>2109.1999999999998</v>
      </c>
      <c r="Y543" s="4">
        <v>2109.1999999999998</v>
      </c>
      <c r="Z543" s="4">
        <v>2109.1999999999998</v>
      </c>
      <c r="AA543" s="4">
        <v>2109.1999999999998</v>
      </c>
      <c r="AB543" s="3">
        <v>42562</v>
      </c>
      <c r="AC543" t="s">
        <v>53</v>
      </c>
      <c r="AD543" t="s">
        <v>53</v>
      </c>
      <c r="AK543">
        <v>0</v>
      </c>
      <c r="AU543" s="3">
        <v>42487</v>
      </c>
      <c r="AV543" s="3">
        <v>42487</v>
      </c>
      <c r="AW543" t="s">
        <v>54</v>
      </c>
      <c r="AX543" t="str">
        <f t="shared" si="63"/>
        <v>ALTPRO</v>
      </c>
      <c r="AY543" t="s">
        <v>93</v>
      </c>
    </row>
    <row r="544" spans="1:51">
      <c r="A544">
        <v>100378</v>
      </c>
      <c r="B544" t="s">
        <v>107</v>
      </c>
      <c r="C544" t="str">
        <f t="shared" si="61"/>
        <v>01351760622</v>
      </c>
      <c r="D544" t="str">
        <f t="shared" si="62"/>
        <v>FCCSLV74H65A783W</v>
      </c>
      <c r="E544" t="s">
        <v>52</v>
      </c>
      <c r="F544">
        <v>2016</v>
      </c>
      <c r="G544" t="str">
        <f>"         FATTPA 6_16"</f>
        <v xml:space="preserve">         FATTPA 6_16</v>
      </c>
      <c r="H544" s="3">
        <v>42473</v>
      </c>
      <c r="I544" s="3">
        <v>42475</v>
      </c>
      <c r="J544" s="3">
        <v>42473</v>
      </c>
      <c r="K544" s="3">
        <v>42533</v>
      </c>
      <c r="L544" s="5">
        <v>2193.4899999999998</v>
      </c>
      <c r="M544">
        <v>-46</v>
      </c>
      <c r="N544" s="5">
        <v>-100900.54</v>
      </c>
      <c r="O544" s="4">
        <v>2193.4899999999998</v>
      </c>
      <c r="P544">
        <v>-46</v>
      </c>
      <c r="Q544" s="4">
        <v>-100900.54</v>
      </c>
      <c r="R544">
        <v>0</v>
      </c>
      <c r="V544">
        <v>-547.87</v>
      </c>
      <c r="W544" s="4">
        <v>2193.4899999999998</v>
      </c>
      <c r="X544" s="4">
        <v>2193.4899999999998</v>
      </c>
      <c r="Y544" s="4">
        <v>2193.4899999999998</v>
      </c>
      <c r="Z544" s="4">
        <v>2193.4899999999998</v>
      </c>
      <c r="AA544" s="4">
        <v>2193.4899999999998</v>
      </c>
      <c r="AB544" s="3">
        <v>42562</v>
      </c>
      <c r="AC544" t="s">
        <v>53</v>
      </c>
      <c r="AD544" t="s">
        <v>53</v>
      </c>
      <c r="AK544">
        <v>0</v>
      </c>
      <c r="AU544" s="3">
        <v>42487</v>
      </c>
      <c r="AV544" s="3">
        <v>42487</v>
      </c>
      <c r="AW544" t="s">
        <v>54</v>
      </c>
      <c r="AX544" t="str">
        <f t="shared" si="63"/>
        <v>ALTPRO</v>
      </c>
      <c r="AY544" t="s">
        <v>93</v>
      </c>
    </row>
    <row r="545" spans="1:51" hidden="1">
      <c r="A545">
        <v>100384</v>
      </c>
      <c r="B545" t="s">
        <v>108</v>
      </c>
      <c r="C545" t="str">
        <f>"04874990155"</f>
        <v>04874990155</v>
      </c>
      <c r="D545" t="str">
        <f>"04874990155"</f>
        <v>04874990155</v>
      </c>
      <c r="E545" t="s">
        <v>52</v>
      </c>
      <c r="F545">
        <v>2015</v>
      </c>
      <c r="G545" t="str">
        <f>"                3405"</f>
        <v xml:space="preserve">                3405</v>
      </c>
      <c r="H545" s="3">
        <v>42076</v>
      </c>
      <c r="I545" s="3">
        <v>42102</v>
      </c>
      <c r="J545" s="3">
        <v>42102</v>
      </c>
      <c r="K545" s="3">
        <v>42162</v>
      </c>
      <c r="L545"/>
      <c r="N545"/>
      <c r="O545">
        <v>111.35</v>
      </c>
      <c r="P545">
        <v>253</v>
      </c>
      <c r="Q545" s="4">
        <v>28171.55</v>
      </c>
      <c r="R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 s="3">
        <v>42562</v>
      </c>
      <c r="AC545" t="s">
        <v>53</v>
      </c>
      <c r="AD545" t="s">
        <v>53</v>
      </c>
      <c r="AK545">
        <v>0</v>
      </c>
      <c r="AU545" s="3">
        <v>42415</v>
      </c>
      <c r="AV545" s="3">
        <v>42415</v>
      </c>
      <c r="AW545" t="s">
        <v>54</v>
      </c>
      <c r="AX545" t="str">
        <f t="shared" ref="AX545:AX588" si="64">"FOR"</f>
        <v>FOR</v>
      </c>
      <c r="AY545" t="s">
        <v>55</v>
      </c>
    </row>
    <row r="546" spans="1:51" hidden="1">
      <c r="A546">
        <v>100385</v>
      </c>
      <c r="B546" t="s">
        <v>109</v>
      </c>
      <c r="C546" t="str">
        <f>"06037901003"</f>
        <v>06037901003</v>
      </c>
      <c r="D546" t="str">
        <f>"06037901003"</f>
        <v>06037901003</v>
      </c>
      <c r="E546" t="s">
        <v>52</v>
      </c>
      <c r="F546">
        <v>2015</v>
      </c>
      <c r="G546" t="str">
        <f>"                1438"</f>
        <v xml:space="preserve">                1438</v>
      </c>
      <c r="H546" s="3">
        <v>42053</v>
      </c>
      <c r="I546" s="3">
        <v>42067</v>
      </c>
      <c r="J546" s="3">
        <v>42067</v>
      </c>
      <c r="K546" s="3">
        <v>42127</v>
      </c>
      <c r="L546"/>
      <c r="N546"/>
      <c r="O546" s="4">
        <v>1588.4</v>
      </c>
      <c r="P546">
        <v>277</v>
      </c>
      <c r="Q546" s="4">
        <v>439986.8</v>
      </c>
      <c r="R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 s="3">
        <v>42562</v>
      </c>
      <c r="AC546" t="s">
        <v>53</v>
      </c>
      <c r="AD546" t="s">
        <v>53</v>
      </c>
      <c r="AK546">
        <v>0</v>
      </c>
      <c r="AU546" s="3">
        <v>42404</v>
      </c>
      <c r="AV546" s="3">
        <v>42404</v>
      </c>
      <c r="AW546" t="s">
        <v>54</v>
      </c>
      <c r="AX546" t="str">
        <f t="shared" si="64"/>
        <v>FOR</v>
      </c>
      <c r="AY546" t="s">
        <v>55</v>
      </c>
    </row>
    <row r="547" spans="1:51" hidden="1">
      <c r="A547">
        <v>100385</v>
      </c>
      <c r="B547" t="s">
        <v>109</v>
      </c>
      <c r="C547" t="str">
        <f>"06037901003"</f>
        <v>06037901003</v>
      </c>
      <c r="D547" t="str">
        <f>"06037901003"</f>
        <v>06037901003</v>
      </c>
      <c r="E547" t="s">
        <v>52</v>
      </c>
      <c r="F547">
        <v>2015</v>
      </c>
      <c r="G547" t="str">
        <f>"                3912"</f>
        <v xml:space="preserve">                3912</v>
      </c>
      <c r="H547" s="3">
        <v>42139</v>
      </c>
      <c r="I547" s="3">
        <v>42160</v>
      </c>
      <c r="J547" s="3">
        <v>42152</v>
      </c>
      <c r="K547" s="3">
        <v>42212</v>
      </c>
      <c r="L547"/>
      <c r="N547"/>
      <c r="O547" s="4">
        <v>1588.4</v>
      </c>
      <c r="P547">
        <v>240</v>
      </c>
      <c r="Q547" s="4">
        <v>381216</v>
      </c>
      <c r="R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 s="3">
        <v>42562</v>
      </c>
      <c r="AC547" t="s">
        <v>53</v>
      </c>
      <c r="AD547" t="s">
        <v>53</v>
      </c>
      <c r="AK547">
        <v>0</v>
      </c>
      <c r="AU547" s="3">
        <v>42452</v>
      </c>
      <c r="AV547" s="3">
        <v>42452</v>
      </c>
      <c r="AW547" t="s">
        <v>54</v>
      </c>
      <c r="AX547" t="str">
        <f t="shared" si="64"/>
        <v>FOR</v>
      </c>
      <c r="AY547" t="s">
        <v>55</v>
      </c>
    </row>
    <row r="548" spans="1:51" hidden="1">
      <c r="A548">
        <v>100386</v>
      </c>
      <c r="B548" t="s">
        <v>110</v>
      </c>
      <c r="C548" t="str">
        <f t="shared" ref="C548:D554" si="65">"00737420158"</f>
        <v>00737420158</v>
      </c>
      <c r="D548" t="str">
        <f t="shared" si="65"/>
        <v>00737420158</v>
      </c>
      <c r="E548" t="s">
        <v>52</v>
      </c>
      <c r="F548">
        <v>2015</v>
      </c>
      <c r="G548" t="str">
        <f>"             1503899"</f>
        <v xml:space="preserve">             1503899</v>
      </c>
      <c r="H548" s="3">
        <v>42060</v>
      </c>
      <c r="I548" s="3">
        <v>42097</v>
      </c>
      <c r="J548" s="3">
        <v>42097</v>
      </c>
      <c r="K548" s="3">
        <v>42157</v>
      </c>
      <c r="L548"/>
      <c r="N548"/>
      <c r="O548">
        <v>270</v>
      </c>
      <c r="P548">
        <v>251</v>
      </c>
      <c r="Q548" s="4">
        <v>67770</v>
      </c>
      <c r="R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 s="3">
        <v>42562</v>
      </c>
      <c r="AC548" t="s">
        <v>53</v>
      </c>
      <c r="AD548" t="s">
        <v>53</v>
      </c>
      <c r="AK548">
        <v>0</v>
      </c>
      <c r="AU548" s="3">
        <v>42408</v>
      </c>
      <c r="AV548" s="3">
        <v>42408</v>
      </c>
      <c r="AW548" t="s">
        <v>54</v>
      </c>
      <c r="AX548" t="str">
        <f t="shared" si="64"/>
        <v>FOR</v>
      </c>
      <c r="AY548" t="s">
        <v>55</v>
      </c>
    </row>
    <row r="549" spans="1:51" hidden="1">
      <c r="A549">
        <v>100386</v>
      </c>
      <c r="B549" t="s">
        <v>110</v>
      </c>
      <c r="C549" t="str">
        <f t="shared" si="65"/>
        <v>00737420158</v>
      </c>
      <c r="D549" t="str">
        <f t="shared" si="65"/>
        <v>00737420158</v>
      </c>
      <c r="E549" t="s">
        <v>52</v>
      </c>
      <c r="F549">
        <v>2015</v>
      </c>
      <c r="G549" t="str">
        <f>"             1511641"</f>
        <v xml:space="preserve">             1511641</v>
      </c>
      <c r="H549" s="3">
        <v>42118</v>
      </c>
      <c r="I549" s="3">
        <v>42128</v>
      </c>
      <c r="J549" s="3">
        <v>42125</v>
      </c>
      <c r="K549" s="3">
        <v>42185</v>
      </c>
      <c r="L549"/>
      <c r="N549"/>
      <c r="O549">
        <v>180</v>
      </c>
      <c r="P549">
        <v>246</v>
      </c>
      <c r="Q549" s="4">
        <v>44280</v>
      </c>
      <c r="R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 s="3">
        <v>42562</v>
      </c>
      <c r="AC549" t="s">
        <v>53</v>
      </c>
      <c r="AD549" t="s">
        <v>53</v>
      </c>
      <c r="AK549">
        <v>0</v>
      </c>
      <c r="AU549" s="3">
        <v>42431</v>
      </c>
      <c r="AV549" s="3">
        <v>42431</v>
      </c>
      <c r="AW549" t="s">
        <v>54</v>
      </c>
      <c r="AX549" t="str">
        <f t="shared" si="64"/>
        <v>FOR</v>
      </c>
      <c r="AY549" t="s">
        <v>55</v>
      </c>
    </row>
    <row r="550" spans="1:51" hidden="1">
      <c r="A550">
        <v>100386</v>
      </c>
      <c r="B550" t="s">
        <v>110</v>
      </c>
      <c r="C550" t="str">
        <f t="shared" si="65"/>
        <v>00737420158</v>
      </c>
      <c r="D550" t="str">
        <f t="shared" si="65"/>
        <v>00737420158</v>
      </c>
      <c r="E550" t="s">
        <v>52</v>
      </c>
      <c r="F550">
        <v>2015</v>
      </c>
      <c r="G550" t="str">
        <f>"             1512369"</f>
        <v xml:space="preserve">             1512369</v>
      </c>
      <c r="H550" s="3">
        <v>42124</v>
      </c>
      <c r="I550" s="3">
        <v>42131</v>
      </c>
      <c r="J550" s="3">
        <v>42130</v>
      </c>
      <c r="K550" s="3">
        <v>42190</v>
      </c>
      <c r="L550"/>
      <c r="N550"/>
      <c r="O550">
        <v>180</v>
      </c>
      <c r="P550">
        <v>241</v>
      </c>
      <c r="Q550" s="4">
        <v>43380</v>
      </c>
      <c r="R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 s="3">
        <v>42562</v>
      </c>
      <c r="AC550" t="s">
        <v>53</v>
      </c>
      <c r="AD550" t="s">
        <v>53</v>
      </c>
      <c r="AK550">
        <v>0</v>
      </c>
      <c r="AU550" s="3">
        <v>42431</v>
      </c>
      <c r="AV550" s="3">
        <v>42431</v>
      </c>
      <c r="AW550" t="s">
        <v>54</v>
      </c>
      <c r="AX550" t="str">
        <f t="shared" si="64"/>
        <v>FOR</v>
      </c>
      <c r="AY550" t="s">
        <v>55</v>
      </c>
    </row>
    <row r="551" spans="1:51">
      <c r="A551">
        <v>100386</v>
      </c>
      <c r="B551" t="s">
        <v>110</v>
      </c>
      <c r="C551" t="str">
        <f t="shared" si="65"/>
        <v>00737420158</v>
      </c>
      <c r="D551" t="str">
        <f t="shared" si="65"/>
        <v>00737420158</v>
      </c>
      <c r="E551" t="s">
        <v>52</v>
      </c>
      <c r="F551">
        <v>2015</v>
      </c>
      <c r="G551" t="str">
        <f>"             1515588"</f>
        <v xml:space="preserve">             1515588</v>
      </c>
      <c r="H551" s="3">
        <v>42159</v>
      </c>
      <c r="I551" s="3">
        <v>42165</v>
      </c>
      <c r="J551" s="3">
        <v>42164</v>
      </c>
      <c r="K551" s="3">
        <v>42224</v>
      </c>
      <c r="L551" s="1">
        <v>620</v>
      </c>
      <c r="M551">
        <v>303</v>
      </c>
      <c r="N551" s="5">
        <v>187860</v>
      </c>
      <c r="O551">
        <v>620</v>
      </c>
      <c r="P551">
        <v>303</v>
      </c>
      <c r="Q551" s="4">
        <v>187860</v>
      </c>
      <c r="R551">
        <v>62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 s="3">
        <v>42562</v>
      </c>
      <c r="AC551" t="s">
        <v>53</v>
      </c>
      <c r="AD551" t="s">
        <v>53</v>
      </c>
      <c r="AK551">
        <v>62</v>
      </c>
      <c r="AU551" s="3">
        <v>42527</v>
      </c>
      <c r="AV551" s="3">
        <v>42527</v>
      </c>
      <c r="AW551" t="s">
        <v>54</v>
      </c>
      <c r="AX551" t="str">
        <f t="shared" si="64"/>
        <v>FOR</v>
      </c>
      <c r="AY551" t="s">
        <v>55</v>
      </c>
    </row>
    <row r="552" spans="1:51">
      <c r="A552">
        <v>100386</v>
      </c>
      <c r="B552" t="s">
        <v>110</v>
      </c>
      <c r="C552" t="str">
        <f t="shared" si="65"/>
        <v>00737420158</v>
      </c>
      <c r="D552" t="str">
        <f t="shared" si="65"/>
        <v>00737420158</v>
      </c>
      <c r="E552" t="s">
        <v>52</v>
      </c>
      <c r="F552">
        <v>2015</v>
      </c>
      <c r="G552" t="str">
        <f>"             1515979"</f>
        <v xml:space="preserve">             1515979</v>
      </c>
      <c r="H552" s="3">
        <v>42163</v>
      </c>
      <c r="I552" s="3">
        <v>42167</v>
      </c>
      <c r="J552" s="3">
        <v>42166</v>
      </c>
      <c r="K552" s="3">
        <v>42226</v>
      </c>
      <c r="L552" s="1">
        <v>387.5</v>
      </c>
      <c r="M552">
        <v>301</v>
      </c>
      <c r="N552" s="5">
        <v>116637.5</v>
      </c>
      <c r="O552">
        <v>387.5</v>
      </c>
      <c r="P552">
        <v>301</v>
      </c>
      <c r="Q552" s="4">
        <v>116637.5</v>
      </c>
      <c r="R552">
        <v>38.75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 s="3">
        <v>42562</v>
      </c>
      <c r="AC552" t="s">
        <v>53</v>
      </c>
      <c r="AD552" t="s">
        <v>53</v>
      </c>
      <c r="AK552">
        <v>38.75</v>
      </c>
      <c r="AU552" s="3">
        <v>42527</v>
      </c>
      <c r="AV552" s="3">
        <v>42527</v>
      </c>
      <c r="AW552" t="s">
        <v>54</v>
      </c>
      <c r="AX552" t="str">
        <f t="shared" si="64"/>
        <v>FOR</v>
      </c>
      <c r="AY552" t="s">
        <v>55</v>
      </c>
    </row>
    <row r="553" spans="1:51">
      <c r="A553">
        <v>100386</v>
      </c>
      <c r="B553" t="s">
        <v>110</v>
      </c>
      <c r="C553" t="str">
        <f t="shared" si="65"/>
        <v>00737420158</v>
      </c>
      <c r="D553" t="str">
        <f t="shared" si="65"/>
        <v>00737420158</v>
      </c>
      <c r="E553" t="s">
        <v>52</v>
      </c>
      <c r="F553">
        <v>2015</v>
      </c>
      <c r="G553" t="str">
        <f>"             1517223"</f>
        <v xml:space="preserve">             1517223</v>
      </c>
      <c r="H553" s="3">
        <v>42174</v>
      </c>
      <c r="I553" s="3">
        <v>42185</v>
      </c>
      <c r="J553" s="3">
        <v>42181</v>
      </c>
      <c r="K553" s="3">
        <v>42241</v>
      </c>
      <c r="L553" s="1">
        <v>108.5</v>
      </c>
      <c r="M553">
        <v>286</v>
      </c>
      <c r="N553" s="5">
        <v>31031</v>
      </c>
      <c r="O553">
        <v>108.5</v>
      </c>
      <c r="P553">
        <v>286</v>
      </c>
      <c r="Q553" s="4">
        <v>31031</v>
      </c>
      <c r="R553">
        <v>10.85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 s="3">
        <v>42562</v>
      </c>
      <c r="AC553" t="s">
        <v>53</v>
      </c>
      <c r="AD553" t="s">
        <v>53</v>
      </c>
      <c r="AK553">
        <v>10.85</v>
      </c>
      <c r="AU553" s="3">
        <v>42527</v>
      </c>
      <c r="AV553" s="3">
        <v>42527</v>
      </c>
      <c r="AW553" t="s">
        <v>54</v>
      </c>
      <c r="AX553" t="str">
        <f t="shared" si="64"/>
        <v>FOR</v>
      </c>
      <c r="AY553" t="s">
        <v>55</v>
      </c>
    </row>
    <row r="554" spans="1:51">
      <c r="A554">
        <v>100386</v>
      </c>
      <c r="B554" t="s">
        <v>110</v>
      </c>
      <c r="C554" t="str">
        <f t="shared" si="65"/>
        <v>00737420158</v>
      </c>
      <c r="D554" t="str">
        <f t="shared" si="65"/>
        <v>00737420158</v>
      </c>
      <c r="E554" t="s">
        <v>52</v>
      </c>
      <c r="F554">
        <v>2015</v>
      </c>
      <c r="G554" t="str">
        <f>"             1517942"</f>
        <v xml:space="preserve">             1517942</v>
      </c>
      <c r="H554" s="3">
        <v>42181</v>
      </c>
      <c r="I554" s="3">
        <v>42191</v>
      </c>
      <c r="J554" s="3">
        <v>42184</v>
      </c>
      <c r="K554" s="3">
        <v>42244</v>
      </c>
      <c r="L554" s="1">
        <v>620</v>
      </c>
      <c r="M554">
        <v>283</v>
      </c>
      <c r="N554" s="5">
        <v>175460</v>
      </c>
      <c r="O554">
        <v>620</v>
      </c>
      <c r="P554">
        <v>283</v>
      </c>
      <c r="Q554" s="4">
        <v>175460</v>
      </c>
      <c r="R554">
        <v>62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 s="3">
        <v>42562</v>
      </c>
      <c r="AC554" t="s">
        <v>53</v>
      </c>
      <c r="AD554" t="s">
        <v>53</v>
      </c>
      <c r="AK554">
        <v>62</v>
      </c>
      <c r="AU554" s="3">
        <v>42527</v>
      </c>
      <c r="AV554" s="3">
        <v>42527</v>
      </c>
      <c r="AW554" t="s">
        <v>54</v>
      </c>
      <c r="AX554" t="str">
        <f t="shared" si="64"/>
        <v>FOR</v>
      </c>
      <c r="AY554" t="s">
        <v>55</v>
      </c>
    </row>
    <row r="555" spans="1:51">
      <c r="A555">
        <v>100398</v>
      </c>
      <c r="B555" t="s">
        <v>111</v>
      </c>
      <c r="C555" t="str">
        <f t="shared" ref="C555:D557" si="66">"03663160962"</f>
        <v>03663160962</v>
      </c>
      <c r="D555" t="str">
        <f t="shared" si="66"/>
        <v>03663160962</v>
      </c>
      <c r="E555" t="s">
        <v>52</v>
      </c>
      <c r="F555">
        <v>2015</v>
      </c>
      <c r="G555" t="str">
        <f>"             1507635"</f>
        <v xml:space="preserve">             1507635</v>
      </c>
      <c r="H555" s="3">
        <v>42201</v>
      </c>
      <c r="I555" s="3">
        <v>42219</v>
      </c>
      <c r="J555" s="3">
        <v>42207</v>
      </c>
      <c r="K555" s="3">
        <v>42267</v>
      </c>
      <c r="L555" s="1">
        <v>958.77</v>
      </c>
      <c r="M555">
        <v>253</v>
      </c>
      <c r="N555" s="5">
        <v>242568.81</v>
      </c>
      <c r="O555">
        <v>958.77</v>
      </c>
      <c r="P555">
        <v>253</v>
      </c>
      <c r="Q555" s="4">
        <v>242568.81</v>
      </c>
      <c r="R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 s="3">
        <v>42562</v>
      </c>
      <c r="AC555" t="s">
        <v>53</v>
      </c>
      <c r="AD555" t="s">
        <v>53</v>
      </c>
      <c r="AK555">
        <v>0</v>
      </c>
      <c r="AU555" s="3">
        <v>42520</v>
      </c>
      <c r="AV555" s="3">
        <v>42520</v>
      </c>
      <c r="AW555" t="s">
        <v>54</v>
      </c>
      <c r="AX555" t="str">
        <f t="shared" si="64"/>
        <v>FOR</v>
      </c>
      <c r="AY555" t="s">
        <v>55</v>
      </c>
    </row>
    <row r="556" spans="1:51">
      <c r="A556">
        <v>100398</v>
      </c>
      <c r="B556" t="s">
        <v>111</v>
      </c>
      <c r="C556" t="str">
        <f t="shared" si="66"/>
        <v>03663160962</v>
      </c>
      <c r="D556" t="str">
        <f t="shared" si="66"/>
        <v>03663160962</v>
      </c>
      <c r="E556" t="s">
        <v>52</v>
      </c>
      <c r="F556">
        <v>2015</v>
      </c>
      <c r="G556" t="str">
        <f>"             1508098"</f>
        <v xml:space="preserve">             1508098</v>
      </c>
      <c r="H556" s="3">
        <v>42212</v>
      </c>
      <c r="I556" s="3">
        <v>42223</v>
      </c>
      <c r="J556" s="3">
        <v>42214</v>
      </c>
      <c r="K556" s="3">
        <v>42274</v>
      </c>
      <c r="L556" s="5">
        <v>1917.54</v>
      </c>
      <c r="M556">
        <v>246</v>
      </c>
      <c r="N556" s="5">
        <v>471714.84</v>
      </c>
      <c r="O556" s="4">
        <v>1917.54</v>
      </c>
      <c r="P556">
        <v>246</v>
      </c>
      <c r="Q556" s="4">
        <v>471714.84</v>
      </c>
      <c r="R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 s="3">
        <v>42562</v>
      </c>
      <c r="AC556" t="s">
        <v>53</v>
      </c>
      <c r="AD556" t="s">
        <v>53</v>
      </c>
      <c r="AK556">
        <v>0</v>
      </c>
      <c r="AU556" s="3">
        <v>42520</v>
      </c>
      <c r="AV556" s="3">
        <v>42520</v>
      </c>
      <c r="AW556" t="s">
        <v>54</v>
      </c>
      <c r="AX556" t="str">
        <f t="shared" si="64"/>
        <v>FOR</v>
      </c>
      <c r="AY556" t="s">
        <v>55</v>
      </c>
    </row>
    <row r="557" spans="1:51">
      <c r="A557">
        <v>100398</v>
      </c>
      <c r="B557" t="s">
        <v>111</v>
      </c>
      <c r="C557" t="str">
        <f t="shared" si="66"/>
        <v>03663160962</v>
      </c>
      <c r="D557" t="str">
        <f t="shared" si="66"/>
        <v>03663160962</v>
      </c>
      <c r="E557" t="s">
        <v>52</v>
      </c>
      <c r="F557">
        <v>2015</v>
      </c>
      <c r="G557" t="str">
        <f>"             1510084"</f>
        <v xml:space="preserve">             1510084</v>
      </c>
      <c r="H557" s="3">
        <v>42268</v>
      </c>
      <c r="I557" s="3">
        <v>42270</v>
      </c>
      <c r="J557" s="3">
        <v>42269</v>
      </c>
      <c r="K557" s="3">
        <v>42329</v>
      </c>
      <c r="L557" s="1">
        <v>958.77</v>
      </c>
      <c r="M557">
        <v>191</v>
      </c>
      <c r="N557" s="5">
        <v>183125.07</v>
      </c>
      <c r="O557">
        <v>958.77</v>
      </c>
      <c r="P557">
        <v>191</v>
      </c>
      <c r="Q557" s="4">
        <v>183125.07</v>
      </c>
      <c r="R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 s="3">
        <v>42562</v>
      </c>
      <c r="AC557" t="s">
        <v>53</v>
      </c>
      <c r="AD557" t="s">
        <v>53</v>
      </c>
      <c r="AK557">
        <v>0</v>
      </c>
      <c r="AU557" s="3">
        <v>42520</v>
      </c>
      <c r="AV557" s="3">
        <v>42520</v>
      </c>
      <c r="AW557" t="s">
        <v>54</v>
      </c>
      <c r="AX557" t="str">
        <f t="shared" si="64"/>
        <v>FOR</v>
      </c>
      <c r="AY557" t="s">
        <v>55</v>
      </c>
    </row>
    <row r="558" spans="1:51" hidden="1">
      <c r="A558">
        <v>100408</v>
      </c>
      <c r="B558" t="s">
        <v>112</v>
      </c>
      <c r="C558" t="str">
        <f>"04090050966"</f>
        <v>04090050966</v>
      </c>
      <c r="D558" t="str">
        <f>"04090050966"</f>
        <v>04090050966</v>
      </c>
      <c r="E558" t="s">
        <v>52</v>
      </c>
      <c r="F558">
        <v>2015</v>
      </c>
      <c r="G558" t="str">
        <f>"               00160"</f>
        <v xml:space="preserve">               00160</v>
      </c>
      <c r="H558" s="3">
        <v>42248</v>
      </c>
      <c r="I558" s="3">
        <v>42250</v>
      </c>
      <c r="J558" s="3">
        <v>42249</v>
      </c>
      <c r="K558" s="3">
        <v>42309</v>
      </c>
      <c r="L558"/>
      <c r="N558"/>
      <c r="O558" s="4">
        <v>1500</v>
      </c>
      <c r="P558">
        <v>92</v>
      </c>
      <c r="Q558" s="4">
        <v>138000</v>
      </c>
      <c r="R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 s="3">
        <v>42562</v>
      </c>
      <c r="AC558" t="s">
        <v>53</v>
      </c>
      <c r="AD558" t="s">
        <v>53</v>
      </c>
      <c r="AK558">
        <v>0</v>
      </c>
      <c r="AU558" s="3">
        <v>42401</v>
      </c>
      <c r="AV558" s="3">
        <v>42401</v>
      </c>
      <c r="AW558" t="s">
        <v>54</v>
      </c>
      <c r="AX558" t="str">
        <f t="shared" si="64"/>
        <v>FOR</v>
      </c>
      <c r="AY558" t="s">
        <v>55</v>
      </c>
    </row>
    <row r="559" spans="1:51" hidden="1">
      <c r="A559">
        <v>100419</v>
      </c>
      <c r="B559" t="s">
        <v>113</v>
      </c>
      <c r="C559" t="str">
        <f t="shared" ref="C559:D564" si="67">"04874470968"</f>
        <v>04874470968</v>
      </c>
      <c r="D559" t="str">
        <f t="shared" si="67"/>
        <v>04874470968</v>
      </c>
      <c r="E559" t="s">
        <v>52</v>
      </c>
      <c r="F559">
        <v>2015</v>
      </c>
      <c r="G559" t="str">
        <f>"        20150942 /PA"</f>
        <v xml:space="preserve">        20150942 /PA</v>
      </c>
      <c r="H559" s="3">
        <v>42303</v>
      </c>
      <c r="I559" s="3">
        <v>42306</v>
      </c>
      <c r="J559" s="3">
        <v>42304</v>
      </c>
      <c r="K559" s="3">
        <v>42364</v>
      </c>
      <c r="L559"/>
      <c r="N559"/>
      <c r="O559" s="4">
        <v>3566.3</v>
      </c>
      <c r="P559">
        <v>67</v>
      </c>
      <c r="Q559" s="4">
        <v>238942.1</v>
      </c>
      <c r="R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 s="3">
        <v>42562</v>
      </c>
      <c r="AC559" t="s">
        <v>53</v>
      </c>
      <c r="AD559" t="s">
        <v>53</v>
      </c>
      <c r="AK559">
        <v>0</v>
      </c>
      <c r="AU559" s="3">
        <v>42431</v>
      </c>
      <c r="AV559" s="3">
        <v>42431</v>
      </c>
      <c r="AW559" t="s">
        <v>54</v>
      </c>
      <c r="AX559" t="str">
        <f t="shared" si="64"/>
        <v>FOR</v>
      </c>
      <c r="AY559" t="s">
        <v>55</v>
      </c>
    </row>
    <row r="560" spans="1:51" hidden="1">
      <c r="A560">
        <v>100419</v>
      </c>
      <c r="B560" t="s">
        <v>113</v>
      </c>
      <c r="C560" t="str">
        <f t="shared" si="67"/>
        <v>04874470968</v>
      </c>
      <c r="D560" t="str">
        <f t="shared" si="67"/>
        <v>04874470968</v>
      </c>
      <c r="E560" t="s">
        <v>52</v>
      </c>
      <c r="F560">
        <v>2015</v>
      </c>
      <c r="G560" t="str">
        <f>"        20150943 /PA"</f>
        <v xml:space="preserve">        20150943 /PA</v>
      </c>
      <c r="H560" s="3">
        <v>42303</v>
      </c>
      <c r="I560" s="3">
        <v>42306</v>
      </c>
      <c r="J560" s="3">
        <v>42304</v>
      </c>
      <c r="K560" s="3">
        <v>42364</v>
      </c>
      <c r="L560"/>
      <c r="N560"/>
      <c r="O560" s="4">
        <v>3566.3</v>
      </c>
      <c r="P560">
        <v>67</v>
      </c>
      <c r="Q560" s="4">
        <v>238942.1</v>
      </c>
      <c r="R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 s="3">
        <v>42562</v>
      </c>
      <c r="AC560" t="s">
        <v>53</v>
      </c>
      <c r="AD560" t="s">
        <v>53</v>
      </c>
      <c r="AK560">
        <v>0</v>
      </c>
      <c r="AU560" s="3">
        <v>42431</v>
      </c>
      <c r="AV560" s="3">
        <v>42431</v>
      </c>
      <c r="AW560" t="s">
        <v>54</v>
      </c>
      <c r="AX560" t="str">
        <f t="shared" si="64"/>
        <v>FOR</v>
      </c>
      <c r="AY560" t="s">
        <v>55</v>
      </c>
    </row>
    <row r="561" spans="1:51">
      <c r="A561">
        <v>100419</v>
      </c>
      <c r="B561" t="s">
        <v>113</v>
      </c>
      <c r="C561" t="str">
        <f t="shared" si="67"/>
        <v>04874470968</v>
      </c>
      <c r="D561" t="str">
        <f t="shared" si="67"/>
        <v>04874470968</v>
      </c>
      <c r="E561" t="s">
        <v>52</v>
      </c>
      <c r="F561">
        <v>2015</v>
      </c>
      <c r="G561" t="str">
        <f>"        20151014 /PA"</f>
        <v xml:space="preserve">        20151014 /PA</v>
      </c>
      <c r="H561" s="3">
        <v>42318</v>
      </c>
      <c r="I561" s="3">
        <v>42438</v>
      </c>
      <c r="J561" s="3">
        <v>42436</v>
      </c>
      <c r="K561" s="3">
        <v>42496</v>
      </c>
      <c r="L561" s="5">
        <v>3499.91</v>
      </c>
      <c r="M561">
        <v>24</v>
      </c>
      <c r="N561" s="5">
        <v>83997.84</v>
      </c>
      <c r="O561" s="4">
        <v>3499.91</v>
      </c>
      <c r="P561">
        <v>24</v>
      </c>
      <c r="Q561" s="4">
        <v>83997.84</v>
      </c>
      <c r="R561">
        <v>0</v>
      </c>
      <c r="V561">
        <v>0</v>
      </c>
      <c r="W561">
        <v>0</v>
      </c>
      <c r="X561">
        <v>0</v>
      </c>
      <c r="Y561">
        <v>0</v>
      </c>
      <c r="Z561" s="4">
        <v>3639.91</v>
      </c>
      <c r="AA561">
        <v>0</v>
      </c>
      <c r="AB561" s="3">
        <v>42562</v>
      </c>
      <c r="AC561" t="s">
        <v>53</v>
      </c>
      <c r="AD561" t="s">
        <v>53</v>
      </c>
      <c r="AK561">
        <v>0</v>
      </c>
      <c r="AU561" s="3">
        <v>42520</v>
      </c>
      <c r="AV561" s="3">
        <v>42520</v>
      </c>
      <c r="AW561" t="s">
        <v>54</v>
      </c>
      <c r="AX561" t="str">
        <f t="shared" si="64"/>
        <v>FOR</v>
      </c>
      <c r="AY561" t="s">
        <v>55</v>
      </c>
    </row>
    <row r="562" spans="1:51">
      <c r="A562">
        <v>100419</v>
      </c>
      <c r="B562" t="s">
        <v>113</v>
      </c>
      <c r="C562" t="str">
        <f t="shared" si="67"/>
        <v>04874470968</v>
      </c>
      <c r="D562" t="str">
        <f t="shared" si="67"/>
        <v>04874470968</v>
      </c>
      <c r="E562" t="s">
        <v>52</v>
      </c>
      <c r="F562">
        <v>2016</v>
      </c>
      <c r="G562" t="str">
        <f>"        20160083 /PA"</f>
        <v xml:space="preserve">        20160083 /PA</v>
      </c>
      <c r="H562" s="3">
        <v>42419</v>
      </c>
      <c r="I562" s="3">
        <v>42436</v>
      </c>
      <c r="J562" s="3">
        <v>42425</v>
      </c>
      <c r="K562" s="3">
        <v>42485</v>
      </c>
      <c r="L562" s="5">
        <v>2447</v>
      </c>
      <c r="M562">
        <v>42</v>
      </c>
      <c r="N562" s="5">
        <v>102774</v>
      </c>
      <c r="O562" s="4">
        <v>2447</v>
      </c>
      <c r="P562">
        <v>42</v>
      </c>
      <c r="Q562" s="4">
        <v>102774</v>
      </c>
      <c r="R562">
        <v>97.88</v>
      </c>
      <c r="V562">
        <v>0</v>
      </c>
      <c r="W562">
        <v>0</v>
      </c>
      <c r="X562">
        <v>0</v>
      </c>
      <c r="Y562" s="4">
        <v>2544.88</v>
      </c>
      <c r="Z562" s="4">
        <v>2544.88</v>
      </c>
      <c r="AA562" s="4">
        <v>2544.88</v>
      </c>
      <c r="AB562" s="3">
        <v>42562</v>
      </c>
      <c r="AC562" t="s">
        <v>53</v>
      </c>
      <c r="AD562" t="s">
        <v>53</v>
      </c>
      <c r="AG562">
        <v>97.88</v>
      </c>
      <c r="AK562">
        <v>0</v>
      </c>
      <c r="AU562" s="3">
        <v>42527</v>
      </c>
      <c r="AV562" s="3">
        <v>42527</v>
      </c>
      <c r="AW562" t="s">
        <v>54</v>
      </c>
      <c r="AX562" t="str">
        <f t="shared" si="64"/>
        <v>FOR</v>
      </c>
      <c r="AY562" t="s">
        <v>55</v>
      </c>
    </row>
    <row r="563" spans="1:51">
      <c r="A563">
        <v>100419</v>
      </c>
      <c r="B563" t="s">
        <v>113</v>
      </c>
      <c r="C563" t="str">
        <f t="shared" si="67"/>
        <v>04874470968</v>
      </c>
      <c r="D563" t="str">
        <f t="shared" si="67"/>
        <v>04874470968</v>
      </c>
      <c r="E563" t="s">
        <v>52</v>
      </c>
      <c r="F563">
        <v>2016</v>
      </c>
      <c r="G563" t="str">
        <f>"        20160084 /PA"</f>
        <v xml:space="preserve">        20160084 /PA</v>
      </c>
      <c r="H563" s="3">
        <v>42419</v>
      </c>
      <c r="I563" s="3">
        <v>42436</v>
      </c>
      <c r="J563" s="3">
        <v>42425</v>
      </c>
      <c r="K563" s="3">
        <v>42485</v>
      </c>
      <c r="L563" s="5">
        <v>2447</v>
      </c>
      <c r="M563">
        <v>42</v>
      </c>
      <c r="N563" s="5">
        <v>102774</v>
      </c>
      <c r="O563" s="4">
        <v>2447</v>
      </c>
      <c r="P563">
        <v>42</v>
      </c>
      <c r="Q563" s="4">
        <v>102774</v>
      </c>
      <c r="R563">
        <v>97.88</v>
      </c>
      <c r="V563">
        <v>0</v>
      </c>
      <c r="W563">
        <v>0</v>
      </c>
      <c r="X563">
        <v>0</v>
      </c>
      <c r="Y563" s="4">
        <v>2544.88</v>
      </c>
      <c r="Z563" s="4">
        <v>2544.88</v>
      </c>
      <c r="AA563" s="4">
        <v>2544.88</v>
      </c>
      <c r="AB563" s="3">
        <v>42562</v>
      </c>
      <c r="AC563" t="s">
        <v>53</v>
      </c>
      <c r="AD563" t="s">
        <v>53</v>
      </c>
      <c r="AG563">
        <v>97.88</v>
      </c>
      <c r="AK563">
        <v>0</v>
      </c>
      <c r="AU563" s="3">
        <v>42527</v>
      </c>
      <c r="AV563" s="3">
        <v>42527</v>
      </c>
      <c r="AW563" t="s">
        <v>54</v>
      </c>
      <c r="AX563" t="str">
        <f t="shared" si="64"/>
        <v>FOR</v>
      </c>
      <c r="AY563" t="s">
        <v>55</v>
      </c>
    </row>
    <row r="564" spans="1:51">
      <c r="A564">
        <v>100419</v>
      </c>
      <c r="B564" t="s">
        <v>113</v>
      </c>
      <c r="C564" t="str">
        <f t="shared" si="67"/>
        <v>04874470968</v>
      </c>
      <c r="D564" t="str">
        <f t="shared" si="67"/>
        <v>04874470968</v>
      </c>
      <c r="E564" t="s">
        <v>52</v>
      </c>
      <c r="F564">
        <v>2016</v>
      </c>
      <c r="G564" t="str">
        <f>"        20160120 /PA"</f>
        <v xml:space="preserve">        20160120 /PA</v>
      </c>
      <c r="H564" s="3">
        <v>42429</v>
      </c>
      <c r="I564" s="3">
        <v>42438</v>
      </c>
      <c r="J564" s="3">
        <v>42436</v>
      </c>
      <c r="K564" s="3">
        <v>42496</v>
      </c>
      <c r="L564" s="5">
        <v>3566.3</v>
      </c>
      <c r="M564">
        <v>31</v>
      </c>
      <c r="N564" s="5">
        <v>110555.3</v>
      </c>
      <c r="O564" s="4">
        <v>3566.3</v>
      </c>
      <c r="P564">
        <v>31</v>
      </c>
      <c r="Q564" s="4">
        <v>110555.3</v>
      </c>
      <c r="R564">
        <v>142.65</v>
      </c>
      <c r="V564">
        <v>0</v>
      </c>
      <c r="W564">
        <v>0</v>
      </c>
      <c r="X564">
        <v>0</v>
      </c>
      <c r="Y564" s="4">
        <v>3708.95</v>
      </c>
      <c r="Z564" s="4">
        <v>3708.95</v>
      </c>
      <c r="AA564" s="4">
        <v>3708.95</v>
      </c>
      <c r="AB564" s="3">
        <v>42562</v>
      </c>
      <c r="AC564" t="s">
        <v>53</v>
      </c>
      <c r="AD564" t="s">
        <v>53</v>
      </c>
      <c r="AF564">
        <v>142.65</v>
      </c>
      <c r="AK564">
        <v>0</v>
      </c>
      <c r="AU564" s="3">
        <v>42527</v>
      </c>
      <c r="AV564" s="3">
        <v>42527</v>
      </c>
      <c r="AW564" t="s">
        <v>54</v>
      </c>
      <c r="AX564" t="str">
        <f t="shared" si="64"/>
        <v>FOR</v>
      </c>
      <c r="AY564" t="s">
        <v>55</v>
      </c>
    </row>
    <row r="565" spans="1:51" hidden="1">
      <c r="A565">
        <v>100442</v>
      </c>
      <c r="B565" t="s">
        <v>114</v>
      </c>
      <c r="C565" t="str">
        <f>"05848611009"</f>
        <v>05848611009</v>
      </c>
      <c r="D565" t="str">
        <f>"05848611009"</f>
        <v>05848611009</v>
      </c>
      <c r="E565" t="s">
        <v>52</v>
      </c>
      <c r="F565">
        <v>2015</v>
      </c>
      <c r="G565" t="str">
        <f>"          1501003974"</f>
        <v xml:space="preserve">          1501003974</v>
      </c>
      <c r="H565" s="3">
        <v>42075</v>
      </c>
      <c r="I565" s="3">
        <v>42089</v>
      </c>
      <c r="J565" s="3">
        <v>42089</v>
      </c>
      <c r="K565" s="3">
        <v>42149</v>
      </c>
      <c r="L565"/>
      <c r="N565"/>
      <c r="O565" s="4">
        <v>3040</v>
      </c>
      <c r="P565">
        <v>266</v>
      </c>
      <c r="Q565" s="4">
        <v>808640</v>
      </c>
      <c r="R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 s="3">
        <v>42562</v>
      </c>
      <c r="AC565" t="s">
        <v>53</v>
      </c>
      <c r="AD565" t="s">
        <v>53</v>
      </c>
      <c r="AK565">
        <v>0</v>
      </c>
      <c r="AU565" s="3">
        <v>42415</v>
      </c>
      <c r="AV565" s="3">
        <v>42415</v>
      </c>
      <c r="AW565" t="s">
        <v>54</v>
      </c>
      <c r="AX565" t="str">
        <f t="shared" si="64"/>
        <v>FOR</v>
      </c>
      <c r="AY565" t="s">
        <v>55</v>
      </c>
    </row>
    <row r="566" spans="1:51" hidden="1">
      <c r="A566">
        <v>100442</v>
      </c>
      <c r="B566" t="s">
        <v>114</v>
      </c>
      <c r="C566" t="str">
        <f>"05848611009"</f>
        <v>05848611009</v>
      </c>
      <c r="D566" t="str">
        <f>"05848611009"</f>
        <v>05848611009</v>
      </c>
      <c r="E566" t="s">
        <v>52</v>
      </c>
      <c r="F566">
        <v>2015</v>
      </c>
      <c r="G566" t="str">
        <f>"          1601000570"</f>
        <v xml:space="preserve">          1601000570</v>
      </c>
      <c r="H566" s="3">
        <v>42143</v>
      </c>
      <c r="I566" s="3">
        <v>42209</v>
      </c>
      <c r="J566" s="3">
        <v>42207</v>
      </c>
      <c r="K566" s="3">
        <v>42267</v>
      </c>
      <c r="L566"/>
      <c r="N566"/>
      <c r="O566" s="4">
        <v>3040</v>
      </c>
      <c r="P566">
        <v>185</v>
      </c>
      <c r="Q566" s="4">
        <v>562400</v>
      </c>
      <c r="R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 s="3">
        <v>42562</v>
      </c>
      <c r="AC566" t="s">
        <v>53</v>
      </c>
      <c r="AD566" t="s">
        <v>53</v>
      </c>
      <c r="AK566">
        <v>0</v>
      </c>
      <c r="AU566" s="3">
        <v>42452</v>
      </c>
      <c r="AV566" s="3">
        <v>42452</v>
      </c>
      <c r="AW566" t="s">
        <v>54</v>
      </c>
      <c r="AX566" t="str">
        <f t="shared" si="64"/>
        <v>FOR</v>
      </c>
      <c r="AY566" t="s">
        <v>55</v>
      </c>
    </row>
    <row r="567" spans="1:51" hidden="1">
      <c r="A567">
        <v>100449</v>
      </c>
      <c r="B567" t="s">
        <v>115</v>
      </c>
      <c r="C567" t="str">
        <f t="shared" ref="C567:D586" si="68">"00153730627"</f>
        <v>00153730627</v>
      </c>
      <c r="D567" t="str">
        <f t="shared" si="68"/>
        <v>00153730627</v>
      </c>
      <c r="E567" t="s">
        <v>52</v>
      </c>
      <c r="F567">
        <v>2015</v>
      </c>
      <c r="G567" t="str">
        <f>"          2015   123"</f>
        <v xml:space="preserve">          2015   123</v>
      </c>
      <c r="H567" s="3">
        <v>42124</v>
      </c>
      <c r="I567" s="3">
        <v>42369</v>
      </c>
      <c r="J567" s="3">
        <v>42369</v>
      </c>
      <c r="K567" s="3">
        <v>42429</v>
      </c>
      <c r="L567"/>
      <c r="N567"/>
      <c r="O567" s="4">
        <v>4000</v>
      </c>
      <c r="P567">
        <v>2</v>
      </c>
      <c r="Q567" s="4">
        <v>8000</v>
      </c>
      <c r="R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 s="3">
        <v>42562</v>
      </c>
      <c r="AC567" t="s">
        <v>53</v>
      </c>
      <c r="AD567" t="s">
        <v>53</v>
      </c>
      <c r="AK567">
        <v>0</v>
      </c>
      <c r="AU567" s="3">
        <v>42431</v>
      </c>
      <c r="AV567" s="3">
        <v>42431</v>
      </c>
      <c r="AW567" t="s">
        <v>54</v>
      </c>
      <c r="AX567" t="str">
        <f t="shared" si="64"/>
        <v>FOR</v>
      </c>
      <c r="AY567" t="s">
        <v>55</v>
      </c>
    </row>
    <row r="568" spans="1:51" hidden="1">
      <c r="A568">
        <v>100449</v>
      </c>
      <c r="B568" t="s">
        <v>115</v>
      </c>
      <c r="C568" t="str">
        <f t="shared" si="68"/>
        <v>00153730627</v>
      </c>
      <c r="D568" t="str">
        <f t="shared" si="68"/>
        <v>00153730627</v>
      </c>
      <c r="E568" t="s">
        <v>52</v>
      </c>
      <c r="F568">
        <v>2015</v>
      </c>
      <c r="G568" t="str">
        <f>"          2015   216"</f>
        <v xml:space="preserve">          2015   216</v>
      </c>
      <c r="H568" s="3">
        <v>42216</v>
      </c>
      <c r="I568" s="3">
        <v>42227</v>
      </c>
      <c r="J568" s="3">
        <v>42216</v>
      </c>
      <c r="K568" s="3">
        <v>42276</v>
      </c>
      <c r="L568"/>
      <c r="N568"/>
      <c r="O568" s="4">
        <v>2100</v>
      </c>
      <c r="P568">
        <v>155</v>
      </c>
      <c r="Q568" s="4">
        <v>325500</v>
      </c>
      <c r="R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 s="3">
        <v>42562</v>
      </c>
      <c r="AC568" t="s">
        <v>53</v>
      </c>
      <c r="AD568" t="s">
        <v>53</v>
      </c>
      <c r="AK568">
        <v>0</v>
      </c>
      <c r="AU568" s="3">
        <v>42431</v>
      </c>
      <c r="AV568" s="3">
        <v>42431</v>
      </c>
      <c r="AW568" t="s">
        <v>54</v>
      </c>
      <c r="AX568" t="str">
        <f t="shared" si="64"/>
        <v>FOR</v>
      </c>
      <c r="AY568" t="s">
        <v>55</v>
      </c>
    </row>
    <row r="569" spans="1:51" hidden="1">
      <c r="A569">
        <v>100449</v>
      </c>
      <c r="B569" t="s">
        <v>115</v>
      </c>
      <c r="C569" t="str">
        <f t="shared" si="68"/>
        <v>00153730627</v>
      </c>
      <c r="D569" t="str">
        <f t="shared" si="68"/>
        <v>00153730627</v>
      </c>
      <c r="E569" t="s">
        <v>52</v>
      </c>
      <c r="F569">
        <v>2015</v>
      </c>
      <c r="G569" t="str">
        <f>"          2015   224"</f>
        <v xml:space="preserve">          2015   224</v>
      </c>
      <c r="H569" s="3">
        <v>42247</v>
      </c>
      <c r="I569" s="3">
        <v>42248</v>
      </c>
      <c r="J569" s="3">
        <v>42247</v>
      </c>
      <c r="K569" s="3">
        <v>42307</v>
      </c>
      <c r="L569"/>
      <c r="N569"/>
      <c r="O569" s="4">
        <v>4200</v>
      </c>
      <c r="P569">
        <v>124</v>
      </c>
      <c r="Q569" s="4">
        <v>520800</v>
      </c>
      <c r="R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  <c r="AB569" s="3">
        <v>42562</v>
      </c>
      <c r="AC569" t="s">
        <v>53</v>
      </c>
      <c r="AD569" t="s">
        <v>53</v>
      </c>
      <c r="AK569">
        <v>0</v>
      </c>
      <c r="AU569" s="3">
        <v>42431</v>
      </c>
      <c r="AV569" s="3">
        <v>42431</v>
      </c>
      <c r="AW569" t="s">
        <v>54</v>
      </c>
      <c r="AX569" t="str">
        <f t="shared" si="64"/>
        <v>FOR</v>
      </c>
      <c r="AY569" t="s">
        <v>55</v>
      </c>
    </row>
    <row r="570" spans="1:51" hidden="1">
      <c r="A570">
        <v>100449</v>
      </c>
      <c r="B570" t="s">
        <v>115</v>
      </c>
      <c r="C570" t="str">
        <f t="shared" si="68"/>
        <v>00153730627</v>
      </c>
      <c r="D570" t="str">
        <f t="shared" si="68"/>
        <v>00153730627</v>
      </c>
      <c r="E570" t="s">
        <v>52</v>
      </c>
      <c r="F570">
        <v>2015</v>
      </c>
      <c r="G570" t="str">
        <f>"          2015   250"</f>
        <v xml:space="preserve">          2015   250</v>
      </c>
      <c r="H570" s="3">
        <v>42277</v>
      </c>
      <c r="I570" s="3">
        <v>42277</v>
      </c>
      <c r="J570" s="3">
        <v>42277</v>
      </c>
      <c r="K570" s="3">
        <v>42337</v>
      </c>
      <c r="L570"/>
      <c r="N570"/>
      <c r="O570" s="4">
        <v>59151.58</v>
      </c>
      <c r="P570">
        <v>43</v>
      </c>
      <c r="Q570" s="4">
        <v>2543517.94</v>
      </c>
      <c r="R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0</v>
      </c>
      <c r="AB570" s="3">
        <v>42562</v>
      </c>
      <c r="AC570" t="s">
        <v>53</v>
      </c>
      <c r="AD570" t="s">
        <v>53</v>
      </c>
      <c r="AK570">
        <v>0</v>
      </c>
      <c r="AU570" s="3">
        <v>42380</v>
      </c>
      <c r="AV570" s="3">
        <v>42380</v>
      </c>
      <c r="AW570" t="s">
        <v>54</v>
      </c>
      <c r="AX570" t="str">
        <f t="shared" si="64"/>
        <v>FOR</v>
      </c>
      <c r="AY570" t="s">
        <v>55</v>
      </c>
    </row>
    <row r="571" spans="1:51" hidden="1">
      <c r="A571">
        <v>100449</v>
      </c>
      <c r="B571" t="s">
        <v>115</v>
      </c>
      <c r="C571" t="str">
        <f t="shared" si="68"/>
        <v>00153730627</v>
      </c>
      <c r="D571" t="str">
        <f t="shared" si="68"/>
        <v>00153730627</v>
      </c>
      <c r="E571" t="s">
        <v>52</v>
      </c>
      <c r="F571">
        <v>2015</v>
      </c>
      <c r="G571" t="str">
        <f>"          2015   251"</f>
        <v xml:space="preserve">          2015   251</v>
      </c>
      <c r="H571" s="3">
        <v>42277</v>
      </c>
      <c r="I571" s="3">
        <v>42277</v>
      </c>
      <c r="J571" s="3">
        <v>42277</v>
      </c>
      <c r="K571" s="3">
        <v>42337</v>
      </c>
      <c r="L571"/>
      <c r="N571"/>
      <c r="O571" s="4">
        <v>14230</v>
      </c>
      <c r="P571">
        <v>43</v>
      </c>
      <c r="Q571" s="4">
        <v>611890</v>
      </c>
      <c r="R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  <c r="AB571" s="3">
        <v>42562</v>
      </c>
      <c r="AC571" t="s">
        <v>53</v>
      </c>
      <c r="AD571" t="s">
        <v>53</v>
      </c>
      <c r="AK571">
        <v>0</v>
      </c>
      <c r="AU571" s="3">
        <v>42380</v>
      </c>
      <c r="AV571" s="3">
        <v>42380</v>
      </c>
      <c r="AW571" t="s">
        <v>54</v>
      </c>
      <c r="AX571" t="str">
        <f t="shared" si="64"/>
        <v>FOR</v>
      </c>
      <c r="AY571" t="s">
        <v>55</v>
      </c>
    </row>
    <row r="572" spans="1:51" hidden="1">
      <c r="A572">
        <v>100449</v>
      </c>
      <c r="B572" t="s">
        <v>115</v>
      </c>
      <c r="C572" t="str">
        <f t="shared" si="68"/>
        <v>00153730627</v>
      </c>
      <c r="D572" t="str">
        <f t="shared" si="68"/>
        <v>00153730627</v>
      </c>
      <c r="E572" t="s">
        <v>52</v>
      </c>
      <c r="F572">
        <v>2015</v>
      </c>
      <c r="G572" t="str">
        <f>"          2015   252"</f>
        <v xml:space="preserve">          2015   252</v>
      </c>
      <c r="H572" s="3">
        <v>42277</v>
      </c>
      <c r="I572" s="3">
        <v>42277</v>
      </c>
      <c r="J572" s="3">
        <v>42277</v>
      </c>
      <c r="K572" s="3">
        <v>42337</v>
      </c>
      <c r="L572"/>
      <c r="N572"/>
      <c r="O572" s="4">
        <v>4200</v>
      </c>
      <c r="P572">
        <v>94</v>
      </c>
      <c r="Q572" s="4">
        <v>394800</v>
      </c>
      <c r="R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 s="3">
        <v>42562</v>
      </c>
      <c r="AC572" t="s">
        <v>53</v>
      </c>
      <c r="AD572" t="s">
        <v>53</v>
      </c>
      <c r="AK572">
        <v>0</v>
      </c>
      <c r="AU572" s="3">
        <v>42431</v>
      </c>
      <c r="AV572" s="3">
        <v>42431</v>
      </c>
      <c r="AW572" t="s">
        <v>54</v>
      </c>
      <c r="AX572" t="str">
        <f t="shared" si="64"/>
        <v>FOR</v>
      </c>
      <c r="AY572" t="s">
        <v>55</v>
      </c>
    </row>
    <row r="573" spans="1:51" hidden="1">
      <c r="A573">
        <v>100449</v>
      </c>
      <c r="B573" t="s">
        <v>115</v>
      </c>
      <c r="C573" t="str">
        <f t="shared" si="68"/>
        <v>00153730627</v>
      </c>
      <c r="D573" t="str">
        <f t="shared" si="68"/>
        <v>00153730627</v>
      </c>
      <c r="E573" t="s">
        <v>52</v>
      </c>
      <c r="F573">
        <v>2015</v>
      </c>
      <c r="G573" t="str">
        <f>"          2015   270"</f>
        <v xml:space="preserve">          2015   270</v>
      </c>
      <c r="H573" s="3">
        <v>42308</v>
      </c>
      <c r="I573" s="3">
        <v>42310</v>
      </c>
      <c r="J573" s="3">
        <v>42310</v>
      </c>
      <c r="K573" s="3">
        <v>42370</v>
      </c>
      <c r="L573"/>
      <c r="N573"/>
      <c r="O573" s="4">
        <v>59151.58</v>
      </c>
      <c r="P573">
        <v>10</v>
      </c>
      <c r="Q573" s="4">
        <v>591515.80000000005</v>
      </c>
      <c r="R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 s="3">
        <v>42562</v>
      </c>
      <c r="AC573" t="s">
        <v>53</v>
      </c>
      <c r="AD573" t="s">
        <v>53</v>
      </c>
      <c r="AK573">
        <v>0</v>
      </c>
      <c r="AU573" s="3">
        <v>42380</v>
      </c>
      <c r="AV573" s="3">
        <v>42380</v>
      </c>
      <c r="AW573" t="s">
        <v>54</v>
      </c>
      <c r="AX573" t="str">
        <f t="shared" si="64"/>
        <v>FOR</v>
      </c>
      <c r="AY573" t="s">
        <v>55</v>
      </c>
    </row>
    <row r="574" spans="1:51" hidden="1">
      <c r="A574">
        <v>100449</v>
      </c>
      <c r="B574" t="s">
        <v>115</v>
      </c>
      <c r="C574" t="str">
        <f t="shared" si="68"/>
        <v>00153730627</v>
      </c>
      <c r="D574" t="str">
        <f t="shared" si="68"/>
        <v>00153730627</v>
      </c>
      <c r="E574" t="s">
        <v>52</v>
      </c>
      <c r="F574">
        <v>2015</v>
      </c>
      <c r="G574" t="str">
        <f>"          2015   271"</f>
        <v xml:space="preserve">          2015   271</v>
      </c>
      <c r="H574" s="3">
        <v>42308</v>
      </c>
      <c r="I574" s="3">
        <v>42310</v>
      </c>
      <c r="J574" s="3">
        <v>42310</v>
      </c>
      <c r="K574" s="3">
        <v>42370</v>
      </c>
      <c r="L574"/>
      <c r="N574"/>
      <c r="O574" s="4">
        <v>14230</v>
      </c>
      <c r="P574">
        <v>10</v>
      </c>
      <c r="Q574" s="4">
        <v>142300</v>
      </c>
      <c r="R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 s="3">
        <v>42562</v>
      </c>
      <c r="AC574" t="s">
        <v>53</v>
      </c>
      <c r="AD574" t="s">
        <v>53</v>
      </c>
      <c r="AK574">
        <v>0</v>
      </c>
      <c r="AU574" s="3">
        <v>42380</v>
      </c>
      <c r="AV574" s="3">
        <v>42380</v>
      </c>
      <c r="AW574" t="s">
        <v>54</v>
      </c>
      <c r="AX574" t="str">
        <f t="shared" si="64"/>
        <v>FOR</v>
      </c>
      <c r="AY574" t="s">
        <v>55</v>
      </c>
    </row>
    <row r="575" spans="1:51" hidden="1">
      <c r="A575">
        <v>100449</v>
      </c>
      <c r="B575" t="s">
        <v>115</v>
      </c>
      <c r="C575" t="str">
        <f t="shared" si="68"/>
        <v>00153730627</v>
      </c>
      <c r="D575" t="str">
        <f t="shared" si="68"/>
        <v>00153730627</v>
      </c>
      <c r="E575" t="s">
        <v>52</v>
      </c>
      <c r="F575">
        <v>2015</v>
      </c>
      <c r="G575" t="str">
        <f>"          2015   272"</f>
        <v xml:space="preserve">          2015   272</v>
      </c>
      <c r="H575" s="3">
        <v>42308</v>
      </c>
      <c r="I575" s="3">
        <v>42310</v>
      </c>
      <c r="J575" s="3">
        <v>42310</v>
      </c>
      <c r="K575" s="3">
        <v>42370</v>
      </c>
      <c r="L575"/>
      <c r="N575"/>
      <c r="O575" s="4">
        <v>4200</v>
      </c>
      <c r="P575">
        <v>61</v>
      </c>
      <c r="Q575" s="4">
        <v>256200</v>
      </c>
      <c r="R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 s="3">
        <v>42562</v>
      </c>
      <c r="AC575" t="s">
        <v>53</v>
      </c>
      <c r="AD575" t="s">
        <v>53</v>
      </c>
      <c r="AK575">
        <v>0</v>
      </c>
      <c r="AU575" s="3">
        <v>42431</v>
      </c>
      <c r="AV575" s="3">
        <v>42431</v>
      </c>
      <c r="AW575" t="s">
        <v>54</v>
      </c>
      <c r="AX575" t="str">
        <f t="shared" si="64"/>
        <v>FOR</v>
      </c>
      <c r="AY575" t="s">
        <v>55</v>
      </c>
    </row>
    <row r="576" spans="1:51" hidden="1">
      <c r="A576">
        <v>100449</v>
      </c>
      <c r="B576" t="s">
        <v>115</v>
      </c>
      <c r="C576" t="str">
        <f t="shared" si="68"/>
        <v>00153730627</v>
      </c>
      <c r="D576" t="str">
        <f t="shared" si="68"/>
        <v>00153730627</v>
      </c>
      <c r="E576" t="s">
        <v>52</v>
      </c>
      <c r="F576">
        <v>2015</v>
      </c>
      <c r="G576" t="str">
        <f>"          2015   296"</f>
        <v xml:space="preserve">          2015   296</v>
      </c>
      <c r="H576" s="3">
        <v>42338</v>
      </c>
      <c r="I576" s="3">
        <v>42338</v>
      </c>
      <c r="J576" s="3">
        <v>42338</v>
      </c>
      <c r="K576" s="3">
        <v>42398</v>
      </c>
      <c r="L576"/>
      <c r="N576"/>
      <c r="O576" s="4">
        <v>59151.58</v>
      </c>
      <c r="P576">
        <v>3</v>
      </c>
      <c r="Q576" s="4">
        <v>177454.74</v>
      </c>
      <c r="R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 s="3">
        <v>42562</v>
      </c>
      <c r="AC576" t="s">
        <v>53</v>
      </c>
      <c r="AD576" t="s">
        <v>53</v>
      </c>
      <c r="AK576">
        <v>0</v>
      </c>
      <c r="AU576" s="3">
        <v>42401</v>
      </c>
      <c r="AV576" s="3">
        <v>42401</v>
      </c>
      <c r="AW576" t="s">
        <v>54</v>
      </c>
      <c r="AX576" t="str">
        <f t="shared" si="64"/>
        <v>FOR</v>
      </c>
      <c r="AY576" t="s">
        <v>55</v>
      </c>
    </row>
    <row r="577" spans="1:51" hidden="1">
      <c r="A577">
        <v>100449</v>
      </c>
      <c r="B577" t="s">
        <v>115</v>
      </c>
      <c r="C577" t="str">
        <f t="shared" si="68"/>
        <v>00153730627</v>
      </c>
      <c r="D577" t="str">
        <f t="shared" si="68"/>
        <v>00153730627</v>
      </c>
      <c r="E577" t="s">
        <v>52</v>
      </c>
      <c r="F577">
        <v>2015</v>
      </c>
      <c r="G577" t="str">
        <f>"          2015   297"</f>
        <v xml:space="preserve">          2015   297</v>
      </c>
      <c r="H577" s="3">
        <v>42338</v>
      </c>
      <c r="I577" s="3">
        <v>42338</v>
      </c>
      <c r="J577" s="3">
        <v>42338</v>
      </c>
      <c r="K577" s="3">
        <v>42398</v>
      </c>
      <c r="L577"/>
      <c r="N577"/>
      <c r="O577" s="4">
        <v>14230</v>
      </c>
      <c r="P577">
        <v>3</v>
      </c>
      <c r="Q577" s="4">
        <v>42690</v>
      </c>
      <c r="R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 s="3">
        <v>42562</v>
      </c>
      <c r="AC577" t="s">
        <v>53</v>
      </c>
      <c r="AD577" t="s">
        <v>53</v>
      </c>
      <c r="AK577">
        <v>0</v>
      </c>
      <c r="AU577" s="3">
        <v>42401</v>
      </c>
      <c r="AV577" s="3">
        <v>42401</v>
      </c>
      <c r="AW577" t="s">
        <v>54</v>
      </c>
      <c r="AX577" t="str">
        <f t="shared" si="64"/>
        <v>FOR</v>
      </c>
      <c r="AY577" t="s">
        <v>55</v>
      </c>
    </row>
    <row r="578" spans="1:51" hidden="1">
      <c r="A578">
        <v>100449</v>
      </c>
      <c r="B578" t="s">
        <v>115</v>
      </c>
      <c r="C578" t="str">
        <f t="shared" si="68"/>
        <v>00153730627</v>
      </c>
      <c r="D578" t="str">
        <f t="shared" si="68"/>
        <v>00153730627</v>
      </c>
      <c r="E578" t="s">
        <v>52</v>
      </c>
      <c r="F578">
        <v>2015</v>
      </c>
      <c r="G578" t="str">
        <f>"          2015   313"</f>
        <v xml:space="preserve">          2015   313</v>
      </c>
      <c r="H578" s="3">
        <v>42369</v>
      </c>
      <c r="I578" s="3">
        <v>42369</v>
      </c>
      <c r="J578" s="3">
        <v>42369</v>
      </c>
      <c r="K578" s="3">
        <v>42429</v>
      </c>
      <c r="L578"/>
      <c r="N578"/>
      <c r="O578" s="4">
        <v>59151.58</v>
      </c>
      <c r="P578">
        <v>2</v>
      </c>
      <c r="Q578" s="4">
        <v>118303.16</v>
      </c>
      <c r="R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 s="3">
        <v>42562</v>
      </c>
      <c r="AC578" t="s">
        <v>53</v>
      </c>
      <c r="AD578" t="s">
        <v>53</v>
      </c>
      <c r="AK578">
        <v>0</v>
      </c>
      <c r="AU578" s="3">
        <v>42431</v>
      </c>
      <c r="AV578" s="3">
        <v>42431</v>
      </c>
      <c r="AW578" t="s">
        <v>54</v>
      </c>
      <c r="AX578" t="str">
        <f t="shared" si="64"/>
        <v>FOR</v>
      </c>
      <c r="AY578" t="s">
        <v>55</v>
      </c>
    </row>
    <row r="579" spans="1:51" hidden="1">
      <c r="A579">
        <v>100449</v>
      </c>
      <c r="B579" t="s">
        <v>115</v>
      </c>
      <c r="C579" t="str">
        <f t="shared" si="68"/>
        <v>00153730627</v>
      </c>
      <c r="D579" t="str">
        <f t="shared" si="68"/>
        <v>00153730627</v>
      </c>
      <c r="E579" t="s">
        <v>52</v>
      </c>
      <c r="F579">
        <v>2015</v>
      </c>
      <c r="G579" t="str">
        <f>"          2015   314"</f>
        <v xml:space="preserve">          2015   314</v>
      </c>
      <c r="H579" s="3">
        <v>42369</v>
      </c>
      <c r="I579" s="3">
        <v>42369</v>
      </c>
      <c r="J579" s="3">
        <v>42369</v>
      </c>
      <c r="K579" s="3">
        <v>42429</v>
      </c>
      <c r="L579"/>
      <c r="N579"/>
      <c r="O579" s="4">
        <v>14230</v>
      </c>
      <c r="P579">
        <v>2</v>
      </c>
      <c r="Q579" s="4">
        <v>28460</v>
      </c>
      <c r="R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 s="3">
        <v>42562</v>
      </c>
      <c r="AC579" t="s">
        <v>53</v>
      </c>
      <c r="AD579" t="s">
        <v>53</v>
      </c>
      <c r="AK579">
        <v>0</v>
      </c>
      <c r="AU579" s="3">
        <v>42431</v>
      </c>
      <c r="AV579" s="3">
        <v>42431</v>
      </c>
      <c r="AW579" t="s">
        <v>54</v>
      </c>
      <c r="AX579" t="str">
        <f t="shared" si="64"/>
        <v>FOR</v>
      </c>
      <c r="AY579" t="s">
        <v>55</v>
      </c>
    </row>
    <row r="580" spans="1:51">
      <c r="A580">
        <v>100449</v>
      </c>
      <c r="B580" t="s">
        <v>115</v>
      </c>
      <c r="C580" t="str">
        <f t="shared" si="68"/>
        <v>00153730627</v>
      </c>
      <c r="D580" t="str">
        <f t="shared" si="68"/>
        <v>00153730627</v>
      </c>
      <c r="E580" t="s">
        <v>52</v>
      </c>
      <c r="F580">
        <v>2016</v>
      </c>
      <c r="G580" t="str">
        <f>"          2016     4"</f>
        <v xml:space="preserve">          2016     4</v>
      </c>
      <c r="H580" s="3">
        <v>42400</v>
      </c>
      <c r="I580" s="3">
        <v>42402</v>
      </c>
      <c r="J580" s="3">
        <v>42401</v>
      </c>
      <c r="K580" s="3">
        <v>42461</v>
      </c>
      <c r="L580" s="5">
        <v>59151.58</v>
      </c>
      <c r="M580">
        <v>12</v>
      </c>
      <c r="N580" s="5">
        <v>709818.96</v>
      </c>
      <c r="O580" s="4">
        <v>59151.58</v>
      </c>
      <c r="P580">
        <v>12</v>
      </c>
      <c r="Q580" s="4">
        <v>709818.96</v>
      </c>
      <c r="R580">
        <v>0</v>
      </c>
      <c r="V580">
        <v>0</v>
      </c>
      <c r="W580">
        <v>0</v>
      </c>
      <c r="X580">
        <v>0</v>
      </c>
      <c r="Y580" s="4">
        <v>59151.58</v>
      </c>
      <c r="Z580" s="4">
        <v>59151.58</v>
      </c>
      <c r="AA580" s="4">
        <v>59151.58</v>
      </c>
      <c r="AB580" s="3">
        <v>42562</v>
      </c>
      <c r="AC580" t="s">
        <v>53</v>
      </c>
      <c r="AD580" t="s">
        <v>53</v>
      </c>
      <c r="AK580">
        <v>0</v>
      </c>
      <c r="AU580" s="3">
        <v>42473</v>
      </c>
      <c r="AV580" s="3">
        <v>42473</v>
      </c>
      <c r="AW580" t="s">
        <v>54</v>
      </c>
      <c r="AX580" t="str">
        <f t="shared" si="64"/>
        <v>FOR</v>
      </c>
      <c r="AY580" t="s">
        <v>55</v>
      </c>
    </row>
    <row r="581" spans="1:51">
      <c r="A581">
        <v>100449</v>
      </c>
      <c r="B581" t="s">
        <v>115</v>
      </c>
      <c r="C581" t="str">
        <f t="shared" si="68"/>
        <v>00153730627</v>
      </c>
      <c r="D581" t="str">
        <f t="shared" si="68"/>
        <v>00153730627</v>
      </c>
      <c r="E581" t="s">
        <v>52</v>
      </c>
      <c r="F581">
        <v>2016</v>
      </c>
      <c r="G581" t="str">
        <f>"          2016     5"</f>
        <v xml:space="preserve">          2016     5</v>
      </c>
      <c r="H581" s="3">
        <v>42400</v>
      </c>
      <c r="I581" s="3">
        <v>42404</v>
      </c>
      <c r="J581" s="3">
        <v>42401</v>
      </c>
      <c r="K581" s="3">
        <v>42461</v>
      </c>
      <c r="L581" s="5">
        <v>14230</v>
      </c>
      <c r="M581">
        <v>3</v>
      </c>
      <c r="N581" s="5">
        <v>42690</v>
      </c>
      <c r="O581" s="4">
        <v>14230</v>
      </c>
      <c r="P581">
        <v>3</v>
      </c>
      <c r="Q581" s="4">
        <v>42690</v>
      </c>
      <c r="R581">
        <v>0</v>
      </c>
      <c r="V581">
        <v>0</v>
      </c>
      <c r="W581">
        <v>0</v>
      </c>
      <c r="X581">
        <v>0</v>
      </c>
      <c r="Y581" s="4">
        <v>17360.599999999999</v>
      </c>
      <c r="Z581" s="4">
        <v>17360.599999999999</v>
      </c>
      <c r="AA581" s="4">
        <v>17360.599999999999</v>
      </c>
      <c r="AB581" s="3">
        <v>42562</v>
      </c>
      <c r="AC581" t="s">
        <v>53</v>
      </c>
      <c r="AD581" t="s">
        <v>53</v>
      </c>
      <c r="AK581">
        <v>0</v>
      </c>
      <c r="AU581" s="3">
        <v>42464</v>
      </c>
      <c r="AV581" s="3">
        <v>42464</v>
      </c>
      <c r="AW581" t="s">
        <v>54</v>
      </c>
      <c r="AX581" t="str">
        <f t="shared" si="64"/>
        <v>FOR</v>
      </c>
      <c r="AY581" t="s">
        <v>55</v>
      </c>
    </row>
    <row r="582" spans="1:51">
      <c r="A582">
        <v>100449</v>
      </c>
      <c r="B582" t="s">
        <v>115</v>
      </c>
      <c r="C582" t="str">
        <f t="shared" si="68"/>
        <v>00153730627</v>
      </c>
      <c r="D582" t="str">
        <f t="shared" si="68"/>
        <v>00153730627</v>
      </c>
      <c r="E582" t="s">
        <v>52</v>
      </c>
      <c r="F582">
        <v>2016</v>
      </c>
      <c r="G582" t="str">
        <f>"          2016    23"</f>
        <v xml:space="preserve">          2016    23</v>
      </c>
      <c r="H582" s="3">
        <v>42429</v>
      </c>
      <c r="I582" s="3">
        <v>42436</v>
      </c>
      <c r="J582" s="3">
        <v>42429</v>
      </c>
      <c r="K582" s="3">
        <v>42489</v>
      </c>
      <c r="L582" s="5">
        <v>59151.58</v>
      </c>
      <c r="M582">
        <v>11</v>
      </c>
      <c r="N582" s="5">
        <v>650667.38</v>
      </c>
      <c r="O582" s="4">
        <v>59151.58</v>
      </c>
      <c r="P582">
        <v>11</v>
      </c>
      <c r="Q582" s="4">
        <v>650667.38</v>
      </c>
      <c r="R582">
        <v>0</v>
      </c>
      <c r="V582">
        <v>0</v>
      </c>
      <c r="W582">
        <v>0</v>
      </c>
      <c r="X582">
        <v>0</v>
      </c>
      <c r="Y582" s="4">
        <v>59151.58</v>
      </c>
      <c r="Z582" s="4">
        <v>59151.58</v>
      </c>
      <c r="AA582" s="4">
        <v>59151.58</v>
      </c>
      <c r="AB582" s="3">
        <v>42562</v>
      </c>
      <c r="AC582" t="s">
        <v>53</v>
      </c>
      <c r="AD582" t="s">
        <v>53</v>
      </c>
      <c r="AK582">
        <v>0</v>
      </c>
      <c r="AU582" s="3">
        <v>42500</v>
      </c>
      <c r="AV582" s="3">
        <v>42500</v>
      </c>
      <c r="AW582" t="s">
        <v>54</v>
      </c>
      <c r="AX582" t="str">
        <f t="shared" si="64"/>
        <v>FOR</v>
      </c>
      <c r="AY582" t="s">
        <v>55</v>
      </c>
    </row>
    <row r="583" spans="1:51">
      <c r="A583">
        <v>100449</v>
      </c>
      <c r="B583" t="s">
        <v>115</v>
      </c>
      <c r="C583" t="str">
        <f t="shared" si="68"/>
        <v>00153730627</v>
      </c>
      <c r="D583" t="str">
        <f t="shared" si="68"/>
        <v>00153730627</v>
      </c>
      <c r="E583" t="s">
        <v>52</v>
      </c>
      <c r="F583">
        <v>2016</v>
      </c>
      <c r="G583" t="str">
        <f>"          2016    24"</f>
        <v xml:space="preserve">          2016    24</v>
      </c>
      <c r="H583" s="3">
        <v>42429</v>
      </c>
      <c r="I583" s="3">
        <v>42433</v>
      </c>
      <c r="J583" s="3">
        <v>42429</v>
      </c>
      <c r="K583" s="3">
        <v>42489</v>
      </c>
      <c r="L583" s="5">
        <v>14230</v>
      </c>
      <c r="M583">
        <v>-25</v>
      </c>
      <c r="N583" s="5">
        <v>-355750</v>
      </c>
      <c r="O583" s="4">
        <v>14230</v>
      </c>
      <c r="P583">
        <v>-25</v>
      </c>
      <c r="Q583" s="4">
        <v>-355750</v>
      </c>
      <c r="R583">
        <v>0</v>
      </c>
      <c r="V583">
        <v>0</v>
      </c>
      <c r="W583">
        <v>0</v>
      </c>
      <c r="X583">
        <v>0</v>
      </c>
      <c r="Y583" s="4">
        <v>17360.599999999999</v>
      </c>
      <c r="Z583" s="4">
        <v>17360.599999999999</v>
      </c>
      <c r="AA583" s="4">
        <v>17360.599999999999</v>
      </c>
      <c r="AB583" s="3">
        <v>42562</v>
      </c>
      <c r="AC583" t="s">
        <v>53</v>
      </c>
      <c r="AD583" t="s">
        <v>53</v>
      </c>
      <c r="AK583">
        <v>0</v>
      </c>
      <c r="AU583" s="3">
        <v>42464</v>
      </c>
      <c r="AV583" s="3">
        <v>42464</v>
      </c>
      <c r="AW583" t="s">
        <v>54</v>
      </c>
      <c r="AX583" t="str">
        <f t="shared" si="64"/>
        <v>FOR</v>
      </c>
      <c r="AY583" t="s">
        <v>55</v>
      </c>
    </row>
    <row r="584" spans="1:51">
      <c r="A584">
        <v>100449</v>
      </c>
      <c r="B584" t="s">
        <v>115</v>
      </c>
      <c r="C584" t="str">
        <f t="shared" si="68"/>
        <v>00153730627</v>
      </c>
      <c r="D584" t="str">
        <f t="shared" si="68"/>
        <v>00153730627</v>
      </c>
      <c r="E584" t="s">
        <v>52</v>
      </c>
      <c r="F584">
        <v>2016</v>
      </c>
      <c r="G584" t="str">
        <f>"          2016    47"</f>
        <v xml:space="preserve">          2016    47</v>
      </c>
      <c r="H584" s="3">
        <v>42460</v>
      </c>
      <c r="I584" s="3">
        <v>42464</v>
      </c>
      <c r="J584" s="3">
        <v>42460</v>
      </c>
      <c r="K584" s="3">
        <v>42520</v>
      </c>
      <c r="L584" s="5">
        <v>58584.57</v>
      </c>
      <c r="M584">
        <v>8</v>
      </c>
      <c r="N584" s="5">
        <v>468676.56</v>
      </c>
      <c r="O584" s="4">
        <v>58584.57</v>
      </c>
      <c r="P584">
        <v>8</v>
      </c>
      <c r="Q584" s="4">
        <v>468676.56</v>
      </c>
      <c r="R584">
        <v>0</v>
      </c>
      <c r="V584">
        <v>0</v>
      </c>
      <c r="W584" s="4">
        <v>58584.57</v>
      </c>
      <c r="X584">
        <v>0</v>
      </c>
      <c r="Y584" s="4">
        <v>58584.57</v>
      </c>
      <c r="Z584" s="4">
        <v>58584.57</v>
      </c>
      <c r="AA584" s="4">
        <v>58584.57</v>
      </c>
      <c r="AB584" s="3">
        <v>42562</v>
      </c>
      <c r="AC584" t="s">
        <v>53</v>
      </c>
      <c r="AD584" t="s">
        <v>53</v>
      </c>
      <c r="AK584">
        <v>0</v>
      </c>
      <c r="AU584" s="3">
        <v>42528</v>
      </c>
      <c r="AV584" s="3">
        <v>42528</v>
      </c>
      <c r="AW584" t="s">
        <v>54</v>
      </c>
      <c r="AX584" t="str">
        <f t="shared" si="64"/>
        <v>FOR</v>
      </c>
      <c r="AY584" t="s">
        <v>55</v>
      </c>
    </row>
    <row r="585" spans="1:51">
      <c r="A585">
        <v>100449</v>
      </c>
      <c r="B585" t="s">
        <v>115</v>
      </c>
      <c r="C585" t="str">
        <f t="shared" si="68"/>
        <v>00153730627</v>
      </c>
      <c r="D585" t="str">
        <f t="shared" si="68"/>
        <v>00153730627</v>
      </c>
      <c r="E585" t="s">
        <v>52</v>
      </c>
      <c r="F585">
        <v>2016</v>
      </c>
      <c r="G585" t="str">
        <f>"          2016    48"</f>
        <v xml:space="preserve">          2016    48</v>
      </c>
      <c r="H585" s="3">
        <v>42460</v>
      </c>
      <c r="I585" s="3">
        <v>42464</v>
      </c>
      <c r="J585" s="3">
        <v>42460</v>
      </c>
      <c r="K585" s="3">
        <v>42520</v>
      </c>
      <c r="L585" s="5">
        <v>14091.9</v>
      </c>
      <c r="M585">
        <v>8</v>
      </c>
      <c r="N585" s="5">
        <v>112735.2</v>
      </c>
      <c r="O585" s="4">
        <v>14091.9</v>
      </c>
      <c r="P585">
        <v>8</v>
      </c>
      <c r="Q585" s="4">
        <v>112735.2</v>
      </c>
      <c r="R585" s="4">
        <v>3100.22</v>
      </c>
      <c r="V585">
        <v>0</v>
      </c>
      <c r="W585" s="4">
        <v>17192.12</v>
      </c>
      <c r="X585">
        <v>0</v>
      </c>
      <c r="Y585" s="4">
        <v>17192.12</v>
      </c>
      <c r="Z585" s="4">
        <v>17192.12</v>
      </c>
      <c r="AA585" s="4">
        <v>17192.12</v>
      </c>
      <c r="AB585" s="3">
        <v>42562</v>
      </c>
      <c r="AC585" t="s">
        <v>53</v>
      </c>
      <c r="AD585" t="s">
        <v>53</v>
      </c>
      <c r="AF585" s="4">
        <v>3100.22</v>
      </c>
      <c r="AK585">
        <v>0</v>
      </c>
      <c r="AU585" s="3">
        <v>42528</v>
      </c>
      <c r="AV585" s="3">
        <v>42528</v>
      </c>
      <c r="AW585" t="s">
        <v>54</v>
      </c>
      <c r="AX585" t="str">
        <f t="shared" si="64"/>
        <v>FOR</v>
      </c>
      <c r="AY585" t="s">
        <v>55</v>
      </c>
    </row>
    <row r="586" spans="1:51">
      <c r="A586">
        <v>100449</v>
      </c>
      <c r="B586" t="s">
        <v>115</v>
      </c>
      <c r="C586" t="str">
        <f t="shared" si="68"/>
        <v>00153730627</v>
      </c>
      <c r="D586" t="str">
        <f t="shared" si="68"/>
        <v>00153730627</v>
      </c>
      <c r="E586" t="s">
        <v>52</v>
      </c>
      <c r="F586">
        <v>2016</v>
      </c>
      <c r="G586" t="str">
        <f>"          2016    50"</f>
        <v xml:space="preserve">          2016    50</v>
      </c>
      <c r="H586" s="3">
        <v>42460</v>
      </c>
      <c r="I586" s="3">
        <v>42464</v>
      </c>
      <c r="J586" s="3">
        <v>42460</v>
      </c>
      <c r="K586" s="3">
        <v>42520</v>
      </c>
      <c r="L586" s="5">
        <v>1975</v>
      </c>
      <c r="M586">
        <v>8</v>
      </c>
      <c r="N586" s="5">
        <v>15800</v>
      </c>
      <c r="O586" s="4">
        <v>1975</v>
      </c>
      <c r="P586">
        <v>8</v>
      </c>
      <c r="Q586" s="4">
        <v>15800</v>
      </c>
      <c r="R586">
        <v>434.5</v>
      </c>
      <c r="V586">
        <v>0</v>
      </c>
      <c r="W586" s="4">
        <v>2409.5</v>
      </c>
      <c r="X586">
        <v>0</v>
      </c>
      <c r="Y586" s="4">
        <v>2409.5</v>
      </c>
      <c r="Z586" s="4">
        <v>2409.5</v>
      </c>
      <c r="AA586" s="4">
        <v>2409.5</v>
      </c>
      <c r="AB586" s="3">
        <v>42562</v>
      </c>
      <c r="AC586" t="s">
        <v>53</v>
      </c>
      <c r="AD586" t="s">
        <v>53</v>
      </c>
      <c r="AF586">
        <v>434.5</v>
      </c>
      <c r="AK586">
        <v>0</v>
      </c>
      <c r="AU586" s="3">
        <v>42528</v>
      </c>
      <c r="AV586" s="3">
        <v>42528</v>
      </c>
      <c r="AW586" t="s">
        <v>54</v>
      </c>
      <c r="AX586" t="str">
        <f t="shared" si="64"/>
        <v>FOR</v>
      </c>
      <c r="AY586" t="s">
        <v>55</v>
      </c>
    </row>
    <row r="587" spans="1:51">
      <c r="A587">
        <v>100453</v>
      </c>
      <c r="B587" t="s">
        <v>116</v>
      </c>
      <c r="C587" t="str">
        <f>"09933630155"</f>
        <v>09933630155</v>
      </c>
      <c r="D587" t="str">
        <f>"09933630155"</f>
        <v>09933630155</v>
      </c>
      <c r="E587" t="s">
        <v>52</v>
      </c>
      <c r="F587">
        <v>2016</v>
      </c>
      <c r="G587" t="str">
        <f>"          9700144355"</f>
        <v xml:space="preserve">          9700144355</v>
      </c>
      <c r="H587" s="3">
        <v>42411</v>
      </c>
      <c r="I587" s="3">
        <v>42415</v>
      </c>
      <c r="J587" s="3">
        <v>42411</v>
      </c>
      <c r="K587" s="3">
        <v>42471</v>
      </c>
      <c r="L587" s="5">
        <v>2513.6999999999998</v>
      </c>
      <c r="M587">
        <v>16</v>
      </c>
      <c r="N587" s="5">
        <v>40219.199999999997</v>
      </c>
      <c r="O587" s="4">
        <v>2513.6999999999998</v>
      </c>
      <c r="P587">
        <v>16</v>
      </c>
      <c r="Q587" s="4">
        <v>40219.199999999997</v>
      </c>
      <c r="R587">
        <v>0</v>
      </c>
      <c r="V587">
        <v>0</v>
      </c>
      <c r="W587">
        <v>0</v>
      </c>
      <c r="X587">
        <v>0</v>
      </c>
      <c r="Y587" s="4">
        <v>3066.71</v>
      </c>
      <c r="Z587" s="4">
        <v>3066.71</v>
      </c>
      <c r="AA587" s="4">
        <v>3066.71</v>
      </c>
      <c r="AB587" s="3">
        <v>42562</v>
      </c>
      <c r="AC587" t="s">
        <v>53</v>
      </c>
      <c r="AD587" t="s">
        <v>53</v>
      </c>
      <c r="AK587">
        <v>0</v>
      </c>
      <c r="AU587" s="3">
        <v>42487</v>
      </c>
      <c r="AV587" s="3">
        <v>42487</v>
      </c>
      <c r="AW587" t="s">
        <v>54</v>
      </c>
      <c r="AX587" t="str">
        <f t="shared" si="64"/>
        <v>FOR</v>
      </c>
      <c r="AY587" t="s">
        <v>55</v>
      </c>
    </row>
    <row r="588" spans="1:51" hidden="1">
      <c r="A588">
        <v>100472</v>
      </c>
      <c r="B588" t="s">
        <v>117</v>
      </c>
      <c r="C588" t="str">
        <f>"05238881212"</f>
        <v>05238881212</v>
      </c>
      <c r="D588" t="str">
        <f>"05238881212"</f>
        <v>05238881212</v>
      </c>
      <c r="E588" t="s">
        <v>52</v>
      </c>
      <c r="F588">
        <v>2015</v>
      </c>
      <c r="G588" t="str">
        <f>"            051.2015"</f>
        <v xml:space="preserve">            051.2015</v>
      </c>
      <c r="H588" s="3">
        <v>42118</v>
      </c>
      <c r="I588" s="3">
        <v>42121</v>
      </c>
      <c r="J588" s="3">
        <v>42120</v>
      </c>
      <c r="K588" s="3">
        <v>42180</v>
      </c>
      <c r="L588"/>
      <c r="N588"/>
      <c r="O588">
        <v>497</v>
      </c>
      <c r="P588">
        <v>236</v>
      </c>
      <c r="Q588" s="4">
        <v>117292</v>
      </c>
      <c r="R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  <c r="AB588" s="3">
        <v>42562</v>
      </c>
      <c r="AC588" t="s">
        <v>53</v>
      </c>
      <c r="AD588" t="s">
        <v>53</v>
      </c>
      <c r="AK588">
        <v>0</v>
      </c>
      <c r="AU588" s="3">
        <v>42416</v>
      </c>
      <c r="AV588" s="3">
        <v>42416</v>
      </c>
      <c r="AW588" t="s">
        <v>54</v>
      </c>
      <c r="AX588" t="str">
        <f t="shared" si="64"/>
        <v>FOR</v>
      </c>
      <c r="AY588" t="s">
        <v>55</v>
      </c>
    </row>
    <row r="589" spans="1:51">
      <c r="A589">
        <v>100477</v>
      </c>
      <c r="B589" t="s">
        <v>118</v>
      </c>
      <c r="C589" t="str">
        <f>"02672640618"</f>
        <v>02672640618</v>
      </c>
      <c r="D589" t="str">
        <f>"RGGSST59E11B227F"</f>
        <v>RGGSST59E11B227F</v>
      </c>
      <c r="E589" t="s">
        <v>52</v>
      </c>
      <c r="F589">
        <v>2015</v>
      </c>
      <c r="G589" t="str">
        <f>"                4-PA"</f>
        <v xml:space="preserve">                4-PA</v>
      </c>
      <c r="H589" s="3">
        <v>42335</v>
      </c>
      <c r="I589" s="3">
        <v>42461</v>
      </c>
      <c r="J589" s="3">
        <v>42459</v>
      </c>
      <c r="K589" s="3">
        <v>42519</v>
      </c>
      <c r="L589" s="5">
        <v>1334.5</v>
      </c>
      <c r="M589">
        <v>1</v>
      </c>
      <c r="N589" s="5">
        <v>1334.5</v>
      </c>
      <c r="O589" s="4">
        <v>1334.5</v>
      </c>
      <c r="P589">
        <v>1</v>
      </c>
      <c r="Q589" s="4">
        <v>1334.5</v>
      </c>
      <c r="R589">
        <v>0</v>
      </c>
      <c r="V589">
        <v>0</v>
      </c>
      <c r="W589" s="4">
        <v>1334.5</v>
      </c>
      <c r="X589">
        <v>0</v>
      </c>
      <c r="Y589">
        <v>0</v>
      </c>
      <c r="Z589" s="4">
        <v>1334.5</v>
      </c>
      <c r="AA589">
        <v>0</v>
      </c>
      <c r="AB589" s="3">
        <v>42562</v>
      </c>
      <c r="AC589" t="s">
        <v>53</v>
      </c>
      <c r="AD589" t="s">
        <v>53</v>
      </c>
      <c r="AK589">
        <v>0</v>
      </c>
      <c r="AU589" s="3">
        <v>42520</v>
      </c>
      <c r="AV589" s="3">
        <v>42520</v>
      </c>
      <c r="AW589" t="s">
        <v>54</v>
      </c>
      <c r="AX589" t="str">
        <f>"ALTPRO"</f>
        <v>ALTPRO</v>
      </c>
      <c r="AY589" t="s">
        <v>93</v>
      </c>
    </row>
    <row r="590" spans="1:51" hidden="1">
      <c r="A590">
        <v>100486</v>
      </c>
      <c r="B590" t="s">
        <v>119</v>
      </c>
      <c r="C590" t="str">
        <f>"11575580151"</f>
        <v>11575580151</v>
      </c>
      <c r="D590" t="str">
        <f>"11575580151"</f>
        <v>11575580151</v>
      </c>
      <c r="E590" t="s">
        <v>52</v>
      </c>
      <c r="F590">
        <v>2015</v>
      </c>
      <c r="G590" t="str">
        <f>"                3715"</f>
        <v xml:space="preserve">                3715</v>
      </c>
      <c r="H590" s="3">
        <v>42062</v>
      </c>
      <c r="I590" s="3">
        <v>42110</v>
      </c>
      <c r="J590" s="3">
        <v>42110</v>
      </c>
      <c r="K590" s="3">
        <v>42170</v>
      </c>
      <c r="L590"/>
      <c r="N590"/>
      <c r="O590">
        <v>508.4</v>
      </c>
      <c r="P590">
        <v>238</v>
      </c>
      <c r="Q590" s="4">
        <v>120999.2</v>
      </c>
      <c r="R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  <c r="AB590" s="3">
        <v>42562</v>
      </c>
      <c r="AC590" t="s">
        <v>53</v>
      </c>
      <c r="AD590" t="s">
        <v>53</v>
      </c>
      <c r="AK590">
        <v>0</v>
      </c>
      <c r="AU590" s="3">
        <v>42408</v>
      </c>
      <c r="AV590" s="3">
        <v>42408</v>
      </c>
      <c r="AW590" t="s">
        <v>54</v>
      </c>
      <c r="AX590" t="str">
        <f t="shared" ref="AX590:AX605" si="69">"FOR"</f>
        <v>FOR</v>
      </c>
      <c r="AY590" t="s">
        <v>55</v>
      </c>
    </row>
    <row r="591" spans="1:51">
      <c r="A591">
        <v>100486</v>
      </c>
      <c r="B591" t="s">
        <v>119</v>
      </c>
      <c r="C591" t="str">
        <f>"11575580151"</f>
        <v>11575580151</v>
      </c>
      <c r="D591" t="str">
        <f>"11575580151"</f>
        <v>11575580151</v>
      </c>
      <c r="E591" t="s">
        <v>52</v>
      </c>
      <c r="F591">
        <v>2015</v>
      </c>
      <c r="G591" t="str">
        <f>"              011557"</f>
        <v xml:space="preserve">              011557</v>
      </c>
      <c r="H591" s="3">
        <v>42174</v>
      </c>
      <c r="I591" s="3">
        <v>42205</v>
      </c>
      <c r="J591" s="3">
        <v>42205</v>
      </c>
      <c r="K591" s="3">
        <v>42265</v>
      </c>
      <c r="L591" s="5">
        <v>1521</v>
      </c>
      <c r="M591">
        <v>222</v>
      </c>
      <c r="N591" s="5">
        <v>337662</v>
      </c>
      <c r="O591" s="4">
        <v>1521</v>
      </c>
      <c r="P591">
        <v>222</v>
      </c>
      <c r="Q591" s="4">
        <v>337662</v>
      </c>
      <c r="R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 s="3">
        <v>42562</v>
      </c>
      <c r="AC591" t="s">
        <v>53</v>
      </c>
      <c r="AD591" t="s">
        <v>53</v>
      </c>
      <c r="AK591">
        <v>0</v>
      </c>
      <c r="AU591" s="3">
        <v>42487</v>
      </c>
      <c r="AV591" s="3">
        <v>42487</v>
      </c>
      <c r="AW591" t="s">
        <v>54</v>
      </c>
      <c r="AX591" t="str">
        <f t="shared" si="69"/>
        <v>FOR</v>
      </c>
      <c r="AY591" t="s">
        <v>55</v>
      </c>
    </row>
    <row r="592" spans="1:51" hidden="1">
      <c r="A592">
        <v>100491</v>
      </c>
      <c r="B592" t="s">
        <v>120</v>
      </c>
      <c r="C592" t="str">
        <f>"00175410265"</f>
        <v>00175410265</v>
      </c>
      <c r="D592" t="str">
        <f>"00175410265"</f>
        <v>00175410265</v>
      </c>
      <c r="E592" t="s">
        <v>52</v>
      </c>
      <c r="F592">
        <v>2015</v>
      </c>
      <c r="G592" t="str">
        <f>"               184/L"</f>
        <v xml:space="preserve">               184/L</v>
      </c>
      <c r="H592" s="3">
        <v>42111</v>
      </c>
      <c r="I592" s="3">
        <v>42128</v>
      </c>
      <c r="J592" s="3">
        <v>42123</v>
      </c>
      <c r="K592" s="3">
        <v>42183</v>
      </c>
      <c r="L592"/>
      <c r="N592"/>
      <c r="O592" s="4">
        <v>1194.4000000000001</v>
      </c>
      <c r="P592">
        <v>233</v>
      </c>
      <c r="Q592" s="4">
        <v>278295.2</v>
      </c>
      <c r="R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  <c r="AB592" s="3">
        <v>42562</v>
      </c>
      <c r="AC592" t="s">
        <v>53</v>
      </c>
      <c r="AD592" t="s">
        <v>53</v>
      </c>
      <c r="AK592">
        <v>0</v>
      </c>
      <c r="AU592" s="3">
        <v>42416</v>
      </c>
      <c r="AV592" s="3">
        <v>42416</v>
      </c>
      <c r="AW592" t="s">
        <v>54</v>
      </c>
      <c r="AX592" t="str">
        <f t="shared" si="69"/>
        <v>FOR</v>
      </c>
      <c r="AY592" t="s">
        <v>55</v>
      </c>
    </row>
    <row r="593" spans="1:51" hidden="1">
      <c r="A593">
        <v>100494</v>
      </c>
      <c r="B593" t="s">
        <v>121</v>
      </c>
      <c r="C593" t="str">
        <f t="shared" ref="C593:D602" si="70">"03524050238"</f>
        <v>03524050238</v>
      </c>
      <c r="D593" t="str">
        <f t="shared" si="70"/>
        <v>03524050238</v>
      </c>
      <c r="E593" t="s">
        <v>52</v>
      </c>
      <c r="F593">
        <v>2015</v>
      </c>
      <c r="G593" t="str">
        <f>"           740380374"</f>
        <v xml:space="preserve">           740380374</v>
      </c>
      <c r="H593" s="3">
        <v>42072</v>
      </c>
      <c r="I593" s="3">
        <v>42097</v>
      </c>
      <c r="J593" s="3">
        <v>42097</v>
      </c>
      <c r="K593" s="3">
        <v>42157</v>
      </c>
      <c r="L593"/>
      <c r="N593"/>
      <c r="O593">
        <v>345</v>
      </c>
      <c r="P593">
        <v>258</v>
      </c>
      <c r="Q593" s="4">
        <v>89010</v>
      </c>
      <c r="R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 s="3">
        <v>42562</v>
      </c>
      <c r="AC593" t="s">
        <v>53</v>
      </c>
      <c r="AD593" t="s">
        <v>53</v>
      </c>
      <c r="AK593">
        <v>0</v>
      </c>
      <c r="AU593" s="3">
        <v>42415</v>
      </c>
      <c r="AV593" s="3">
        <v>42415</v>
      </c>
      <c r="AW593" t="s">
        <v>54</v>
      </c>
      <c r="AX593" t="str">
        <f t="shared" si="69"/>
        <v>FOR</v>
      </c>
      <c r="AY593" t="s">
        <v>55</v>
      </c>
    </row>
    <row r="594" spans="1:51" hidden="1">
      <c r="A594">
        <v>100494</v>
      </c>
      <c r="B594" t="s">
        <v>121</v>
      </c>
      <c r="C594" t="str">
        <f t="shared" si="70"/>
        <v>03524050238</v>
      </c>
      <c r="D594" t="str">
        <f t="shared" si="70"/>
        <v>03524050238</v>
      </c>
      <c r="E594" t="s">
        <v>52</v>
      </c>
      <c r="F594">
        <v>2015</v>
      </c>
      <c r="G594" t="str">
        <f>"          0740384846"</f>
        <v xml:space="preserve">          0740384846</v>
      </c>
      <c r="H594" s="3">
        <v>42095</v>
      </c>
      <c r="I594" s="3">
        <v>42115</v>
      </c>
      <c r="J594" s="3">
        <v>42114</v>
      </c>
      <c r="K594" s="3">
        <v>42174</v>
      </c>
      <c r="L594"/>
      <c r="N594"/>
      <c r="O594">
        <v>545</v>
      </c>
      <c r="P594">
        <v>278</v>
      </c>
      <c r="Q594" s="4">
        <v>151510</v>
      </c>
      <c r="R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 s="3">
        <v>42562</v>
      </c>
      <c r="AC594" t="s">
        <v>53</v>
      </c>
      <c r="AD594" t="s">
        <v>53</v>
      </c>
      <c r="AK594">
        <v>0</v>
      </c>
      <c r="AU594" s="3">
        <v>42452</v>
      </c>
      <c r="AV594" s="3">
        <v>42452</v>
      </c>
      <c r="AW594" t="s">
        <v>54</v>
      </c>
      <c r="AX594" t="str">
        <f t="shared" si="69"/>
        <v>FOR</v>
      </c>
      <c r="AY594" t="s">
        <v>55</v>
      </c>
    </row>
    <row r="595" spans="1:51" hidden="1">
      <c r="A595">
        <v>100494</v>
      </c>
      <c r="B595" t="s">
        <v>121</v>
      </c>
      <c r="C595" t="str">
        <f t="shared" si="70"/>
        <v>03524050238</v>
      </c>
      <c r="D595" t="str">
        <f t="shared" si="70"/>
        <v>03524050238</v>
      </c>
      <c r="E595" t="s">
        <v>52</v>
      </c>
      <c r="F595">
        <v>2015</v>
      </c>
      <c r="G595" t="str">
        <f>"          0740385759"</f>
        <v xml:space="preserve">          0740385759</v>
      </c>
      <c r="H595" s="3">
        <v>42102</v>
      </c>
      <c r="I595" s="3">
        <v>42124</v>
      </c>
      <c r="J595" s="3">
        <v>42124</v>
      </c>
      <c r="K595" s="3">
        <v>42184</v>
      </c>
      <c r="L595"/>
      <c r="N595"/>
      <c r="O595" s="4">
        <v>11400</v>
      </c>
      <c r="P595">
        <v>268</v>
      </c>
      <c r="Q595" s="4">
        <v>3055200</v>
      </c>
      <c r="R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 s="3">
        <v>42562</v>
      </c>
      <c r="AC595" t="s">
        <v>53</v>
      </c>
      <c r="AD595" t="s">
        <v>53</v>
      </c>
      <c r="AK595">
        <v>0</v>
      </c>
      <c r="AU595" s="3">
        <v>42452</v>
      </c>
      <c r="AV595" s="3">
        <v>42452</v>
      </c>
      <c r="AW595" t="s">
        <v>54</v>
      </c>
      <c r="AX595" t="str">
        <f t="shared" si="69"/>
        <v>FOR</v>
      </c>
      <c r="AY595" t="s">
        <v>55</v>
      </c>
    </row>
    <row r="596" spans="1:51" hidden="1">
      <c r="A596">
        <v>100494</v>
      </c>
      <c r="B596" t="s">
        <v>121</v>
      </c>
      <c r="C596" t="str">
        <f t="shared" si="70"/>
        <v>03524050238</v>
      </c>
      <c r="D596" t="str">
        <f t="shared" si="70"/>
        <v>03524050238</v>
      </c>
      <c r="E596" t="s">
        <v>52</v>
      </c>
      <c r="F596">
        <v>2015</v>
      </c>
      <c r="G596" t="str">
        <f>"          0740391219"</f>
        <v xml:space="preserve">          0740391219</v>
      </c>
      <c r="H596" s="3">
        <v>42131</v>
      </c>
      <c r="I596" s="3">
        <v>42135</v>
      </c>
      <c r="J596" s="3">
        <v>42133</v>
      </c>
      <c r="K596" s="3">
        <v>42193</v>
      </c>
      <c r="L596"/>
      <c r="N596"/>
      <c r="O596" s="4">
        <v>3420</v>
      </c>
      <c r="P596">
        <v>259</v>
      </c>
      <c r="Q596" s="4">
        <v>885780</v>
      </c>
      <c r="R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 s="3">
        <v>42562</v>
      </c>
      <c r="AC596" t="s">
        <v>53</v>
      </c>
      <c r="AD596" t="s">
        <v>53</v>
      </c>
      <c r="AK596">
        <v>0</v>
      </c>
      <c r="AU596" s="3">
        <v>42452</v>
      </c>
      <c r="AV596" s="3">
        <v>42452</v>
      </c>
      <c r="AW596" t="s">
        <v>54</v>
      </c>
      <c r="AX596" t="str">
        <f t="shared" si="69"/>
        <v>FOR</v>
      </c>
      <c r="AY596" t="s">
        <v>55</v>
      </c>
    </row>
    <row r="597" spans="1:51" hidden="1">
      <c r="A597">
        <v>100494</v>
      </c>
      <c r="B597" t="s">
        <v>121</v>
      </c>
      <c r="C597" t="str">
        <f t="shared" si="70"/>
        <v>03524050238</v>
      </c>
      <c r="D597" t="str">
        <f t="shared" si="70"/>
        <v>03524050238</v>
      </c>
      <c r="E597" t="s">
        <v>52</v>
      </c>
      <c r="F597">
        <v>2015</v>
      </c>
      <c r="G597" t="str">
        <f>"          0740392334"</f>
        <v xml:space="preserve">          0740392334</v>
      </c>
      <c r="H597" s="3">
        <v>42137</v>
      </c>
      <c r="I597" s="3">
        <v>42158</v>
      </c>
      <c r="J597" s="3">
        <v>42139</v>
      </c>
      <c r="K597" s="3">
        <v>42199</v>
      </c>
      <c r="L597"/>
      <c r="N597"/>
      <c r="O597">
        <v>630</v>
      </c>
      <c r="P597">
        <v>253</v>
      </c>
      <c r="Q597" s="4">
        <v>159390</v>
      </c>
      <c r="R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  <c r="AB597" s="3">
        <v>42562</v>
      </c>
      <c r="AC597" t="s">
        <v>53</v>
      </c>
      <c r="AD597" t="s">
        <v>53</v>
      </c>
      <c r="AK597">
        <v>0</v>
      </c>
      <c r="AU597" s="3">
        <v>42452</v>
      </c>
      <c r="AV597" s="3">
        <v>42452</v>
      </c>
      <c r="AW597" t="s">
        <v>54</v>
      </c>
      <c r="AX597" t="str">
        <f t="shared" si="69"/>
        <v>FOR</v>
      </c>
      <c r="AY597" t="s">
        <v>55</v>
      </c>
    </row>
    <row r="598" spans="1:51" hidden="1">
      <c r="A598">
        <v>100494</v>
      </c>
      <c r="B598" t="s">
        <v>121</v>
      </c>
      <c r="C598" t="str">
        <f t="shared" si="70"/>
        <v>03524050238</v>
      </c>
      <c r="D598" t="str">
        <f t="shared" si="70"/>
        <v>03524050238</v>
      </c>
      <c r="E598" t="s">
        <v>52</v>
      </c>
      <c r="F598">
        <v>2015</v>
      </c>
      <c r="G598" t="str">
        <f>"          0740392908"</f>
        <v xml:space="preserve">          0740392908</v>
      </c>
      <c r="H598" s="3">
        <v>42139</v>
      </c>
      <c r="I598" s="3">
        <v>42160</v>
      </c>
      <c r="J598" s="3">
        <v>42142</v>
      </c>
      <c r="K598" s="3">
        <v>42202</v>
      </c>
      <c r="L598"/>
      <c r="N598"/>
      <c r="O598" s="4">
        <v>4050</v>
      </c>
      <c r="P598">
        <v>250</v>
      </c>
      <c r="Q598" s="4">
        <v>1012500</v>
      </c>
      <c r="R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  <c r="AB598" s="3">
        <v>42562</v>
      </c>
      <c r="AC598" t="s">
        <v>53</v>
      </c>
      <c r="AD598" t="s">
        <v>53</v>
      </c>
      <c r="AK598">
        <v>0</v>
      </c>
      <c r="AU598" s="3">
        <v>42452</v>
      </c>
      <c r="AV598" s="3">
        <v>42452</v>
      </c>
      <c r="AW598" t="s">
        <v>54</v>
      </c>
      <c r="AX598" t="str">
        <f t="shared" si="69"/>
        <v>FOR</v>
      </c>
      <c r="AY598" t="s">
        <v>55</v>
      </c>
    </row>
    <row r="599" spans="1:51" hidden="1">
      <c r="A599">
        <v>100494</v>
      </c>
      <c r="B599" t="s">
        <v>121</v>
      </c>
      <c r="C599" t="str">
        <f t="shared" si="70"/>
        <v>03524050238</v>
      </c>
      <c r="D599" t="str">
        <f t="shared" si="70"/>
        <v>03524050238</v>
      </c>
      <c r="E599" t="s">
        <v>52</v>
      </c>
      <c r="F599">
        <v>2015</v>
      </c>
      <c r="G599" t="str">
        <f>"          0740392909"</f>
        <v xml:space="preserve">          0740392909</v>
      </c>
      <c r="H599" s="3">
        <v>42139</v>
      </c>
      <c r="I599" s="3">
        <v>42165</v>
      </c>
      <c r="J599" s="3">
        <v>42142</v>
      </c>
      <c r="K599" s="3">
        <v>42202</v>
      </c>
      <c r="L599"/>
      <c r="N599"/>
      <c r="O599">
        <v>93.5</v>
      </c>
      <c r="P599">
        <v>250</v>
      </c>
      <c r="Q599" s="4">
        <v>23375</v>
      </c>
      <c r="R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 s="3">
        <v>42562</v>
      </c>
      <c r="AC599" t="s">
        <v>53</v>
      </c>
      <c r="AD599" t="s">
        <v>53</v>
      </c>
      <c r="AK599">
        <v>0</v>
      </c>
      <c r="AU599" s="3">
        <v>42452</v>
      </c>
      <c r="AV599" s="3">
        <v>42452</v>
      </c>
      <c r="AW599" t="s">
        <v>54</v>
      </c>
      <c r="AX599" t="str">
        <f t="shared" si="69"/>
        <v>FOR</v>
      </c>
      <c r="AY599" t="s">
        <v>55</v>
      </c>
    </row>
    <row r="600" spans="1:51">
      <c r="A600">
        <v>100494</v>
      </c>
      <c r="B600" t="s">
        <v>121</v>
      </c>
      <c r="C600" t="str">
        <f t="shared" si="70"/>
        <v>03524050238</v>
      </c>
      <c r="D600" t="str">
        <f t="shared" si="70"/>
        <v>03524050238</v>
      </c>
      <c r="E600" t="s">
        <v>52</v>
      </c>
      <c r="F600">
        <v>2015</v>
      </c>
      <c r="G600" t="str">
        <f>"          0740399732"</f>
        <v xml:space="preserve">          0740399732</v>
      </c>
      <c r="H600" s="3">
        <v>42179</v>
      </c>
      <c r="I600" s="3">
        <v>42202</v>
      </c>
      <c r="J600" s="3">
        <v>42200</v>
      </c>
      <c r="K600" s="3">
        <v>42260</v>
      </c>
      <c r="L600" s="5">
        <v>12860</v>
      </c>
      <c r="M600">
        <v>232</v>
      </c>
      <c r="N600" s="5">
        <v>2983520</v>
      </c>
      <c r="O600" s="4">
        <v>12860</v>
      </c>
      <c r="P600">
        <v>232</v>
      </c>
      <c r="Q600" s="4">
        <v>2983520</v>
      </c>
      <c r="R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 s="3">
        <v>42562</v>
      </c>
      <c r="AC600" t="s">
        <v>53</v>
      </c>
      <c r="AD600" t="s">
        <v>53</v>
      </c>
      <c r="AK600">
        <v>0</v>
      </c>
      <c r="AU600" s="3">
        <v>42492</v>
      </c>
      <c r="AV600" s="3">
        <v>42492</v>
      </c>
      <c r="AW600" t="s">
        <v>54</v>
      </c>
      <c r="AX600" t="str">
        <f t="shared" si="69"/>
        <v>FOR</v>
      </c>
      <c r="AY600" t="s">
        <v>55</v>
      </c>
    </row>
    <row r="601" spans="1:51">
      <c r="A601">
        <v>100494</v>
      </c>
      <c r="B601" t="s">
        <v>121</v>
      </c>
      <c r="C601" t="str">
        <f t="shared" si="70"/>
        <v>03524050238</v>
      </c>
      <c r="D601" t="str">
        <f t="shared" si="70"/>
        <v>03524050238</v>
      </c>
      <c r="E601" t="s">
        <v>52</v>
      </c>
      <c r="F601">
        <v>2015</v>
      </c>
      <c r="G601" t="str">
        <f>"          0740399938"</f>
        <v xml:space="preserve">          0740399938</v>
      </c>
      <c r="H601" s="3">
        <v>42180</v>
      </c>
      <c r="I601" s="3">
        <v>42212</v>
      </c>
      <c r="J601" s="3">
        <v>42212</v>
      </c>
      <c r="K601" s="3">
        <v>42272</v>
      </c>
      <c r="L601" s="5">
        <v>1258</v>
      </c>
      <c r="M601">
        <v>220</v>
      </c>
      <c r="N601" s="5">
        <v>276760</v>
      </c>
      <c r="O601" s="4">
        <v>1258</v>
      </c>
      <c r="P601">
        <v>220</v>
      </c>
      <c r="Q601" s="4">
        <v>276760</v>
      </c>
      <c r="R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 s="3">
        <v>42562</v>
      </c>
      <c r="AC601" t="s">
        <v>53</v>
      </c>
      <c r="AD601" t="s">
        <v>53</v>
      </c>
      <c r="AK601">
        <v>0</v>
      </c>
      <c r="AU601" s="3">
        <v>42492</v>
      </c>
      <c r="AV601" s="3">
        <v>42492</v>
      </c>
      <c r="AW601" t="s">
        <v>54</v>
      </c>
      <c r="AX601" t="str">
        <f t="shared" si="69"/>
        <v>FOR</v>
      </c>
      <c r="AY601" t="s">
        <v>55</v>
      </c>
    </row>
    <row r="602" spans="1:51" hidden="1">
      <c r="A602">
        <v>100494</v>
      </c>
      <c r="B602" t="s">
        <v>121</v>
      </c>
      <c r="C602" t="str">
        <f t="shared" si="70"/>
        <v>03524050238</v>
      </c>
      <c r="D602" t="str">
        <f t="shared" si="70"/>
        <v>03524050238</v>
      </c>
      <c r="E602" t="s">
        <v>52</v>
      </c>
      <c r="F602">
        <v>2015</v>
      </c>
      <c r="G602" t="str">
        <f>"          0740413908"</f>
        <v xml:space="preserve">          0740413908</v>
      </c>
      <c r="H602" s="3">
        <v>42277</v>
      </c>
      <c r="I602" s="3">
        <v>42282</v>
      </c>
      <c r="J602" s="3">
        <v>42279</v>
      </c>
      <c r="K602" s="3">
        <v>42339</v>
      </c>
      <c r="L602"/>
      <c r="N602"/>
      <c r="O602">
        <v>27.6</v>
      </c>
      <c r="P602">
        <v>64</v>
      </c>
      <c r="Q602" s="4">
        <v>1766.4</v>
      </c>
      <c r="R602">
        <v>2.76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  <c r="AB602" s="3">
        <v>42562</v>
      </c>
      <c r="AC602" t="s">
        <v>53</v>
      </c>
      <c r="AD602" t="s">
        <v>53</v>
      </c>
      <c r="AK602">
        <v>2.76</v>
      </c>
      <c r="AU602" s="3">
        <v>42403</v>
      </c>
      <c r="AV602" s="3">
        <v>42403</v>
      </c>
      <c r="AW602" t="s">
        <v>54</v>
      </c>
      <c r="AX602" t="str">
        <f t="shared" si="69"/>
        <v>FOR</v>
      </c>
      <c r="AY602" t="s">
        <v>55</v>
      </c>
    </row>
    <row r="603" spans="1:51" hidden="1">
      <c r="A603">
        <v>100500</v>
      </c>
      <c r="B603" t="s">
        <v>122</v>
      </c>
      <c r="C603" t="str">
        <f>"00777280157"</f>
        <v>00777280157</v>
      </c>
      <c r="D603" t="str">
        <f>"02401440157"</f>
        <v>02401440157</v>
      </c>
      <c r="E603" t="s">
        <v>52</v>
      </c>
      <c r="F603">
        <v>2015</v>
      </c>
      <c r="G603" t="str">
        <f>"          1000895232"</f>
        <v xml:space="preserve">          1000895232</v>
      </c>
      <c r="H603" s="3">
        <v>42038</v>
      </c>
      <c r="I603" s="3">
        <v>42054</v>
      </c>
      <c r="J603" s="3">
        <v>42054</v>
      </c>
      <c r="K603" s="3">
        <v>42114</v>
      </c>
      <c r="L603"/>
      <c r="N603"/>
      <c r="O603">
        <v>960</v>
      </c>
      <c r="P603">
        <v>289</v>
      </c>
      <c r="Q603" s="4">
        <v>277440</v>
      </c>
      <c r="R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  <c r="AB603" s="3">
        <v>42562</v>
      </c>
      <c r="AC603" t="s">
        <v>53</v>
      </c>
      <c r="AD603" t="s">
        <v>53</v>
      </c>
      <c r="AK603">
        <v>0</v>
      </c>
      <c r="AU603" s="3">
        <v>42403</v>
      </c>
      <c r="AV603" s="3">
        <v>42403</v>
      </c>
      <c r="AW603" t="s">
        <v>54</v>
      </c>
      <c r="AX603" t="str">
        <f t="shared" si="69"/>
        <v>FOR</v>
      </c>
      <c r="AY603" t="s">
        <v>55</v>
      </c>
    </row>
    <row r="604" spans="1:51" hidden="1">
      <c r="A604">
        <v>100500</v>
      </c>
      <c r="B604" t="s">
        <v>122</v>
      </c>
      <c r="C604" t="str">
        <f>"00777280157"</f>
        <v>00777280157</v>
      </c>
      <c r="D604" t="str">
        <f>"02401440157"</f>
        <v>02401440157</v>
      </c>
      <c r="E604" t="s">
        <v>52</v>
      </c>
      <c r="F604">
        <v>2015</v>
      </c>
      <c r="G604" t="str">
        <f>"          1000917008"</f>
        <v xml:space="preserve">          1000917008</v>
      </c>
      <c r="H604" s="3">
        <v>42095</v>
      </c>
      <c r="I604" s="3">
        <v>42212</v>
      </c>
      <c r="J604" s="3">
        <v>42209</v>
      </c>
      <c r="K604" s="3">
        <v>42269</v>
      </c>
      <c r="L604"/>
      <c r="N604"/>
      <c r="O604">
        <v>624</v>
      </c>
      <c r="P604">
        <v>183</v>
      </c>
      <c r="Q604" s="4">
        <v>114192</v>
      </c>
      <c r="R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 s="3">
        <v>42562</v>
      </c>
      <c r="AC604" t="s">
        <v>53</v>
      </c>
      <c r="AD604" t="s">
        <v>53</v>
      </c>
      <c r="AK604">
        <v>0</v>
      </c>
      <c r="AU604" s="3">
        <v>42452</v>
      </c>
      <c r="AV604" s="3">
        <v>42452</v>
      </c>
      <c r="AW604" t="s">
        <v>54</v>
      </c>
      <c r="AX604" t="str">
        <f t="shared" si="69"/>
        <v>FOR</v>
      </c>
      <c r="AY604" t="s">
        <v>55</v>
      </c>
    </row>
    <row r="605" spans="1:51" hidden="1">
      <c r="A605">
        <v>100500</v>
      </c>
      <c r="B605" t="s">
        <v>122</v>
      </c>
      <c r="C605" t="str">
        <f>"00777280157"</f>
        <v>00777280157</v>
      </c>
      <c r="D605" t="str">
        <f>"02401440157"</f>
        <v>02401440157</v>
      </c>
      <c r="E605" t="s">
        <v>52</v>
      </c>
      <c r="F605">
        <v>2015</v>
      </c>
      <c r="G605" t="str">
        <f>"          1000934178"</f>
        <v xml:space="preserve">          1000934178</v>
      </c>
      <c r="H605" s="3">
        <v>42153</v>
      </c>
      <c r="I605" s="3">
        <v>42212</v>
      </c>
      <c r="J605" s="3">
        <v>42209</v>
      </c>
      <c r="K605" s="3">
        <v>42269</v>
      </c>
      <c r="L605"/>
      <c r="N605"/>
      <c r="O605">
        <v>624</v>
      </c>
      <c r="P605">
        <v>183</v>
      </c>
      <c r="Q605" s="4">
        <v>114192</v>
      </c>
      <c r="R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  <c r="AB605" s="3">
        <v>42562</v>
      </c>
      <c r="AC605" t="s">
        <v>53</v>
      </c>
      <c r="AD605" t="s">
        <v>53</v>
      </c>
      <c r="AK605">
        <v>0</v>
      </c>
      <c r="AU605" s="3">
        <v>42452</v>
      </c>
      <c r="AV605" s="3">
        <v>42452</v>
      </c>
      <c r="AW605" t="s">
        <v>54</v>
      </c>
      <c r="AX605" t="str">
        <f t="shared" si="69"/>
        <v>FOR</v>
      </c>
      <c r="AY605" t="s">
        <v>55</v>
      </c>
    </row>
    <row r="606" spans="1:51" hidden="1">
      <c r="A606">
        <v>100512</v>
      </c>
      <c r="B606" t="s">
        <v>123</v>
      </c>
      <c r="C606" t="str">
        <f>"01407950623"</f>
        <v>01407950623</v>
      </c>
      <c r="D606" t="str">
        <f>"GGLCCT80M44A783D"</f>
        <v>GGLCCT80M44A783D</v>
      </c>
      <c r="E606" t="s">
        <v>52</v>
      </c>
      <c r="F606">
        <v>2016</v>
      </c>
      <c r="G606" t="str">
        <f>"         FATTPA 1_16"</f>
        <v xml:space="preserve">         FATTPA 1_16</v>
      </c>
      <c r="H606" s="3">
        <v>42404</v>
      </c>
      <c r="I606" s="3">
        <v>42405</v>
      </c>
      <c r="J606" s="3">
        <v>42404</v>
      </c>
      <c r="K606" s="3">
        <v>42464</v>
      </c>
      <c r="L606"/>
      <c r="N606"/>
      <c r="O606" s="4">
        <v>2024.91</v>
      </c>
      <c r="P606">
        <v>-38</v>
      </c>
      <c r="Q606" s="4">
        <v>-76946.58</v>
      </c>
      <c r="R606">
        <v>0</v>
      </c>
      <c r="V606">
        <v>0</v>
      </c>
      <c r="W606">
        <v>0</v>
      </c>
      <c r="X606">
        <v>0</v>
      </c>
      <c r="Y606">
        <v>-505.73</v>
      </c>
      <c r="Z606" s="4">
        <v>2024.91</v>
      </c>
      <c r="AA606" s="4">
        <v>2024.91</v>
      </c>
      <c r="AB606" s="3">
        <v>42562</v>
      </c>
      <c r="AC606" t="s">
        <v>53</v>
      </c>
      <c r="AD606" t="s">
        <v>53</v>
      </c>
      <c r="AK606">
        <v>0</v>
      </c>
      <c r="AU606" s="3">
        <v>42426</v>
      </c>
      <c r="AV606" s="3">
        <v>42426</v>
      </c>
      <c r="AW606" t="s">
        <v>54</v>
      </c>
      <c r="AX606" t="str">
        <f>"ALTPRO"</f>
        <v>ALTPRO</v>
      </c>
      <c r="AY606" t="s">
        <v>93</v>
      </c>
    </row>
    <row r="607" spans="1:51" hidden="1">
      <c r="A607">
        <v>100512</v>
      </c>
      <c r="B607" t="s">
        <v>123</v>
      </c>
      <c r="C607" t="str">
        <f>"01407950623"</f>
        <v>01407950623</v>
      </c>
      <c r="D607" t="str">
        <f>"GGLCCT80M44A783D"</f>
        <v>GGLCCT80M44A783D</v>
      </c>
      <c r="E607" t="s">
        <v>52</v>
      </c>
      <c r="F607">
        <v>2016</v>
      </c>
      <c r="G607" t="str">
        <f>"         FATTPA 2_16"</f>
        <v xml:space="preserve">         FATTPA 2_16</v>
      </c>
      <c r="H607" s="3">
        <v>42404</v>
      </c>
      <c r="I607" s="3">
        <v>42405</v>
      </c>
      <c r="J607" s="3">
        <v>42404</v>
      </c>
      <c r="K607" s="3">
        <v>42464</v>
      </c>
      <c r="L607"/>
      <c r="N607"/>
      <c r="O607" s="4">
        <v>2024.91</v>
      </c>
      <c r="P607">
        <v>-38</v>
      </c>
      <c r="Q607" s="4">
        <v>-76946.58</v>
      </c>
      <c r="R607">
        <v>0</v>
      </c>
      <c r="V607">
        <v>0</v>
      </c>
      <c r="W607">
        <v>0</v>
      </c>
      <c r="X607">
        <v>0</v>
      </c>
      <c r="Y607" s="4">
        <v>2024.91</v>
      </c>
      <c r="Z607" s="4">
        <v>2024.91</v>
      </c>
      <c r="AA607" s="4">
        <v>2024.91</v>
      </c>
      <c r="AB607" s="3">
        <v>42562</v>
      </c>
      <c r="AC607" t="s">
        <v>53</v>
      </c>
      <c r="AD607" t="s">
        <v>53</v>
      </c>
      <c r="AK607">
        <v>0</v>
      </c>
      <c r="AU607" s="3">
        <v>42426</v>
      </c>
      <c r="AV607" s="3">
        <v>42426</v>
      </c>
      <c r="AW607" t="s">
        <v>54</v>
      </c>
      <c r="AX607" t="str">
        <f>"ALTPRO"</f>
        <v>ALTPRO</v>
      </c>
      <c r="AY607" t="s">
        <v>93</v>
      </c>
    </row>
    <row r="608" spans="1:51">
      <c r="A608">
        <v>100512</v>
      </c>
      <c r="B608" t="s">
        <v>123</v>
      </c>
      <c r="C608" t="str">
        <f>"01407950623"</f>
        <v>01407950623</v>
      </c>
      <c r="D608" t="str">
        <f>"GGLCCT80M44A783D"</f>
        <v>GGLCCT80M44A783D</v>
      </c>
      <c r="E608" t="s">
        <v>52</v>
      </c>
      <c r="F608">
        <v>2016</v>
      </c>
      <c r="G608" t="str">
        <f>"         FATTPA 3_16"</f>
        <v xml:space="preserve">         FATTPA 3_16</v>
      </c>
      <c r="H608" s="3">
        <v>42468</v>
      </c>
      <c r="I608" s="3">
        <v>42471</v>
      </c>
      <c r="J608" s="3">
        <v>42469</v>
      </c>
      <c r="K608" s="3">
        <v>42529</v>
      </c>
      <c r="L608" s="5">
        <v>2109.1999999999998</v>
      </c>
      <c r="M608">
        <v>-42</v>
      </c>
      <c r="N608" s="5">
        <v>-88586.4</v>
      </c>
      <c r="O608" s="4">
        <v>2109.1999999999998</v>
      </c>
      <c r="P608">
        <v>-42</v>
      </c>
      <c r="Q608" s="4">
        <v>-88586.4</v>
      </c>
      <c r="R608">
        <v>0</v>
      </c>
      <c r="V608">
        <v>-526.79999999999995</v>
      </c>
      <c r="W608" s="4">
        <v>2109.1999999999998</v>
      </c>
      <c r="X608" s="4">
        <v>2109.1999999999998</v>
      </c>
      <c r="Y608" s="4">
        <v>2109.1999999999998</v>
      </c>
      <c r="Z608" s="4">
        <v>2109.1999999999998</v>
      </c>
      <c r="AA608" s="4">
        <v>2109.1999999999998</v>
      </c>
      <c r="AB608" s="3">
        <v>42562</v>
      </c>
      <c r="AC608" t="s">
        <v>53</v>
      </c>
      <c r="AD608" t="s">
        <v>53</v>
      </c>
      <c r="AK608">
        <v>0</v>
      </c>
      <c r="AU608" s="3">
        <v>42487</v>
      </c>
      <c r="AV608" s="3">
        <v>42487</v>
      </c>
      <c r="AW608" t="s">
        <v>54</v>
      </c>
      <c r="AX608" t="str">
        <f>"ALTPRO"</f>
        <v>ALTPRO</v>
      </c>
      <c r="AY608" t="s">
        <v>93</v>
      </c>
    </row>
    <row r="609" spans="1:51">
      <c r="A609">
        <v>100512</v>
      </c>
      <c r="B609" t="s">
        <v>123</v>
      </c>
      <c r="C609" t="str">
        <f>"01407950623"</f>
        <v>01407950623</v>
      </c>
      <c r="D609" t="str">
        <f>"GGLCCT80M44A783D"</f>
        <v>GGLCCT80M44A783D</v>
      </c>
      <c r="E609" t="s">
        <v>52</v>
      </c>
      <c r="F609">
        <v>2016</v>
      </c>
      <c r="G609" t="str">
        <f>"         FATTPA 4_16"</f>
        <v xml:space="preserve">         FATTPA 4_16</v>
      </c>
      <c r="H609" s="3">
        <v>42468</v>
      </c>
      <c r="I609" s="3">
        <v>42471</v>
      </c>
      <c r="J609" s="3">
        <v>42469</v>
      </c>
      <c r="K609" s="3">
        <v>42529</v>
      </c>
      <c r="L609" s="5">
        <v>2193.4899999999998</v>
      </c>
      <c r="M609">
        <v>-42</v>
      </c>
      <c r="N609" s="5">
        <v>-92126.58</v>
      </c>
      <c r="O609" s="4">
        <v>2193.4899999999998</v>
      </c>
      <c r="P609">
        <v>-42</v>
      </c>
      <c r="Q609" s="4">
        <v>-92126.58</v>
      </c>
      <c r="R609">
        <v>0</v>
      </c>
      <c r="V609">
        <v>-547.87</v>
      </c>
      <c r="W609" s="4">
        <v>2193.4899999999998</v>
      </c>
      <c r="X609" s="4">
        <v>2193.4899999999998</v>
      </c>
      <c r="Y609" s="4">
        <v>2193.4899999999998</v>
      </c>
      <c r="Z609" s="4">
        <v>2193.4899999999998</v>
      </c>
      <c r="AA609" s="4">
        <v>2193.4899999999998</v>
      </c>
      <c r="AB609" s="3">
        <v>42562</v>
      </c>
      <c r="AC609" t="s">
        <v>53</v>
      </c>
      <c r="AD609" t="s">
        <v>53</v>
      </c>
      <c r="AK609">
        <v>0</v>
      </c>
      <c r="AU609" s="3">
        <v>42487</v>
      </c>
      <c r="AV609" s="3">
        <v>42487</v>
      </c>
      <c r="AW609" t="s">
        <v>54</v>
      </c>
      <c r="AX609" t="str">
        <f>"ALTPRO"</f>
        <v>ALTPRO</v>
      </c>
      <c r="AY609" t="s">
        <v>93</v>
      </c>
    </row>
    <row r="610" spans="1:51">
      <c r="A610">
        <v>100512</v>
      </c>
      <c r="B610" t="s">
        <v>123</v>
      </c>
      <c r="C610" t="str">
        <f>"01407950623"</f>
        <v>01407950623</v>
      </c>
      <c r="D610" t="str">
        <f>"GGLCCT80M44A783D"</f>
        <v>GGLCCT80M44A783D</v>
      </c>
      <c r="E610" t="s">
        <v>52</v>
      </c>
      <c r="F610">
        <v>2016</v>
      </c>
      <c r="G610" t="str">
        <f>"         FATTPA 5_16"</f>
        <v xml:space="preserve">         FATTPA 5_16</v>
      </c>
      <c r="H610" s="3">
        <v>42496</v>
      </c>
      <c r="I610" s="3">
        <v>42499</v>
      </c>
      <c r="J610" s="3">
        <v>42496</v>
      </c>
      <c r="K610" s="3">
        <v>42556</v>
      </c>
      <c r="L610" s="5">
        <v>1821.78</v>
      </c>
      <c r="M610">
        <v>-40</v>
      </c>
      <c r="N610" s="5">
        <v>-72871.199999999997</v>
      </c>
      <c r="O610" s="4">
        <v>1821.78</v>
      </c>
      <c r="P610">
        <v>-40</v>
      </c>
      <c r="Q610" s="4">
        <v>-72871.199999999997</v>
      </c>
      <c r="R610">
        <v>0</v>
      </c>
      <c r="V610" s="4">
        <v>1821.78</v>
      </c>
      <c r="W610" s="4">
        <v>1821.78</v>
      </c>
      <c r="X610" s="4">
        <v>1821.78</v>
      </c>
      <c r="Y610" s="4">
        <v>1821.78</v>
      </c>
      <c r="Z610" s="4">
        <v>1821.78</v>
      </c>
      <c r="AA610" s="4">
        <v>1821.78</v>
      </c>
      <c r="AB610" s="3">
        <v>42562</v>
      </c>
      <c r="AC610" t="s">
        <v>53</v>
      </c>
      <c r="AD610" t="s">
        <v>53</v>
      </c>
      <c r="AK610">
        <v>0</v>
      </c>
      <c r="AU610" s="3">
        <v>42516</v>
      </c>
      <c r="AV610" s="3">
        <v>42516</v>
      </c>
      <c r="AW610" t="s">
        <v>54</v>
      </c>
      <c r="AX610" t="str">
        <f>"ALTPRO"</f>
        <v>ALTPRO</v>
      </c>
      <c r="AY610" t="s">
        <v>93</v>
      </c>
    </row>
    <row r="611" spans="1:51" hidden="1">
      <c r="A611">
        <v>100517</v>
      </c>
      <c r="B611" t="s">
        <v>124</v>
      </c>
      <c r="C611" t="str">
        <f t="shared" ref="C611:D614" si="71">"01115150540"</f>
        <v>01115150540</v>
      </c>
      <c r="D611" t="str">
        <f t="shared" si="71"/>
        <v>01115150540</v>
      </c>
      <c r="E611" t="s">
        <v>52</v>
      </c>
      <c r="F611">
        <v>2015</v>
      </c>
      <c r="G611" t="str">
        <f>"              558/15"</f>
        <v xml:space="preserve">              558/15</v>
      </c>
      <c r="H611" s="3">
        <v>42215</v>
      </c>
      <c r="I611" s="3">
        <v>42229</v>
      </c>
      <c r="J611" s="3">
        <v>42220</v>
      </c>
      <c r="K611" s="3">
        <v>42280</v>
      </c>
      <c r="L611"/>
      <c r="N611"/>
      <c r="O611" s="4">
        <v>1219</v>
      </c>
      <c r="P611">
        <v>172</v>
      </c>
      <c r="Q611" s="4">
        <v>209668</v>
      </c>
      <c r="R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  <c r="AB611" s="3">
        <v>42562</v>
      </c>
      <c r="AC611" t="s">
        <v>53</v>
      </c>
      <c r="AD611" t="s">
        <v>53</v>
      </c>
      <c r="AK611">
        <v>0</v>
      </c>
      <c r="AU611" s="3">
        <v>42452</v>
      </c>
      <c r="AV611" s="3">
        <v>42452</v>
      </c>
      <c r="AW611" t="s">
        <v>54</v>
      </c>
      <c r="AX611" t="str">
        <f t="shared" ref="AX611:AX639" si="72">"FOR"</f>
        <v>FOR</v>
      </c>
      <c r="AY611" t="s">
        <v>55</v>
      </c>
    </row>
    <row r="612" spans="1:51" hidden="1">
      <c r="A612">
        <v>100517</v>
      </c>
      <c r="B612" t="s">
        <v>124</v>
      </c>
      <c r="C612" t="str">
        <f t="shared" si="71"/>
        <v>01115150540</v>
      </c>
      <c r="D612" t="str">
        <f t="shared" si="71"/>
        <v>01115150540</v>
      </c>
      <c r="E612" t="s">
        <v>52</v>
      </c>
      <c r="F612">
        <v>2015</v>
      </c>
      <c r="G612" t="str">
        <f>"              559/15"</f>
        <v xml:space="preserve">              559/15</v>
      </c>
      <c r="H612" s="3">
        <v>42215</v>
      </c>
      <c r="I612" s="3">
        <v>42229</v>
      </c>
      <c r="J612" s="3">
        <v>42220</v>
      </c>
      <c r="K612" s="3">
        <v>42280</v>
      </c>
      <c r="L612"/>
      <c r="N612"/>
      <c r="O612" s="4">
        <v>2438</v>
      </c>
      <c r="P612">
        <v>172</v>
      </c>
      <c r="Q612" s="4">
        <v>419336</v>
      </c>
      <c r="R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 s="3">
        <v>42562</v>
      </c>
      <c r="AC612" t="s">
        <v>53</v>
      </c>
      <c r="AD612" t="s">
        <v>53</v>
      </c>
      <c r="AK612">
        <v>0</v>
      </c>
      <c r="AU612" s="3">
        <v>42452</v>
      </c>
      <c r="AV612" s="3">
        <v>42452</v>
      </c>
      <c r="AW612" t="s">
        <v>54</v>
      </c>
      <c r="AX612" t="str">
        <f t="shared" si="72"/>
        <v>FOR</v>
      </c>
      <c r="AY612" t="s">
        <v>55</v>
      </c>
    </row>
    <row r="613" spans="1:51" hidden="1">
      <c r="A613">
        <v>100517</v>
      </c>
      <c r="B613" t="s">
        <v>124</v>
      </c>
      <c r="C613" t="str">
        <f t="shared" si="71"/>
        <v>01115150540</v>
      </c>
      <c r="D613" t="str">
        <f t="shared" si="71"/>
        <v>01115150540</v>
      </c>
      <c r="E613" t="s">
        <v>52</v>
      </c>
      <c r="F613">
        <v>2015</v>
      </c>
      <c r="G613" t="str">
        <f>"              560/15"</f>
        <v xml:space="preserve">              560/15</v>
      </c>
      <c r="H613" s="3">
        <v>42215</v>
      </c>
      <c r="I613" s="3">
        <v>42229</v>
      </c>
      <c r="J613" s="3">
        <v>42220</v>
      </c>
      <c r="K613" s="3">
        <v>42280</v>
      </c>
      <c r="L613"/>
      <c r="N613"/>
      <c r="O613" s="4">
        <v>8533</v>
      </c>
      <c r="P613">
        <v>172</v>
      </c>
      <c r="Q613" s="4">
        <v>1467676</v>
      </c>
      <c r="R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 s="3">
        <v>42562</v>
      </c>
      <c r="AC613" t="s">
        <v>53</v>
      </c>
      <c r="AD613" t="s">
        <v>53</v>
      </c>
      <c r="AK613">
        <v>0</v>
      </c>
      <c r="AU613" s="3">
        <v>42452</v>
      </c>
      <c r="AV613" s="3">
        <v>42452</v>
      </c>
      <c r="AW613" t="s">
        <v>54</v>
      </c>
      <c r="AX613" t="str">
        <f t="shared" si="72"/>
        <v>FOR</v>
      </c>
      <c r="AY613" t="s">
        <v>55</v>
      </c>
    </row>
    <row r="614" spans="1:51" hidden="1">
      <c r="A614">
        <v>100517</v>
      </c>
      <c r="B614" t="s">
        <v>124</v>
      </c>
      <c r="C614" t="str">
        <f t="shared" si="71"/>
        <v>01115150540</v>
      </c>
      <c r="D614" t="str">
        <f t="shared" si="71"/>
        <v>01115150540</v>
      </c>
      <c r="E614" t="s">
        <v>52</v>
      </c>
      <c r="F614">
        <v>2015</v>
      </c>
      <c r="G614" t="str">
        <f>"              561/15"</f>
        <v xml:space="preserve">              561/15</v>
      </c>
      <c r="H614" s="3">
        <v>42215</v>
      </c>
      <c r="I614" s="3">
        <v>42229</v>
      </c>
      <c r="J614" s="3">
        <v>42220</v>
      </c>
      <c r="K614" s="3">
        <v>42280</v>
      </c>
      <c r="L614"/>
      <c r="N614"/>
      <c r="O614" s="4">
        <v>4000</v>
      </c>
      <c r="P614">
        <v>172</v>
      </c>
      <c r="Q614" s="4">
        <v>688000</v>
      </c>
      <c r="R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  <c r="AB614" s="3">
        <v>42562</v>
      </c>
      <c r="AC614" t="s">
        <v>53</v>
      </c>
      <c r="AD614" t="s">
        <v>53</v>
      </c>
      <c r="AK614">
        <v>0</v>
      </c>
      <c r="AU614" s="3">
        <v>42452</v>
      </c>
      <c r="AV614" s="3">
        <v>42452</v>
      </c>
      <c r="AW614" t="s">
        <v>54</v>
      </c>
      <c r="AX614" t="str">
        <f t="shared" si="72"/>
        <v>FOR</v>
      </c>
      <c r="AY614" t="s">
        <v>55</v>
      </c>
    </row>
    <row r="615" spans="1:51" hidden="1">
      <c r="A615">
        <v>100520</v>
      </c>
      <c r="B615" t="s">
        <v>125</v>
      </c>
      <c r="C615" t="str">
        <f>"06600500158"</f>
        <v>06600500158</v>
      </c>
      <c r="D615" t="str">
        <f>"06600500158"</f>
        <v>06600500158</v>
      </c>
      <c r="E615" t="s">
        <v>52</v>
      </c>
      <c r="F615">
        <v>2015</v>
      </c>
      <c r="G615" t="str">
        <f>"           000002558"</f>
        <v xml:space="preserve">           000002558</v>
      </c>
      <c r="H615" s="3">
        <v>42216</v>
      </c>
      <c r="I615" s="3">
        <v>42223</v>
      </c>
      <c r="J615" s="3">
        <v>42222</v>
      </c>
      <c r="K615" s="3">
        <v>42282</v>
      </c>
      <c r="L615"/>
      <c r="N615"/>
      <c r="O615">
        <v>649.6</v>
      </c>
      <c r="P615">
        <v>170</v>
      </c>
      <c r="Q615" s="4">
        <v>110432</v>
      </c>
      <c r="R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 s="3">
        <v>42562</v>
      </c>
      <c r="AC615" t="s">
        <v>53</v>
      </c>
      <c r="AD615" t="s">
        <v>53</v>
      </c>
      <c r="AK615">
        <v>0</v>
      </c>
      <c r="AU615" s="3">
        <v>42452</v>
      </c>
      <c r="AV615" s="3">
        <v>42452</v>
      </c>
      <c r="AW615" t="s">
        <v>54</v>
      </c>
      <c r="AX615" t="str">
        <f t="shared" si="72"/>
        <v>FOR</v>
      </c>
      <c r="AY615" t="s">
        <v>55</v>
      </c>
    </row>
    <row r="616" spans="1:51" hidden="1">
      <c r="A616">
        <v>100538</v>
      </c>
      <c r="B616" t="s">
        <v>126</v>
      </c>
      <c r="C616" t="str">
        <f>"01781570591"</f>
        <v>01781570591</v>
      </c>
      <c r="D616" t="str">
        <f>"06954380157"</f>
        <v>06954380157</v>
      </c>
      <c r="E616" t="s">
        <v>52</v>
      </c>
      <c r="F616">
        <v>2015</v>
      </c>
      <c r="G616" t="str">
        <f>"          7010039552"</f>
        <v xml:space="preserve">          7010039552</v>
      </c>
      <c r="H616" s="3">
        <v>42095</v>
      </c>
      <c r="I616" s="3">
        <v>42185</v>
      </c>
      <c r="J616" s="3">
        <v>42120</v>
      </c>
      <c r="K616" s="3">
        <v>42180</v>
      </c>
      <c r="L616"/>
      <c r="N616"/>
      <c r="O616" s="4">
        <v>2456.85</v>
      </c>
      <c r="P616">
        <v>251</v>
      </c>
      <c r="Q616" s="4">
        <v>616669.35</v>
      </c>
      <c r="R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  <c r="AB616" s="3">
        <v>42562</v>
      </c>
      <c r="AC616" t="s">
        <v>53</v>
      </c>
      <c r="AD616" t="s">
        <v>53</v>
      </c>
      <c r="AK616">
        <v>0</v>
      </c>
      <c r="AU616" s="3">
        <v>42431</v>
      </c>
      <c r="AV616" s="3">
        <v>42431</v>
      </c>
      <c r="AW616" t="s">
        <v>54</v>
      </c>
      <c r="AX616" t="str">
        <f t="shared" si="72"/>
        <v>FOR</v>
      </c>
      <c r="AY616" t="s">
        <v>55</v>
      </c>
    </row>
    <row r="617" spans="1:51" hidden="1">
      <c r="A617">
        <v>100538</v>
      </c>
      <c r="B617" t="s">
        <v>126</v>
      </c>
      <c r="C617" t="str">
        <f>"01781570591"</f>
        <v>01781570591</v>
      </c>
      <c r="D617" t="str">
        <f>"06954380157"</f>
        <v>06954380157</v>
      </c>
      <c r="E617" t="s">
        <v>52</v>
      </c>
      <c r="F617">
        <v>2015</v>
      </c>
      <c r="G617" t="str">
        <f>"          7010042041"</f>
        <v xml:space="preserve">          7010042041</v>
      </c>
      <c r="H617" s="3">
        <v>42103</v>
      </c>
      <c r="I617" s="3">
        <v>42158</v>
      </c>
      <c r="J617" s="3">
        <v>42138</v>
      </c>
      <c r="K617" s="3">
        <v>42198</v>
      </c>
      <c r="L617"/>
      <c r="N617"/>
      <c r="O617" s="4">
        <v>2456.85</v>
      </c>
      <c r="P617">
        <v>233</v>
      </c>
      <c r="Q617" s="4">
        <v>572446.05000000005</v>
      </c>
      <c r="R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 s="3">
        <v>42562</v>
      </c>
      <c r="AC617" t="s">
        <v>53</v>
      </c>
      <c r="AD617" t="s">
        <v>53</v>
      </c>
      <c r="AK617">
        <v>0</v>
      </c>
      <c r="AU617" s="3">
        <v>42431</v>
      </c>
      <c r="AV617" s="3">
        <v>42431</v>
      </c>
      <c r="AW617" t="s">
        <v>54</v>
      </c>
      <c r="AX617" t="str">
        <f t="shared" si="72"/>
        <v>FOR</v>
      </c>
      <c r="AY617" t="s">
        <v>55</v>
      </c>
    </row>
    <row r="618" spans="1:51" hidden="1">
      <c r="A618">
        <v>100538</v>
      </c>
      <c r="B618" t="s">
        <v>126</v>
      </c>
      <c r="C618" t="str">
        <f>"01781570591"</f>
        <v>01781570591</v>
      </c>
      <c r="D618" t="str">
        <f>"06954380157"</f>
        <v>06954380157</v>
      </c>
      <c r="E618" t="s">
        <v>52</v>
      </c>
      <c r="F618">
        <v>2015</v>
      </c>
      <c r="G618" t="str">
        <f>"          9010008508"</f>
        <v xml:space="preserve">          9010008508</v>
      </c>
      <c r="H618" s="3">
        <v>42311</v>
      </c>
      <c r="I618" s="3">
        <v>42334</v>
      </c>
      <c r="J618" s="3">
        <v>42327</v>
      </c>
      <c r="K618" s="3">
        <v>42387</v>
      </c>
      <c r="L618"/>
      <c r="N618"/>
      <c r="O618">
        <v>-137.9</v>
      </c>
      <c r="P618">
        <v>44</v>
      </c>
      <c r="Q618" s="4">
        <v>-6067.6</v>
      </c>
      <c r="R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0</v>
      </c>
      <c r="AB618" s="3">
        <v>42562</v>
      </c>
      <c r="AC618" t="s">
        <v>53</v>
      </c>
      <c r="AD618" t="s">
        <v>53</v>
      </c>
      <c r="AK618">
        <v>0</v>
      </c>
      <c r="AU618" s="3">
        <v>42431</v>
      </c>
      <c r="AV618" s="3">
        <v>42431</v>
      </c>
      <c r="AW618" t="s">
        <v>54</v>
      </c>
      <c r="AX618" t="str">
        <f t="shared" si="72"/>
        <v>FOR</v>
      </c>
      <c r="AY618" t="s">
        <v>55</v>
      </c>
    </row>
    <row r="619" spans="1:51" hidden="1">
      <c r="A619">
        <v>100538</v>
      </c>
      <c r="B619" t="s">
        <v>126</v>
      </c>
      <c r="C619" t="str">
        <f>"01781570591"</f>
        <v>01781570591</v>
      </c>
      <c r="D619" t="str">
        <f>"06954380157"</f>
        <v>06954380157</v>
      </c>
      <c r="E619" t="s">
        <v>52</v>
      </c>
      <c r="F619">
        <v>2015</v>
      </c>
      <c r="G619" t="str">
        <f>"          9010008509"</f>
        <v xml:space="preserve">          9010008509</v>
      </c>
      <c r="H619" s="3">
        <v>42311</v>
      </c>
      <c r="I619" s="3">
        <v>42334</v>
      </c>
      <c r="J619" s="3">
        <v>42327</v>
      </c>
      <c r="K619" s="3">
        <v>42387</v>
      </c>
      <c r="L619"/>
      <c r="N619"/>
      <c r="O619">
        <v>-197.72</v>
      </c>
      <c r="P619">
        <v>44</v>
      </c>
      <c r="Q619" s="4">
        <v>-8699.68</v>
      </c>
      <c r="R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 s="3">
        <v>42562</v>
      </c>
      <c r="AC619" t="s">
        <v>53</v>
      </c>
      <c r="AD619" t="s">
        <v>53</v>
      </c>
      <c r="AK619">
        <v>0</v>
      </c>
      <c r="AU619" s="3">
        <v>42431</v>
      </c>
      <c r="AV619" s="3">
        <v>42431</v>
      </c>
      <c r="AW619" t="s">
        <v>54</v>
      </c>
      <c r="AX619" t="str">
        <f t="shared" si="72"/>
        <v>FOR</v>
      </c>
      <c r="AY619" t="s">
        <v>55</v>
      </c>
    </row>
    <row r="620" spans="1:51" hidden="1">
      <c r="A620">
        <v>100542</v>
      </c>
      <c r="B620" t="s">
        <v>127</v>
      </c>
      <c r="C620" t="str">
        <f t="shared" ref="C620:D623" si="73">"05145650635"</f>
        <v>05145650635</v>
      </c>
      <c r="D620" t="str">
        <f t="shared" si="73"/>
        <v>05145650635</v>
      </c>
      <c r="E620" t="s">
        <v>52</v>
      </c>
      <c r="F620">
        <v>2015</v>
      </c>
      <c r="G620" t="str">
        <f>"                  26"</f>
        <v xml:space="preserve">                  26</v>
      </c>
      <c r="H620" s="3">
        <v>42088</v>
      </c>
      <c r="I620" s="3">
        <v>42102</v>
      </c>
      <c r="J620" s="3">
        <v>42102</v>
      </c>
      <c r="K620" s="3">
        <v>42162</v>
      </c>
      <c r="L620"/>
      <c r="N620"/>
      <c r="O620" s="4">
        <v>3780</v>
      </c>
      <c r="P620">
        <v>253</v>
      </c>
      <c r="Q620" s="4">
        <v>956340</v>
      </c>
      <c r="R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 s="3">
        <v>42562</v>
      </c>
      <c r="AC620" t="s">
        <v>53</v>
      </c>
      <c r="AD620" t="s">
        <v>53</v>
      </c>
      <c r="AK620">
        <v>0</v>
      </c>
      <c r="AU620" s="3">
        <v>42415</v>
      </c>
      <c r="AV620" s="3">
        <v>42415</v>
      </c>
      <c r="AW620" t="s">
        <v>54</v>
      </c>
      <c r="AX620" t="str">
        <f t="shared" si="72"/>
        <v>FOR</v>
      </c>
      <c r="AY620" t="s">
        <v>55</v>
      </c>
    </row>
    <row r="621" spans="1:51" hidden="1">
      <c r="A621">
        <v>100542</v>
      </c>
      <c r="B621" t="s">
        <v>127</v>
      </c>
      <c r="C621" t="str">
        <f t="shared" si="73"/>
        <v>05145650635</v>
      </c>
      <c r="D621" t="str">
        <f t="shared" si="73"/>
        <v>05145650635</v>
      </c>
      <c r="E621" t="s">
        <v>52</v>
      </c>
      <c r="F621">
        <v>2015</v>
      </c>
      <c r="G621" t="str">
        <f>"               17/15"</f>
        <v xml:space="preserve">               17/15</v>
      </c>
      <c r="H621" s="3">
        <v>42058</v>
      </c>
      <c r="I621" s="3">
        <v>42081</v>
      </c>
      <c r="J621" s="3">
        <v>42081</v>
      </c>
      <c r="K621" s="3">
        <v>42141</v>
      </c>
      <c r="L621"/>
      <c r="N621"/>
      <c r="O621">
        <v>240</v>
      </c>
      <c r="P621">
        <v>267</v>
      </c>
      <c r="Q621" s="4">
        <v>64080</v>
      </c>
      <c r="R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 s="3">
        <v>42562</v>
      </c>
      <c r="AC621" t="s">
        <v>53</v>
      </c>
      <c r="AD621" t="s">
        <v>53</v>
      </c>
      <c r="AK621">
        <v>0</v>
      </c>
      <c r="AU621" s="3">
        <v>42408</v>
      </c>
      <c r="AV621" s="3">
        <v>42408</v>
      </c>
      <c r="AW621" t="s">
        <v>54</v>
      </c>
      <c r="AX621" t="str">
        <f t="shared" si="72"/>
        <v>FOR</v>
      </c>
      <c r="AY621" t="s">
        <v>55</v>
      </c>
    </row>
    <row r="622" spans="1:51" hidden="1">
      <c r="A622">
        <v>100542</v>
      </c>
      <c r="B622" t="s">
        <v>127</v>
      </c>
      <c r="C622" t="str">
        <f t="shared" si="73"/>
        <v>05145650635</v>
      </c>
      <c r="D622" t="str">
        <f t="shared" si="73"/>
        <v>05145650635</v>
      </c>
      <c r="E622" t="s">
        <v>52</v>
      </c>
      <c r="F622">
        <v>2015</v>
      </c>
      <c r="G622" t="str">
        <f>"          FE2015/016"</f>
        <v xml:space="preserve">          FE2015/016</v>
      </c>
      <c r="H622" s="3">
        <v>42167</v>
      </c>
      <c r="I622" s="3">
        <v>42178</v>
      </c>
      <c r="J622" s="3">
        <v>42178</v>
      </c>
      <c r="K622" s="3">
        <v>42238</v>
      </c>
      <c r="L622"/>
      <c r="N622"/>
      <c r="O622">
        <v>480</v>
      </c>
      <c r="P622">
        <v>177</v>
      </c>
      <c r="Q622" s="4">
        <v>84960</v>
      </c>
      <c r="R622">
        <v>0</v>
      </c>
      <c r="V622">
        <v>0</v>
      </c>
      <c r="W622">
        <v>0</v>
      </c>
      <c r="X622">
        <v>0</v>
      </c>
      <c r="Y622">
        <v>0</v>
      </c>
      <c r="Z622">
        <v>0</v>
      </c>
      <c r="AA622">
        <v>0</v>
      </c>
      <c r="AB622" s="3">
        <v>42562</v>
      </c>
      <c r="AC622" t="s">
        <v>53</v>
      </c>
      <c r="AD622" t="s">
        <v>53</v>
      </c>
      <c r="AK622">
        <v>0</v>
      </c>
      <c r="AU622" s="3">
        <v>42415</v>
      </c>
      <c r="AV622" s="3">
        <v>42415</v>
      </c>
      <c r="AW622" t="s">
        <v>54</v>
      </c>
      <c r="AX622" t="str">
        <f t="shared" si="72"/>
        <v>FOR</v>
      </c>
      <c r="AY622" t="s">
        <v>55</v>
      </c>
    </row>
    <row r="623" spans="1:51" hidden="1">
      <c r="A623">
        <v>100542</v>
      </c>
      <c r="B623" t="s">
        <v>127</v>
      </c>
      <c r="C623" t="str">
        <f t="shared" si="73"/>
        <v>05145650635</v>
      </c>
      <c r="D623" t="str">
        <f t="shared" si="73"/>
        <v>05145650635</v>
      </c>
      <c r="E623" t="s">
        <v>52</v>
      </c>
      <c r="F623">
        <v>2015</v>
      </c>
      <c r="G623" t="str">
        <f>"          FE2015/020"</f>
        <v xml:space="preserve">          FE2015/020</v>
      </c>
      <c r="H623" s="3">
        <v>42184</v>
      </c>
      <c r="I623" s="3">
        <v>42191</v>
      </c>
      <c r="J623" s="3">
        <v>42188</v>
      </c>
      <c r="K623" s="3">
        <v>42248</v>
      </c>
      <c r="L623"/>
      <c r="N623"/>
      <c r="O623">
        <v>360</v>
      </c>
      <c r="P623">
        <v>167</v>
      </c>
      <c r="Q623" s="4">
        <v>60120</v>
      </c>
      <c r="R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0</v>
      </c>
      <c r="AB623" s="3">
        <v>42562</v>
      </c>
      <c r="AC623" t="s">
        <v>53</v>
      </c>
      <c r="AD623" t="s">
        <v>53</v>
      </c>
      <c r="AK623">
        <v>0</v>
      </c>
      <c r="AU623" s="3">
        <v>42415</v>
      </c>
      <c r="AV623" s="3">
        <v>42415</v>
      </c>
      <c r="AW623" t="s">
        <v>54</v>
      </c>
      <c r="AX623" t="str">
        <f t="shared" si="72"/>
        <v>FOR</v>
      </c>
      <c r="AY623" t="s">
        <v>55</v>
      </c>
    </row>
    <row r="624" spans="1:51">
      <c r="A624">
        <v>100543</v>
      </c>
      <c r="B624" t="s">
        <v>128</v>
      </c>
      <c r="C624" t="str">
        <f>"00856750153"</f>
        <v>00856750153</v>
      </c>
      <c r="D624" t="str">
        <f>"00856750153"</f>
        <v>00856750153</v>
      </c>
      <c r="E624" t="s">
        <v>52</v>
      </c>
      <c r="F624">
        <v>2015</v>
      </c>
      <c r="G624" t="str">
        <f>"          0920858347"</f>
        <v xml:space="preserve">          0920858347</v>
      </c>
      <c r="H624" s="3">
        <v>42321</v>
      </c>
      <c r="I624" s="3">
        <v>42360</v>
      </c>
      <c r="J624" s="3">
        <v>42359</v>
      </c>
      <c r="K624" s="3">
        <v>42419</v>
      </c>
      <c r="L624" s="5">
        <v>75933.33</v>
      </c>
      <c r="M624">
        <v>73</v>
      </c>
      <c r="N624" s="5">
        <v>5543133.0899999999</v>
      </c>
      <c r="O624" s="4">
        <v>75933.33</v>
      </c>
      <c r="P624">
        <v>73</v>
      </c>
      <c r="Q624" s="4">
        <v>5543133.0899999999</v>
      </c>
      <c r="R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 s="3">
        <v>42562</v>
      </c>
      <c r="AC624" t="s">
        <v>53</v>
      </c>
      <c r="AD624" t="s">
        <v>53</v>
      </c>
      <c r="AK624">
        <v>0</v>
      </c>
      <c r="AU624" s="3">
        <v>42492</v>
      </c>
      <c r="AV624" s="3">
        <v>42492</v>
      </c>
      <c r="AW624" t="s">
        <v>54</v>
      </c>
      <c r="AX624" t="str">
        <f t="shared" si="72"/>
        <v>FOR</v>
      </c>
      <c r="AY624" t="s">
        <v>55</v>
      </c>
    </row>
    <row r="625" spans="1:51" hidden="1">
      <c r="A625">
        <v>100565</v>
      </c>
      <c r="B625" t="s">
        <v>129</v>
      </c>
      <c r="C625" t="str">
        <f t="shared" ref="C625:D637" si="74">"00747170157"</f>
        <v>00747170157</v>
      </c>
      <c r="D625" t="str">
        <f t="shared" si="74"/>
        <v>00747170157</v>
      </c>
      <c r="E625" t="s">
        <v>52</v>
      </c>
      <c r="F625">
        <v>2015</v>
      </c>
      <c r="G625" t="str">
        <f>"          6745307048"</f>
        <v xml:space="preserve">          6745307048</v>
      </c>
      <c r="H625" s="3">
        <v>42051</v>
      </c>
      <c r="I625" s="3">
        <v>42066</v>
      </c>
      <c r="J625" s="3">
        <v>42066</v>
      </c>
      <c r="K625" s="3">
        <v>42126</v>
      </c>
      <c r="L625"/>
      <c r="N625"/>
      <c r="O625" s="4">
        <v>15833.9</v>
      </c>
      <c r="P625">
        <v>275</v>
      </c>
      <c r="Q625" s="4">
        <v>4354322.5</v>
      </c>
      <c r="R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 s="3">
        <v>42562</v>
      </c>
      <c r="AC625" t="s">
        <v>53</v>
      </c>
      <c r="AD625" t="s">
        <v>53</v>
      </c>
      <c r="AK625">
        <v>0</v>
      </c>
      <c r="AU625" s="3">
        <v>42401</v>
      </c>
      <c r="AV625" s="3">
        <v>42401</v>
      </c>
      <c r="AW625" t="s">
        <v>54</v>
      </c>
      <c r="AX625" t="str">
        <f t="shared" si="72"/>
        <v>FOR</v>
      </c>
      <c r="AY625" t="s">
        <v>55</v>
      </c>
    </row>
    <row r="626" spans="1:51" hidden="1">
      <c r="A626">
        <v>100565</v>
      </c>
      <c r="B626" t="s">
        <v>129</v>
      </c>
      <c r="C626" t="str">
        <f t="shared" si="74"/>
        <v>00747170157</v>
      </c>
      <c r="D626" t="str">
        <f t="shared" si="74"/>
        <v>00747170157</v>
      </c>
      <c r="E626" t="s">
        <v>52</v>
      </c>
      <c r="F626">
        <v>2015</v>
      </c>
      <c r="G626" t="str">
        <f>"          6745310590"</f>
        <v xml:space="preserve">          6745310590</v>
      </c>
      <c r="H626" s="3">
        <v>42074</v>
      </c>
      <c r="I626" s="3">
        <v>42086</v>
      </c>
      <c r="J626" s="3">
        <v>42086</v>
      </c>
      <c r="K626" s="3">
        <v>42146</v>
      </c>
      <c r="L626"/>
      <c r="N626"/>
      <c r="O626" s="4">
        <v>10966.52</v>
      </c>
      <c r="P626">
        <v>270</v>
      </c>
      <c r="Q626" s="4">
        <v>2960960.4</v>
      </c>
      <c r="R626">
        <v>0</v>
      </c>
      <c r="V626">
        <v>0</v>
      </c>
      <c r="W626">
        <v>0</v>
      </c>
      <c r="X626">
        <v>0</v>
      </c>
      <c r="Y626">
        <v>0</v>
      </c>
      <c r="Z626">
        <v>0</v>
      </c>
      <c r="AA626">
        <v>0</v>
      </c>
      <c r="AB626" s="3">
        <v>42562</v>
      </c>
      <c r="AC626" t="s">
        <v>53</v>
      </c>
      <c r="AD626" t="s">
        <v>53</v>
      </c>
      <c r="AK626">
        <v>0</v>
      </c>
      <c r="AU626" s="3">
        <v>42416</v>
      </c>
      <c r="AV626" s="3">
        <v>42416</v>
      </c>
      <c r="AW626" t="s">
        <v>54</v>
      </c>
      <c r="AX626" t="str">
        <f t="shared" si="72"/>
        <v>FOR</v>
      </c>
      <c r="AY626" t="s">
        <v>55</v>
      </c>
    </row>
    <row r="627" spans="1:51" hidden="1">
      <c r="A627">
        <v>100565</v>
      </c>
      <c r="B627" t="s">
        <v>129</v>
      </c>
      <c r="C627" t="str">
        <f t="shared" si="74"/>
        <v>00747170157</v>
      </c>
      <c r="D627" t="str">
        <f t="shared" si="74"/>
        <v>00747170157</v>
      </c>
      <c r="E627" t="s">
        <v>52</v>
      </c>
      <c r="F627">
        <v>2015</v>
      </c>
      <c r="G627" t="str">
        <f>"          6745313770"</f>
        <v xml:space="preserve">          6745313770</v>
      </c>
      <c r="H627" s="3">
        <v>42096</v>
      </c>
      <c r="I627" s="3">
        <v>42107</v>
      </c>
      <c r="J627" s="3">
        <v>42103</v>
      </c>
      <c r="K627" s="3">
        <v>42163</v>
      </c>
      <c r="L627"/>
      <c r="N627"/>
      <c r="O627" s="4">
        <v>16449.78</v>
      </c>
      <c r="P627">
        <v>289</v>
      </c>
      <c r="Q627" s="4">
        <v>4753986.42</v>
      </c>
      <c r="R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 s="3">
        <v>42562</v>
      </c>
      <c r="AC627" t="s">
        <v>53</v>
      </c>
      <c r="AD627" t="s">
        <v>53</v>
      </c>
      <c r="AK627">
        <v>0</v>
      </c>
      <c r="AU627" s="3">
        <v>42452</v>
      </c>
      <c r="AV627" s="3">
        <v>42452</v>
      </c>
      <c r="AW627" t="s">
        <v>54</v>
      </c>
      <c r="AX627" t="str">
        <f t="shared" si="72"/>
        <v>FOR</v>
      </c>
      <c r="AY627" t="s">
        <v>55</v>
      </c>
    </row>
    <row r="628" spans="1:51" hidden="1">
      <c r="A628">
        <v>100565</v>
      </c>
      <c r="B628" t="s">
        <v>129</v>
      </c>
      <c r="C628" t="str">
        <f t="shared" si="74"/>
        <v>00747170157</v>
      </c>
      <c r="D628" t="str">
        <f t="shared" si="74"/>
        <v>00747170157</v>
      </c>
      <c r="E628" t="s">
        <v>52</v>
      </c>
      <c r="F628">
        <v>2015</v>
      </c>
      <c r="G628" t="str">
        <f>"          6745314327"</f>
        <v xml:space="preserve">          6745314327</v>
      </c>
      <c r="H628" s="3">
        <v>42101</v>
      </c>
      <c r="I628" s="3">
        <v>42107</v>
      </c>
      <c r="J628" s="3">
        <v>42103</v>
      </c>
      <c r="K628" s="3">
        <v>42163</v>
      </c>
      <c r="L628"/>
      <c r="N628"/>
      <c r="O628" s="4">
        <v>9500.34</v>
      </c>
      <c r="P628">
        <v>289</v>
      </c>
      <c r="Q628" s="4">
        <v>2745598.26</v>
      </c>
      <c r="R628">
        <v>0</v>
      </c>
      <c r="V628">
        <v>0</v>
      </c>
      <c r="W628">
        <v>0</v>
      </c>
      <c r="X628">
        <v>0</v>
      </c>
      <c r="Y628">
        <v>0</v>
      </c>
      <c r="Z628">
        <v>0</v>
      </c>
      <c r="AA628">
        <v>0</v>
      </c>
      <c r="AB628" s="3">
        <v>42562</v>
      </c>
      <c r="AC628" t="s">
        <v>53</v>
      </c>
      <c r="AD628" t="s">
        <v>53</v>
      </c>
      <c r="AK628">
        <v>0</v>
      </c>
      <c r="AU628" s="3">
        <v>42452</v>
      </c>
      <c r="AV628" s="3">
        <v>42452</v>
      </c>
      <c r="AW628" t="s">
        <v>54</v>
      </c>
      <c r="AX628" t="str">
        <f t="shared" si="72"/>
        <v>FOR</v>
      </c>
      <c r="AY628" t="s">
        <v>55</v>
      </c>
    </row>
    <row r="629" spans="1:51">
      <c r="A629">
        <v>100565</v>
      </c>
      <c r="B629" t="s">
        <v>129</v>
      </c>
      <c r="C629" t="str">
        <f t="shared" si="74"/>
        <v>00747170157</v>
      </c>
      <c r="D629" t="str">
        <f t="shared" si="74"/>
        <v>00747170157</v>
      </c>
      <c r="E629" t="s">
        <v>52</v>
      </c>
      <c r="F629">
        <v>2015</v>
      </c>
      <c r="G629" t="str">
        <f>"          6745314946"</f>
        <v xml:space="preserve">          6745314946</v>
      </c>
      <c r="H629" s="3">
        <v>42104</v>
      </c>
      <c r="I629" s="3">
        <v>42160</v>
      </c>
      <c r="J629" s="3">
        <v>42146</v>
      </c>
      <c r="K629" s="3">
        <v>42206</v>
      </c>
      <c r="L629" s="5">
        <v>1900</v>
      </c>
      <c r="M629">
        <v>314</v>
      </c>
      <c r="N629" s="5">
        <v>596600</v>
      </c>
      <c r="O629" s="4">
        <v>1900</v>
      </c>
      <c r="P629">
        <v>314</v>
      </c>
      <c r="Q629" s="4">
        <v>596600</v>
      </c>
      <c r="R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 s="3">
        <v>42562</v>
      </c>
      <c r="AC629" t="s">
        <v>53</v>
      </c>
      <c r="AD629" t="s">
        <v>53</v>
      </c>
      <c r="AK629">
        <v>0</v>
      </c>
      <c r="AU629" s="3">
        <v>42520</v>
      </c>
      <c r="AV629" s="3">
        <v>42520</v>
      </c>
      <c r="AW629" t="s">
        <v>54</v>
      </c>
      <c r="AX629" t="str">
        <f t="shared" si="72"/>
        <v>FOR</v>
      </c>
      <c r="AY629" t="s">
        <v>55</v>
      </c>
    </row>
    <row r="630" spans="1:51" hidden="1">
      <c r="A630">
        <v>100565</v>
      </c>
      <c r="B630" t="s">
        <v>129</v>
      </c>
      <c r="C630" t="str">
        <f t="shared" si="74"/>
        <v>00747170157</v>
      </c>
      <c r="D630" t="str">
        <f t="shared" si="74"/>
        <v>00747170157</v>
      </c>
      <c r="E630" t="s">
        <v>52</v>
      </c>
      <c r="F630">
        <v>2015</v>
      </c>
      <c r="G630" t="str">
        <f>"          6745314947"</f>
        <v xml:space="preserve">          6745314947</v>
      </c>
      <c r="H630" s="3">
        <v>42104</v>
      </c>
      <c r="I630" s="3">
        <v>42160</v>
      </c>
      <c r="J630" s="3">
        <v>42146</v>
      </c>
      <c r="K630" s="3">
        <v>42206</v>
      </c>
      <c r="L630"/>
      <c r="N630"/>
      <c r="O630" s="4">
        <v>2741.63</v>
      </c>
      <c r="P630">
        <v>246</v>
      </c>
      <c r="Q630" s="4">
        <v>674440.98</v>
      </c>
      <c r="R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 s="3">
        <v>42562</v>
      </c>
      <c r="AC630" t="s">
        <v>53</v>
      </c>
      <c r="AD630" t="s">
        <v>53</v>
      </c>
      <c r="AK630">
        <v>0</v>
      </c>
      <c r="AU630" s="3">
        <v>42452</v>
      </c>
      <c r="AV630" s="3">
        <v>42452</v>
      </c>
      <c r="AW630" t="s">
        <v>54</v>
      </c>
      <c r="AX630" t="str">
        <f t="shared" si="72"/>
        <v>FOR</v>
      </c>
      <c r="AY630" t="s">
        <v>55</v>
      </c>
    </row>
    <row r="631" spans="1:51">
      <c r="A631">
        <v>100565</v>
      </c>
      <c r="B631" t="s">
        <v>129</v>
      </c>
      <c r="C631" t="str">
        <f t="shared" si="74"/>
        <v>00747170157</v>
      </c>
      <c r="D631" t="str">
        <f t="shared" si="74"/>
        <v>00747170157</v>
      </c>
      <c r="E631" t="s">
        <v>52</v>
      </c>
      <c r="F631">
        <v>2015</v>
      </c>
      <c r="G631" t="str">
        <f>"          6745316237"</f>
        <v xml:space="preserve">          6745316237</v>
      </c>
      <c r="H631" s="3">
        <v>42111</v>
      </c>
      <c r="I631" s="3">
        <v>42160</v>
      </c>
      <c r="J631" s="3">
        <v>42146</v>
      </c>
      <c r="K631" s="3">
        <v>42206</v>
      </c>
      <c r="L631" s="5">
        <v>1900</v>
      </c>
      <c r="M631">
        <v>314</v>
      </c>
      <c r="N631" s="5">
        <v>596600</v>
      </c>
      <c r="O631" s="4">
        <v>1900</v>
      </c>
      <c r="P631">
        <v>314</v>
      </c>
      <c r="Q631" s="4">
        <v>596600</v>
      </c>
      <c r="R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0</v>
      </c>
      <c r="AB631" s="3">
        <v>42562</v>
      </c>
      <c r="AC631" t="s">
        <v>53</v>
      </c>
      <c r="AD631" t="s">
        <v>53</v>
      </c>
      <c r="AK631">
        <v>0</v>
      </c>
      <c r="AU631" s="3">
        <v>42520</v>
      </c>
      <c r="AV631" s="3">
        <v>42520</v>
      </c>
      <c r="AW631" t="s">
        <v>54</v>
      </c>
      <c r="AX631" t="str">
        <f t="shared" si="72"/>
        <v>FOR</v>
      </c>
      <c r="AY631" t="s">
        <v>55</v>
      </c>
    </row>
    <row r="632" spans="1:51" hidden="1">
      <c r="A632">
        <v>100565</v>
      </c>
      <c r="B632" t="s">
        <v>129</v>
      </c>
      <c r="C632" t="str">
        <f t="shared" si="74"/>
        <v>00747170157</v>
      </c>
      <c r="D632" t="str">
        <f t="shared" si="74"/>
        <v>00747170157</v>
      </c>
      <c r="E632" t="s">
        <v>52</v>
      </c>
      <c r="F632">
        <v>2015</v>
      </c>
      <c r="G632" t="str">
        <f>"          6745318587"</f>
        <v xml:space="preserve">          6745318587</v>
      </c>
      <c r="H632" s="3">
        <v>42124</v>
      </c>
      <c r="I632" s="3">
        <v>42160</v>
      </c>
      <c r="J632" s="3">
        <v>42146</v>
      </c>
      <c r="K632" s="3">
        <v>42206</v>
      </c>
      <c r="L632"/>
      <c r="N632"/>
      <c r="O632">
        <v>475</v>
      </c>
      <c r="P632">
        <v>246</v>
      </c>
      <c r="Q632" s="4">
        <v>116850</v>
      </c>
      <c r="R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 s="3">
        <v>42562</v>
      </c>
      <c r="AC632" t="s">
        <v>53</v>
      </c>
      <c r="AD632" t="s">
        <v>53</v>
      </c>
      <c r="AK632">
        <v>0</v>
      </c>
      <c r="AU632" s="3">
        <v>42452</v>
      </c>
      <c r="AV632" s="3">
        <v>42452</v>
      </c>
      <c r="AW632" t="s">
        <v>54</v>
      </c>
      <c r="AX632" t="str">
        <f t="shared" si="72"/>
        <v>FOR</v>
      </c>
      <c r="AY632" t="s">
        <v>55</v>
      </c>
    </row>
    <row r="633" spans="1:51">
      <c r="A633">
        <v>100565</v>
      </c>
      <c r="B633" t="s">
        <v>129</v>
      </c>
      <c r="C633" t="str">
        <f t="shared" si="74"/>
        <v>00747170157</v>
      </c>
      <c r="D633" t="str">
        <f t="shared" si="74"/>
        <v>00747170157</v>
      </c>
      <c r="E633" t="s">
        <v>52</v>
      </c>
      <c r="F633">
        <v>2015</v>
      </c>
      <c r="G633" t="str">
        <f>"          6745320764"</f>
        <v xml:space="preserve">          6745320764</v>
      </c>
      <c r="H633" s="3">
        <v>42138</v>
      </c>
      <c r="I633" s="3">
        <v>42160</v>
      </c>
      <c r="J633" s="3">
        <v>42146</v>
      </c>
      <c r="K633" s="3">
        <v>42206</v>
      </c>
      <c r="L633" s="5">
        <v>1900</v>
      </c>
      <c r="M633">
        <v>314</v>
      </c>
      <c r="N633" s="5">
        <v>596600</v>
      </c>
      <c r="O633" s="4">
        <v>1900</v>
      </c>
      <c r="P633">
        <v>314</v>
      </c>
      <c r="Q633" s="4">
        <v>596600</v>
      </c>
      <c r="R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0</v>
      </c>
      <c r="AB633" s="3">
        <v>42562</v>
      </c>
      <c r="AC633" t="s">
        <v>53</v>
      </c>
      <c r="AD633" t="s">
        <v>53</v>
      </c>
      <c r="AK633">
        <v>0</v>
      </c>
      <c r="AU633" s="3">
        <v>42520</v>
      </c>
      <c r="AV633" s="3">
        <v>42520</v>
      </c>
      <c r="AW633" t="s">
        <v>54</v>
      </c>
      <c r="AX633" t="str">
        <f t="shared" si="72"/>
        <v>FOR</v>
      </c>
      <c r="AY633" t="s">
        <v>55</v>
      </c>
    </row>
    <row r="634" spans="1:51">
      <c r="A634">
        <v>100565</v>
      </c>
      <c r="B634" t="s">
        <v>129</v>
      </c>
      <c r="C634" t="str">
        <f t="shared" si="74"/>
        <v>00747170157</v>
      </c>
      <c r="D634" t="str">
        <f t="shared" si="74"/>
        <v>00747170157</v>
      </c>
      <c r="E634" t="s">
        <v>52</v>
      </c>
      <c r="F634">
        <v>2015</v>
      </c>
      <c r="G634" t="str">
        <f>"          6745321682"</f>
        <v xml:space="preserve">          6745321682</v>
      </c>
      <c r="H634" s="3">
        <v>42144</v>
      </c>
      <c r="I634" s="3">
        <v>42160</v>
      </c>
      <c r="J634" s="3">
        <v>42146</v>
      </c>
      <c r="K634" s="3">
        <v>42206</v>
      </c>
      <c r="L634" s="5">
        <v>1900</v>
      </c>
      <c r="M634">
        <v>314</v>
      </c>
      <c r="N634" s="5">
        <v>596600</v>
      </c>
      <c r="O634" s="4">
        <v>1900</v>
      </c>
      <c r="P634">
        <v>314</v>
      </c>
      <c r="Q634" s="4">
        <v>596600</v>
      </c>
      <c r="R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0</v>
      </c>
      <c r="AB634" s="3">
        <v>42562</v>
      </c>
      <c r="AC634" t="s">
        <v>53</v>
      </c>
      <c r="AD634" t="s">
        <v>53</v>
      </c>
      <c r="AK634">
        <v>0</v>
      </c>
      <c r="AU634" s="3">
        <v>42520</v>
      </c>
      <c r="AV634" s="3">
        <v>42520</v>
      </c>
      <c r="AW634" t="s">
        <v>54</v>
      </c>
      <c r="AX634" t="str">
        <f t="shared" si="72"/>
        <v>FOR</v>
      </c>
      <c r="AY634" t="s">
        <v>55</v>
      </c>
    </row>
    <row r="635" spans="1:51">
      <c r="A635">
        <v>100565</v>
      </c>
      <c r="B635" t="s">
        <v>129</v>
      </c>
      <c r="C635" t="str">
        <f t="shared" si="74"/>
        <v>00747170157</v>
      </c>
      <c r="D635" t="str">
        <f t="shared" si="74"/>
        <v>00747170157</v>
      </c>
      <c r="E635" t="s">
        <v>52</v>
      </c>
      <c r="F635">
        <v>2015</v>
      </c>
      <c r="G635" t="str">
        <f>"          6745323809"</f>
        <v xml:space="preserve">          6745323809</v>
      </c>
      <c r="H635" s="3">
        <v>42158</v>
      </c>
      <c r="I635" s="3">
        <v>42163</v>
      </c>
      <c r="J635" s="3">
        <v>42159</v>
      </c>
      <c r="K635" s="3">
        <v>42219</v>
      </c>
      <c r="L635" s="5">
        <v>1900</v>
      </c>
      <c r="M635">
        <v>301</v>
      </c>
      <c r="N635" s="5">
        <v>571900</v>
      </c>
      <c r="O635" s="4">
        <v>1900</v>
      </c>
      <c r="P635">
        <v>301</v>
      </c>
      <c r="Q635" s="4">
        <v>571900</v>
      </c>
      <c r="R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0</v>
      </c>
      <c r="AB635" s="3">
        <v>42562</v>
      </c>
      <c r="AC635" t="s">
        <v>53</v>
      </c>
      <c r="AD635" t="s">
        <v>53</v>
      </c>
      <c r="AK635">
        <v>0</v>
      </c>
      <c r="AU635" s="3">
        <v>42520</v>
      </c>
      <c r="AV635" s="3">
        <v>42520</v>
      </c>
      <c r="AW635" t="s">
        <v>54</v>
      </c>
      <c r="AX635" t="str">
        <f t="shared" si="72"/>
        <v>FOR</v>
      </c>
      <c r="AY635" t="s">
        <v>55</v>
      </c>
    </row>
    <row r="636" spans="1:51">
      <c r="A636">
        <v>100565</v>
      </c>
      <c r="B636" t="s">
        <v>129</v>
      </c>
      <c r="C636" t="str">
        <f t="shared" si="74"/>
        <v>00747170157</v>
      </c>
      <c r="D636" t="str">
        <f t="shared" si="74"/>
        <v>00747170157</v>
      </c>
      <c r="E636" t="s">
        <v>52</v>
      </c>
      <c r="F636">
        <v>2015</v>
      </c>
      <c r="G636" t="str">
        <f>"          6745324661"</f>
        <v xml:space="preserve">          6745324661</v>
      </c>
      <c r="H636" s="3">
        <v>42163</v>
      </c>
      <c r="I636" s="3">
        <v>42165</v>
      </c>
      <c r="J636" s="3">
        <v>42164</v>
      </c>
      <c r="K636" s="3">
        <v>42224</v>
      </c>
      <c r="L636" s="5">
        <v>1900</v>
      </c>
      <c r="M636">
        <v>296</v>
      </c>
      <c r="N636" s="5">
        <v>562400</v>
      </c>
      <c r="O636" s="4">
        <v>1900</v>
      </c>
      <c r="P636">
        <v>296</v>
      </c>
      <c r="Q636" s="4">
        <v>562400</v>
      </c>
      <c r="R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 s="3">
        <v>42562</v>
      </c>
      <c r="AC636" t="s">
        <v>53</v>
      </c>
      <c r="AD636" t="s">
        <v>53</v>
      </c>
      <c r="AK636">
        <v>0</v>
      </c>
      <c r="AU636" s="3">
        <v>42520</v>
      </c>
      <c r="AV636" s="3">
        <v>42520</v>
      </c>
      <c r="AW636" t="s">
        <v>54</v>
      </c>
      <c r="AX636" t="str">
        <f t="shared" si="72"/>
        <v>FOR</v>
      </c>
      <c r="AY636" t="s">
        <v>55</v>
      </c>
    </row>
    <row r="637" spans="1:51">
      <c r="A637">
        <v>100565</v>
      </c>
      <c r="B637" t="s">
        <v>129</v>
      </c>
      <c r="C637" t="str">
        <f t="shared" si="74"/>
        <v>00747170157</v>
      </c>
      <c r="D637" t="str">
        <f t="shared" si="74"/>
        <v>00747170157</v>
      </c>
      <c r="E637" t="s">
        <v>52</v>
      </c>
      <c r="F637">
        <v>2015</v>
      </c>
      <c r="G637" t="str">
        <f>"          6745327007"</f>
        <v xml:space="preserve">          6745327007</v>
      </c>
      <c r="H637" s="3">
        <v>42173</v>
      </c>
      <c r="I637" s="3">
        <v>42177</v>
      </c>
      <c r="J637" s="3">
        <v>42174</v>
      </c>
      <c r="K637" s="3">
        <v>42234</v>
      </c>
      <c r="L637" s="5">
        <v>1900</v>
      </c>
      <c r="M637">
        <v>286</v>
      </c>
      <c r="N637" s="5">
        <v>543400</v>
      </c>
      <c r="O637" s="4">
        <v>1900</v>
      </c>
      <c r="P637">
        <v>286</v>
      </c>
      <c r="Q637" s="4">
        <v>543400</v>
      </c>
      <c r="R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 s="3">
        <v>42562</v>
      </c>
      <c r="AC637" t="s">
        <v>53</v>
      </c>
      <c r="AD637" t="s">
        <v>53</v>
      </c>
      <c r="AK637">
        <v>0</v>
      </c>
      <c r="AU637" s="3">
        <v>42520</v>
      </c>
      <c r="AV637" s="3">
        <v>42520</v>
      </c>
      <c r="AW637" t="s">
        <v>54</v>
      </c>
      <c r="AX637" t="str">
        <f t="shared" si="72"/>
        <v>FOR</v>
      </c>
      <c r="AY637" t="s">
        <v>55</v>
      </c>
    </row>
    <row r="638" spans="1:51" hidden="1">
      <c r="A638">
        <v>100583</v>
      </c>
      <c r="B638" t="s">
        <v>130</v>
      </c>
      <c r="C638" t="str">
        <f>"04888070960"</f>
        <v>04888070960</v>
      </c>
      <c r="D638" t="str">
        <f>"04888070960"</f>
        <v>04888070960</v>
      </c>
      <c r="E638" t="s">
        <v>52</v>
      </c>
      <c r="F638">
        <v>2015</v>
      </c>
      <c r="G638" t="str">
        <f>"             V4/ 148"</f>
        <v xml:space="preserve">             V4/ 148</v>
      </c>
      <c r="H638" s="3">
        <v>42307</v>
      </c>
      <c r="I638" s="3">
        <v>42318</v>
      </c>
      <c r="J638" s="3">
        <v>42314</v>
      </c>
      <c r="K638" s="3">
        <v>42374</v>
      </c>
      <c r="L638"/>
      <c r="N638"/>
      <c r="O638">
        <v>352</v>
      </c>
      <c r="P638">
        <v>41</v>
      </c>
      <c r="Q638" s="4">
        <v>14432</v>
      </c>
      <c r="R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 s="3">
        <v>42562</v>
      </c>
      <c r="AC638" t="s">
        <v>53</v>
      </c>
      <c r="AD638" t="s">
        <v>53</v>
      </c>
      <c r="AK638">
        <v>0</v>
      </c>
      <c r="AU638" s="3">
        <v>42415</v>
      </c>
      <c r="AV638" s="3">
        <v>42415</v>
      </c>
      <c r="AW638" t="s">
        <v>54</v>
      </c>
      <c r="AX638" t="str">
        <f t="shared" si="72"/>
        <v>FOR</v>
      </c>
      <c r="AY638" t="s">
        <v>55</v>
      </c>
    </row>
    <row r="639" spans="1:51" hidden="1">
      <c r="A639">
        <v>100596</v>
      </c>
      <c r="B639" t="s">
        <v>131</v>
      </c>
      <c r="C639" t="str">
        <f>"01166170629"</f>
        <v>01166170629</v>
      </c>
      <c r="D639" t="str">
        <f>"01166170629"</f>
        <v>01166170629</v>
      </c>
      <c r="E639" t="s">
        <v>52</v>
      </c>
      <c r="F639">
        <v>2015</v>
      </c>
      <c r="G639" t="str">
        <f>"                44SP"</f>
        <v xml:space="preserve">                44SP</v>
      </c>
      <c r="H639" s="3">
        <v>42308</v>
      </c>
      <c r="I639" s="3">
        <v>42314</v>
      </c>
      <c r="J639" s="3">
        <v>42314</v>
      </c>
      <c r="K639" s="3">
        <v>42374</v>
      </c>
      <c r="L639"/>
      <c r="N639"/>
      <c r="O639" s="4">
        <v>2815.38</v>
      </c>
      <c r="P639">
        <v>42</v>
      </c>
      <c r="Q639" s="4">
        <v>118245.96</v>
      </c>
      <c r="R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 s="3">
        <v>42562</v>
      </c>
      <c r="AC639" t="s">
        <v>53</v>
      </c>
      <c r="AD639" t="s">
        <v>53</v>
      </c>
      <c r="AK639">
        <v>0</v>
      </c>
      <c r="AU639" s="3">
        <v>42416</v>
      </c>
      <c r="AV639" s="3">
        <v>42416</v>
      </c>
      <c r="AW639" t="s">
        <v>54</v>
      </c>
      <c r="AX639" t="str">
        <f t="shared" si="72"/>
        <v>FOR</v>
      </c>
      <c r="AY639" t="s">
        <v>55</v>
      </c>
    </row>
    <row r="640" spans="1:51" hidden="1">
      <c r="A640">
        <v>100616</v>
      </c>
      <c r="B640" t="s">
        <v>132</v>
      </c>
      <c r="C640" t="str">
        <f>"01323420628"</f>
        <v>01323420628</v>
      </c>
      <c r="D640" t="str">
        <f>"VSSSNT75H43I234Q"</f>
        <v>VSSSNT75H43I234Q</v>
      </c>
      <c r="E640" t="s">
        <v>52</v>
      </c>
      <c r="F640">
        <v>2016</v>
      </c>
      <c r="G640" t="str">
        <f>"       000001-2016-A"</f>
        <v xml:space="preserve">       000001-2016-A</v>
      </c>
      <c r="H640" s="3">
        <v>42380</v>
      </c>
      <c r="I640" s="3">
        <v>42382</v>
      </c>
      <c r="J640" s="3">
        <v>42380</v>
      </c>
      <c r="K640" s="3">
        <v>42440</v>
      </c>
      <c r="L640"/>
      <c r="N640"/>
      <c r="O640" s="4">
        <v>2024.92</v>
      </c>
      <c r="P640">
        <v>-43</v>
      </c>
      <c r="Q640" s="4">
        <v>-87071.56</v>
      </c>
      <c r="R640">
        <v>0</v>
      </c>
      <c r="V640">
        <v>0</v>
      </c>
      <c r="W640">
        <v>0</v>
      </c>
      <c r="X640">
        <v>0</v>
      </c>
      <c r="Y640">
        <v>-505.72</v>
      </c>
      <c r="Z640" s="4">
        <v>2024.92</v>
      </c>
      <c r="AA640" s="4">
        <v>2024.92</v>
      </c>
      <c r="AB640" s="3">
        <v>42562</v>
      </c>
      <c r="AC640" t="s">
        <v>53</v>
      </c>
      <c r="AD640" t="s">
        <v>53</v>
      </c>
      <c r="AK640">
        <v>0</v>
      </c>
      <c r="AU640" s="3">
        <v>42397</v>
      </c>
      <c r="AV640" s="3">
        <v>42397</v>
      </c>
      <c r="AW640" t="s">
        <v>54</v>
      </c>
      <c r="AX640" t="str">
        <f t="shared" ref="AX640:AX645" si="75">"ALTPRO"</f>
        <v>ALTPRO</v>
      </c>
      <c r="AY640" t="s">
        <v>93</v>
      </c>
    </row>
    <row r="641" spans="1:51" hidden="1">
      <c r="A641">
        <v>100616</v>
      </c>
      <c r="B641" t="s">
        <v>132</v>
      </c>
      <c r="C641" t="str">
        <f>"01323420628"</f>
        <v>01323420628</v>
      </c>
      <c r="D641" t="str">
        <f>"VSSSNT75H43I234Q"</f>
        <v>VSSSNT75H43I234Q</v>
      </c>
      <c r="E641" t="s">
        <v>52</v>
      </c>
      <c r="F641">
        <v>2016</v>
      </c>
      <c r="G641" t="str">
        <f>"       000002-2016-A"</f>
        <v xml:space="preserve">       000002-2016-A</v>
      </c>
      <c r="H641" s="3">
        <v>42402</v>
      </c>
      <c r="I641" s="3">
        <v>42403</v>
      </c>
      <c r="J641" s="3">
        <v>42402</v>
      </c>
      <c r="K641" s="3">
        <v>42462</v>
      </c>
      <c r="L641"/>
      <c r="N641"/>
      <c r="O641" s="4">
        <v>2024.92</v>
      </c>
      <c r="P641">
        <v>-36</v>
      </c>
      <c r="Q641" s="4">
        <v>-72897.119999999995</v>
      </c>
      <c r="R641">
        <v>0</v>
      </c>
      <c r="V641">
        <v>0</v>
      </c>
      <c r="W641">
        <v>0</v>
      </c>
      <c r="X641">
        <v>0</v>
      </c>
      <c r="Y641" s="4">
        <v>2024.92</v>
      </c>
      <c r="Z641" s="4">
        <v>2024.92</v>
      </c>
      <c r="AA641" s="4">
        <v>2024.92</v>
      </c>
      <c r="AB641" s="3">
        <v>42562</v>
      </c>
      <c r="AC641" t="s">
        <v>53</v>
      </c>
      <c r="AD641" t="s">
        <v>53</v>
      </c>
      <c r="AK641">
        <v>0</v>
      </c>
      <c r="AU641" s="3">
        <v>42426</v>
      </c>
      <c r="AV641" s="3">
        <v>42426</v>
      </c>
      <c r="AW641" t="s">
        <v>54</v>
      </c>
      <c r="AX641" t="str">
        <f t="shared" si="75"/>
        <v>ALTPRO</v>
      </c>
      <c r="AY641" t="s">
        <v>93</v>
      </c>
    </row>
    <row r="642" spans="1:51" hidden="1">
      <c r="A642">
        <v>100616</v>
      </c>
      <c r="B642" t="s">
        <v>132</v>
      </c>
      <c r="C642" t="str">
        <f>"01323420628"</f>
        <v>01323420628</v>
      </c>
      <c r="D642" t="str">
        <f>"VSSSNT75H43I234Q"</f>
        <v>VSSSNT75H43I234Q</v>
      </c>
      <c r="E642" t="s">
        <v>52</v>
      </c>
      <c r="F642">
        <v>2016</v>
      </c>
      <c r="G642" t="str">
        <f>"       000003-2016-A"</f>
        <v xml:space="preserve">       000003-2016-A</v>
      </c>
      <c r="H642" s="3">
        <v>42433</v>
      </c>
      <c r="I642" s="3">
        <v>42436</v>
      </c>
      <c r="J642" s="3">
        <v>42433</v>
      </c>
      <c r="K642" s="3">
        <v>42493</v>
      </c>
      <c r="L642"/>
      <c r="N642"/>
      <c r="O642" s="4">
        <v>2109.1999999999998</v>
      </c>
      <c r="P642">
        <v>-42</v>
      </c>
      <c r="Q642" s="4">
        <v>-88586.4</v>
      </c>
      <c r="R642">
        <v>0</v>
      </c>
      <c r="V642">
        <v>0</v>
      </c>
      <c r="W642">
        <v>0</v>
      </c>
      <c r="X642">
        <v>0</v>
      </c>
      <c r="Y642" s="4">
        <v>2109.1999999999998</v>
      </c>
      <c r="Z642" s="4">
        <v>2109.1999999999998</v>
      </c>
      <c r="AA642" s="4">
        <v>2109.1999999999998</v>
      </c>
      <c r="AB642" s="3">
        <v>42562</v>
      </c>
      <c r="AC642" t="s">
        <v>53</v>
      </c>
      <c r="AD642" t="s">
        <v>53</v>
      </c>
      <c r="AK642">
        <v>0</v>
      </c>
      <c r="AU642" s="3">
        <v>42451</v>
      </c>
      <c r="AV642" s="3">
        <v>42451</v>
      </c>
      <c r="AW642" t="s">
        <v>54</v>
      </c>
      <c r="AX642" t="str">
        <f t="shared" si="75"/>
        <v>ALTPRO</v>
      </c>
      <c r="AY642" t="s">
        <v>93</v>
      </c>
    </row>
    <row r="643" spans="1:51">
      <c r="A643">
        <v>100616</v>
      </c>
      <c r="B643" t="s">
        <v>132</v>
      </c>
      <c r="C643" t="str">
        <f>"01323420628"</f>
        <v>01323420628</v>
      </c>
      <c r="D643" t="str">
        <f>"VSSSNT75H43I234Q"</f>
        <v>VSSSNT75H43I234Q</v>
      </c>
      <c r="E643" t="s">
        <v>52</v>
      </c>
      <c r="F643">
        <v>2016</v>
      </c>
      <c r="G643" t="str">
        <f>"       000004-2016-A"</f>
        <v xml:space="preserve">       000004-2016-A</v>
      </c>
      <c r="H643" s="3">
        <v>42461</v>
      </c>
      <c r="I643" s="3">
        <v>42464</v>
      </c>
      <c r="J643" s="3">
        <v>42461</v>
      </c>
      <c r="K643" s="3">
        <v>42521</v>
      </c>
      <c r="L643" s="5">
        <v>2193.4899999999998</v>
      </c>
      <c r="M643">
        <v>-34</v>
      </c>
      <c r="N643" s="5">
        <v>-74578.66</v>
      </c>
      <c r="O643" s="4">
        <v>2193.4899999999998</v>
      </c>
      <c r="P643">
        <v>-34</v>
      </c>
      <c r="Q643" s="4">
        <v>-74578.66</v>
      </c>
      <c r="R643">
        <v>0</v>
      </c>
      <c r="V643" s="4">
        <v>2193.4899999999998</v>
      </c>
      <c r="W643" s="4">
        <v>2193.4899999999998</v>
      </c>
      <c r="X643" s="4">
        <v>2193.4899999999998</v>
      </c>
      <c r="Y643" s="4">
        <v>2193.4899999999998</v>
      </c>
      <c r="Z643" s="4">
        <v>2193.4899999999998</v>
      </c>
      <c r="AA643" s="4">
        <v>2193.4899999999998</v>
      </c>
      <c r="AB643" s="3">
        <v>42562</v>
      </c>
      <c r="AC643" t="s">
        <v>53</v>
      </c>
      <c r="AD643" t="s">
        <v>53</v>
      </c>
      <c r="AK643">
        <v>0</v>
      </c>
      <c r="AU643" s="3">
        <v>42487</v>
      </c>
      <c r="AV643" s="3">
        <v>42487</v>
      </c>
      <c r="AW643" t="s">
        <v>54</v>
      </c>
      <c r="AX643" t="str">
        <f t="shared" si="75"/>
        <v>ALTPRO</v>
      </c>
      <c r="AY643" t="s">
        <v>93</v>
      </c>
    </row>
    <row r="644" spans="1:51">
      <c r="A644">
        <v>100616</v>
      </c>
      <c r="B644" t="s">
        <v>132</v>
      </c>
      <c r="C644" t="str">
        <f>"01323420628"</f>
        <v>01323420628</v>
      </c>
      <c r="D644" t="str">
        <f>"VSSSNT75H43I234Q"</f>
        <v>VSSSNT75H43I234Q</v>
      </c>
      <c r="E644" t="s">
        <v>52</v>
      </c>
      <c r="F644">
        <v>2016</v>
      </c>
      <c r="G644" t="str">
        <f>"       000005-2016-A"</f>
        <v xml:space="preserve">       000005-2016-A</v>
      </c>
      <c r="H644" s="3">
        <v>42493</v>
      </c>
      <c r="I644" s="3">
        <v>42495</v>
      </c>
      <c r="J644" s="3">
        <v>42493</v>
      </c>
      <c r="K644" s="3">
        <v>42553</v>
      </c>
      <c r="L644" s="5">
        <v>2109.1999999999998</v>
      </c>
      <c r="M644">
        <v>-37</v>
      </c>
      <c r="N644" s="5">
        <v>-78040.399999999994</v>
      </c>
      <c r="O644" s="4">
        <v>2109.1999999999998</v>
      </c>
      <c r="P644">
        <v>-37</v>
      </c>
      <c r="Q644" s="4">
        <v>-78040.399999999994</v>
      </c>
      <c r="R644">
        <v>0</v>
      </c>
      <c r="V644" s="4">
        <v>2109.1999999999998</v>
      </c>
      <c r="W644" s="4">
        <v>2109.1999999999998</v>
      </c>
      <c r="X644" s="4">
        <v>2109.1999999999998</v>
      </c>
      <c r="Y644" s="4">
        <v>2109.1999999999998</v>
      </c>
      <c r="Z644" s="4">
        <v>2109.1999999999998</v>
      </c>
      <c r="AA644" s="4">
        <v>2109.1999999999998</v>
      </c>
      <c r="AB644" s="3">
        <v>42562</v>
      </c>
      <c r="AC644" t="s">
        <v>53</v>
      </c>
      <c r="AD644" t="s">
        <v>53</v>
      </c>
      <c r="AK644">
        <v>0</v>
      </c>
      <c r="AU644" s="3">
        <v>42516</v>
      </c>
      <c r="AV644" s="3">
        <v>42516</v>
      </c>
      <c r="AW644" t="s">
        <v>54</v>
      </c>
      <c r="AX644" t="str">
        <f t="shared" si="75"/>
        <v>ALTPRO</v>
      </c>
      <c r="AY644" t="s">
        <v>93</v>
      </c>
    </row>
    <row r="645" spans="1:51" hidden="1">
      <c r="A645">
        <v>100624</v>
      </c>
      <c r="B645" t="s">
        <v>133</v>
      </c>
      <c r="C645" t="str">
        <f>"01361620626"</f>
        <v>01361620626</v>
      </c>
      <c r="D645" t="str">
        <f>"01361620626"</f>
        <v>01361620626</v>
      </c>
      <c r="E645" t="s">
        <v>52</v>
      </c>
      <c r="F645">
        <v>2015</v>
      </c>
      <c r="G645" t="str">
        <f>"                  32"</f>
        <v xml:space="preserve">                  32</v>
      </c>
      <c r="H645" s="3">
        <v>42214</v>
      </c>
      <c r="I645" s="3">
        <v>42229</v>
      </c>
      <c r="J645" s="3">
        <v>42222</v>
      </c>
      <c r="K645" s="3">
        <v>42282</v>
      </c>
      <c r="L645"/>
      <c r="N645"/>
      <c r="O645" s="4">
        <v>2137.6</v>
      </c>
      <c r="P645">
        <v>120</v>
      </c>
      <c r="Q645" s="4">
        <v>256512</v>
      </c>
      <c r="R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 s="3">
        <v>42562</v>
      </c>
      <c r="AC645" t="s">
        <v>53</v>
      </c>
      <c r="AD645" t="s">
        <v>53</v>
      </c>
      <c r="AK645">
        <v>0</v>
      </c>
      <c r="AU645" s="3">
        <v>42402</v>
      </c>
      <c r="AV645" s="3">
        <v>42402</v>
      </c>
      <c r="AW645" t="s">
        <v>54</v>
      </c>
      <c r="AX645" t="str">
        <f t="shared" si="75"/>
        <v>ALTPRO</v>
      </c>
      <c r="AY645" t="s">
        <v>93</v>
      </c>
    </row>
    <row r="646" spans="1:51">
      <c r="A646">
        <v>100630</v>
      </c>
      <c r="B646" t="s">
        <v>134</v>
      </c>
      <c r="C646" t="str">
        <f t="shared" ref="C646:D665" si="76">"05688870483"</f>
        <v>05688870483</v>
      </c>
      <c r="D646" t="str">
        <f t="shared" si="76"/>
        <v>05688870483</v>
      </c>
      <c r="E646" t="s">
        <v>52</v>
      </c>
      <c r="F646">
        <v>2013</v>
      </c>
      <c r="G646" t="str">
        <f>"              506977"</f>
        <v xml:space="preserve">              506977</v>
      </c>
      <c r="H646" s="3">
        <v>41362</v>
      </c>
      <c r="I646" s="3">
        <v>41372</v>
      </c>
      <c r="J646" s="3">
        <v>41372</v>
      </c>
      <c r="K646" s="3">
        <v>41462</v>
      </c>
      <c r="L646" s="5">
        <v>2820.91</v>
      </c>
      <c r="M646">
        <v>1069</v>
      </c>
      <c r="N646" s="5">
        <v>3015552.79</v>
      </c>
      <c r="O646" s="4">
        <v>2820.91</v>
      </c>
      <c r="P646">
        <v>1069</v>
      </c>
      <c r="Q646" s="4">
        <v>3015552.79</v>
      </c>
      <c r="R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0</v>
      </c>
      <c r="AB646" s="3">
        <v>42562</v>
      </c>
      <c r="AC646" t="s">
        <v>53</v>
      </c>
      <c r="AD646" t="s">
        <v>53</v>
      </c>
      <c r="AK646">
        <v>0</v>
      </c>
      <c r="AU646" s="3">
        <v>42531</v>
      </c>
      <c r="AV646" s="3">
        <v>42531</v>
      </c>
      <c r="AW646" t="s">
        <v>54</v>
      </c>
      <c r="AX646" t="str">
        <f t="shared" ref="AX646:AX672" si="77">"FOR"</f>
        <v>FOR</v>
      </c>
      <c r="AY646" t="s">
        <v>55</v>
      </c>
    </row>
    <row r="647" spans="1:51">
      <c r="A647">
        <v>100630</v>
      </c>
      <c r="B647" t="s">
        <v>134</v>
      </c>
      <c r="C647" t="str">
        <f t="shared" si="76"/>
        <v>05688870483</v>
      </c>
      <c r="D647" t="str">
        <f t="shared" si="76"/>
        <v>05688870483</v>
      </c>
      <c r="E647" t="s">
        <v>52</v>
      </c>
      <c r="F647">
        <v>2014</v>
      </c>
      <c r="G647" t="str">
        <f>"              514549"</f>
        <v xml:space="preserve">              514549</v>
      </c>
      <c r="H647" s="3">
        <v>41824</v>
      </c>
      <c r="I647" s="3">
        <v>41836</v>
      </c>
      <c r="J647" s="3">
        <v>41836</v>
      </c>
      <c r="K647" s="3">
        <v>41926</v>
      </c>
      <c r="L647" s="5">
        <v>3245.2</v>
      </c>
      <c r="M647">
        <v>604</v>
      </c>
      <c r="N647" s="5">
        <v>1960100.8</v>
      </c>
      <c r="O647" s="4">
        <v>3245.2</v>
      </c>
      <c r="P647">
        <v>604</v>
      </c>
      <c r="Q647" s="4">
        <v>1960100.8</v>
      </c>
      <c r="R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0</v>
      </c>
      <c r="AB647" s="3">
        <v>42562</v>
      </c>
      <c r="AC647" t="s">
        <v>53</v>
      </c>
      <c r="AD647" t="s">
        <v>53</v>
      </c>
      <c r="AK647">
        <v>0</v>
      </c>
      <c r="AU647" s="3">
        <v>42530</v>
      </c>
      <c r="AV647" s="3">
        <v>42530</v>
      </c>
      <c r="AW647" t="s">
        <v>54</v>
      </c>
      <c r="AX647" t="str">
        <f t="shared" si="77"/>
        <v>FOR</v>
      </c>
      <c r="AY647" t="s">
        <v>55</v>
      </c>
    </row>
    <row r="648" spans="1:51">
      <c r="A648">
        <v>100630</v>
      </c>
      <c r="B648" t="s">
        <v>134</v>
      </c>
      <c r="C648" t="str">
        <f t="shared" si="76"/>
        <v>05688870483</v>
      </c>
      <c r="D648" t="str">
        <f t="shared" si="76"/>
        <v>05688870483</v>
      </c>
      <c r="E648" t="s">
        <v>52</v>
      </c>
      <c r="F648">
        <v>2014</v>
      </c>
      <c r="G648" t="str">
        <f>"              514925"</f>
        <v xml:space="preserve">              514925</v>
      </c>
      <c r="H648" s="3">
        <v>41830</v>
      </c>
      <c r="I648" s="3">
        <v>41844</v>
      </c>
      <c r="J648" s="3">
        <v>41844</v>
      </c>
      <c r="K648" s="3">
        <v>41934</v>
      </c>
      <c r="L648" s="5">
        <v>3245.2</v>
      </c>
      <c r="M648">
        <v>596</v>
      </c>
      <c r="N648" s="5">
        <v>1934139.2</v>
      </c>
      <c r="O648" s="4">
        <v>3245.2</v>
      </c>
      <c r="P648">
        <v>596</v>
      </c>
      <c r="Q648" s="4">
        <v>1934139.2</v>
      </c>
      <c r="R648">
        <v>0</v>
      </c>
      <c r="V648">
        <v>0</v>
      </c>
      <c r="W648">
        <v>0</v>
      </c>
      <c r="X648">
        <v>0</v>
      </c>
      <c r="Y648">
        <v>0</v>
      </c>
      <c r="Z648">
        <v>0</v>
      </c>
      <c r="AA648">
        <v>0</v>
      </c>
      <c r="AB648" s="3">
        <v>42562</v>
      </c>
      <c r="AC648" t="s">
        <v>53</v>
      </c>
      <c r="AD648" t="s">
        <v>53</v>
      </c>
      <c r="AK648">
        <v>0</v>
      </c>
      <c r="AU648" s="3">
        <v>42530</v>
      </c>
      <c r="AV648" s="3">
        <v>42530</v>
      </c>
      <c r="AW648" t="s">
        <v>54</v>
      </c>
      <c r="AX648" t="str">
        <f t="shared" si="77"/>
        <v>FOR</v>
      </c>
      <c r="AY648" t="s">
        <v>55</v>
      </c>
    </row>
    <row r="649" spans="1:51">
      <c r="A649">
        <v>100630</v>
      </c>
      <c r="B649" t="s">
        <v>134</v>
      </c>
      <c r="C649" t="str">
        <f t="shared" si="76"/>
        <v>05688870483</v>
      </c>
      <c r="D649" t="str">
        <f t="shared" si="76"/>
        <v>05688870483</v>
      </c>
      <c r="E649" t="s">
        <v>52</v>
      </c>
      <c r="F649">
        <v>2014</v>
      </c>
      <c r="G649" t="str">
        <f>"              515152"</f>
        <v xml:space="preserve">              515152</v>
      </c>
      <c r="H649" s="3">
        <v>41835</v>
      </c>
      <c r="I649" s="3">
        <v>41849</v>
      </c>
      <c r="J649" s="3">
        <v>41849</v>
      </c>
      <c r="K649" s="3">
        <v>41939</v>
      </c>
      <c r="L649" s="5">
        <v>7405.89</v>
      </c>
      <c r="M649">
        <v>591</v>
      </c>
      <c r="N649" s="5">
        <v>4376880.99</v>
      </c>
      <c r="O649" s="4">
        <v>7405.89</v>
      </c>
      <c r="P649">
        <v>591</v>
      </c>
      <c r="Q649" s="4">
        <v>4376880.99</v>
      </c>
      <c r="R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0</v>
      </c>
      <c r="AB649" s="3">
        <v>42562</v>
      </c>
      <c r="AC649" t="s">
        <v>53</v>
      </c>
      <c r="AD649" t="s">
        <v>53</v>
      </c>
      <c r="AK649">
        <v>0</v>
      </c>
      <c r="AU649" s="3">
        <v>42530</v>
      </c>
      <c r="AV649" s="3">
        <v>42530</v>
      </c>
      <c r="AW649" t="s">
        <v>54</v>
      </c>
      <c r="AX649" t="str">
        <f t="shared" si="77"/>
        <v>FOR</v>
      </c>
      <c r="AY649" t="s">
        <v>55</v>
      </c>
    </row>
    <row r="650" spans="1:51">
      <c r="A650">
        <v>100630</v>
      </c>
      <c r="B650" t="s">
        <v>134</v>
      </c>
      <c r="C650" t="str">
        <f t="shared" si="76"/>
        <v>05688870483</v>
      </c>
      <c r="D650" t="str">
        <f t="shared" si="76"/>
        <v>05688870483</v>
      </c>
      <c r="E650" t="s">
        <v>52</v>
      </c>
      <c r="F650">
        <v>2014</v>
      </c>
      <c r="G650" t="str">
        <f>"              517705"</f>
        <v xml:space="preserve">              517705</v>
      </c>
      <c r="H650" s="3">
        <v>41880</v>
      </c>
      <c r="I650" s="3">
        <v>41892</v>
      </c>
      <c r="J650" s="3">
        <v>41892</v>
      </c>
      <c r="K650" s="3">
        <v>41982</v>
      </c>
      <c r="L650" s="5">
        <v>1374.9</v>
      </c>
      <c r="M650">
        <v>548</v>
      </c>
      <c r="N650" s="5">
        <v>753445.2</v>
      </c>
      <c r="O650" s="4">
        <v>1374.9</v>
      </c>
      <c r="P650">
        <v>548</v>
      </c>
      <c r="Q650" s="4">
        <v>753445.2</v>
      </c>
      <c r="R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0</v>
      </c>
      <c r="AB650" s="3">
        <v>42562</v>
      </c>
      <c r="AC650" t="s">
        <v>53</v>
      </c>
      <c r="AD650" t="s">
        <v>53</v>
      </c>
      <c r="AK650">
        <v>0</v>
      </c>
      <c r="AU650" s="3">
        <v>42530</v>
      </c>
      <c r="AV650" s="3">
        <v>42530</v>
      </c>
      <c r="AW650" t="s">
        <v>54</v>
      </c>
      <c r="AX650" t="str">
        <f t="shared" si="77"/>
        <v>FOR</v>
      </c>
      <c r="AY650" t="s">
        <v>55</v>
      </c>
    </row>
    <row r="651" spans="1:51">
      <c r="A651">
        <v>100630</v>
      </c>
      <c r="B651" t="s">
        <v>134</v>
      </c>
      <c r="C651" t="str">
        <f t="shared" si="76"/>
        <v>05688870483</v>
      </c>
      <c r="D651" t="str">
        <f t="shared" si="76"/>
        <v>05688870483</v>
      </c>
      <c r="E651" t="s">
        <v>52</v>
      </c>
      <c r="F651">
        <v>2014</v>
      </c>
      <c r="G651" t="str">
        <f>"              517706"</f>
        <v xml:space="preserve">              517706</v>
      </c>
      <c r="H651" s="3">
        <v>41880</v>
      </c>
      <c r="I651" s="3">
        <v>41892</v>
      </c>
      <c r="J651" s="3">
        <v>41892</v>
      </c>
      <c r="K651" s="3">
        <v>41982</v>
      </c>
      <c r="L651" s="5">
        <v>2844.22</v>
      </c>
      <c r="M651">
        <v>548</v>
      </c>
      <c r="N651" s="5">
        <v>1558632.56</v>
      </c>
      <c r="O651" s="4">
        <v>2844.22</v>
      </c>
      <c r="P651">
        <v>548</v>
      </c>
      <c r="Q651" s="4">
        <v>1558632.56</v>
      </c>
      <c r="R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 s="3">
        <v>42562</v>
      </c>
      <c r="AC651" t="s">
        <v>53</v>
      </c>
      <c r="AD651" t="s">
        <v>53</v>
      </c>
      <c r="AK651">
        <v>0</v>
      </c>
      <c r="AU651" s="3">
        <v>42530</v>
      </c>
      <c r="AV651" s="3">
        <v>42530</v>
      </c>
      <c r="AW651" t="s">
        <v>54</v>
      </c>
      <c r="AX651" t="str">
        <f t="shared" si="77"/>
        <v>FOR</v>
      </c>
      <c r="AY651" t="s">
        <v>55</v>
      </c>
    </row>
    <row r="652" spans="1:51">
      <c r="A652">
        <v>100630</v>
      </c>
      <c r="B652" t="s">
        <v>134</v>
      </c>
      <c r="C652" t="str">
        <f t="shared" si="76"/>
        <v>05688870483</v>
      </c>
      <c r="D652" t="str">
        <f t="shared" si="76"/>
        <v>05688870483</v>
      </c>
      <c r="E652" t="s">
        <v>52</v>
      </c>
      <c r="F652">
        <v>2014</v>
      </c>
      <c r="G652" t="str">
        <f>"              519129"</f>
        <v xml:space="preserve">              519129</v>
      </c>
      <c r="H652" s="3">
        <v>41906</v>
      </c>
      <c r="I652" s="3">
        <v>41921</v>
      </c>
      <c r="J652" s="3">
        <v>41921</v>
      </c>
      <c r="K652" s="3">
        <v>42011</v>
      </c>
      <c r="L652" s="5">
        <v>2433.9</v>
      </c>
      <c r="M652">
        <v>519</v>
      </c>
      <c r="N652" s="5">
        <v>1263194.1000000001</v>
      </c>
      <c r="O652" s="4">
        <v>2433.9</v>
      </c>
      <c r="P652">
        <v>519</v>
      </c>
      <c r="Q652" s="4">
        <v>1263194.1000000001</v>
      </c>
      <c r="R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 s="3">
        <v>42562</v>
      </c>
      <c r="AC652" t="s">
        <v>53</v>
      </c>
      <c r="AD652" t="s">
        <v>53</v>
      </c>
      <c r="AK652">
        <v>0</v>
      </c>
      <c r="AU652" s="3">
        <v>42530</v>
      </c>
      <c r="AV652" s="3">
        <v>42530</v>
      </c>
      <c r="AW652" t="s">
        <v>54</v>
      </c>
      <c r="AX652" t="str">
        <f t="shared" si="77"/>
        <v>FOR</v>
      </c>
      <c r="AY652" t="s">
        <v>55</v>
      </c>
    </row>
    <row r="653" spans="1:51">
      <c r="A653">
        <v>100630</v>
      </c>
      <c r="B653" t="s">
        <v>134</v>
      </c>
      <c r="C653" t="str">
        <f t="shared" si="76"/>
        <v>05688870483</v>
      </c>
      <c r="D653" t="str">
        <f t="shared" si="76"/>
        <v>05688870483</v>
      </c>
      <c r="E653" t="s">
        <v>52</v>
      </c>
      <c r="F653">
        <v>2014</v>
      </c>
      <c r="G653" t="str">
        <f>"              519241"</f>
        <v xml:space="preserve">              519241</v>
      </c>
      <c r="H653" s="3">
        <v>41907</v>
      </c>
      <c r="I653" s="3">
        <v>41920</v>
      </c>
      <c r="J653" s="3">
        <v>41920</v>
      </c>
      <c r="K653" s="3">
        <v>42010</v>
      </c>
      <c r="L653" s="5">
        <v>1374.9</v>
      </c>
      <c r="M653">
        <v>520</v>
      </c>
      <c r="N653" s="5">
        <v>714948</v>
      </c>
      <c r="O653" s="4">
        <v>1374.9</v>
      </c>
      <c r="P653">
        <v>520</v>
      </c>
      <c r="Q653" s="4">
        <v>714948</v>
      </c>
      <c r="R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 s="3">
        <v>42562</v>
      </c>
      <c r="AC653" t="s">
        <v>53</v>
      </c>
      <c r="AD653" t="s">
        <v>53</v>
      </c>
      <c r="AK653">
        <v>0</v>
      </c>
      <c r="AU653" s="3">
        <v>42530</v>
      </c>
      <c r="AV653" s="3">
        <v>42530</v>
      </c>
      <c r="AW653" t="s">
        <v>54</v>
      </c>
      <c r="AX653" t="str">
        <f t="shared" si="77"/>
        <v>FOR</v>
      </c>
      <c r="AY653" t="s">
        <v>55</v>
      </c>
    </row>
    <row r="654" spans="1:51">
      <c r="A654">
        <v>100630</v>
      </c>
      <c r="B654" t="s">
        <v>134</v>
      </c>
      <c r="C654" t="str">
        <f t="shared" si="76"/>
        <v>05688870483</v>
      </c>
      <c r="D654" t="str">
        <f t="shared" si="76"/>
        <v>05688870483</v>
      </c>
      <c r="E654" t="s">
        <v>52</v>
      </c>
      <c r="F654">
        <v>2014</v>
      </c>
      <c r="G654" t="str">
        <f>"              519242"</f>
        <v xml:space="preserve">              519242</v>
      </c>
      <c r="H654" s="3">
        <v>41907</v>
      </c>
      <c r="I654" s="3">
        <v>41920</v>
      </c>
      <c r="J654" s="3">
        <v>41920</v>
      </c>
      <c r="K654" s="3">
        <v>42010</v>
      </c>
      <c r="L654" s="5">
        <v>2844.22</v>
      </c>
      <c r="M654">
        <v>520</v>
      </c>
      <c r="N654" s="5">
        <v>1478994.4</v>
      </c>
      <c r="O654" s="4">
        <v>2844.22</v>
      </c>
      <c r="P654">
        <v>520</v>
      </c>
      <c r="Q654" s="4">
        <v>1478994.4</v>
      </c>
      <c r="R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0</v>
      </c>
      <c r="AB654" s="3">
        <v>42562</v>
      </c>
      <c r="AC654" t="s">
        <v>53</v>
      </c>
      <c r="AD654" t="s">
        <v>53</v>
      </c>
      <c r="AK654">
        <v>0</v>
      </c>
      <c r="AU654" s="3">
        <v>42530</v>
      </c>
      <c r="AV654" s="3">
        <v>42530</v>
      </c>
      <c r="AW654" t="s">
        <v>54</v>
      </c>
      <c r="AX654" t="str">
        <f t="shared" si="77"/>
        <v>FOR</v>
      </c>
      <c r="AY654" t="s">
        <v>55</v>
      </c>
    </row>
    <row r="655" spans="1:51" hidden="1">
      <c r="A655">
        <v>100630</v>
      </c>
      <c r="B655" t="s">
        <v>134</v>
      </c>
      <c r="C655" t="str">
        <f t="shared" si="76"/>
        <v>05688870483</v>
      </c>
      <c r="D655" t="str">
        <f t="shared" si="76"/>
        <v>05688870483</v>
      </c>
      <c r="E655" t="s">
        <v>52</v>
      </c>
      <c r="F655">
        <v>2015</v>
      </c>
      <c r="G655" t="str">
        <f>"              502287"</f>
        <v xml:space="preserve">              502287</v>
      </c>
      <c r="H655" s="3">
        <v>42044</v>
      </c>
      <c r="I655" s="3">
        <v>42054</v>
      </c>
      <c r="J655" s="3">
        <v>42054</v>
      </c>
      <c r="K655" s="3">
        <v>42114</v>
      </c>
      <c r="L655"/>
      <c r="N655"/>
      <c r="O655" s="4">
        <v>7067.95</v>
      </c>
      <c r="P655">
        <v>290</v>
      </c>
      <c r="Q655" s="4">
        <v>2049705.5</v>
      </c>
      <c r="R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 s="3">
        <v>42562</v>
      </c>
      <c r="AC655" t="s">
        <v>53</v>
      </c>
      <c r="AD655" t="s">
        <v>53</v>
      </c>
      <c r="AK655">
        <v>0</v>
      </c>
      <c r="AU655" s="3">
        <v>42404</v>
      </c>
      <c r="AV655" s="3">
        <v>42404</v>
      </c>
      <c r="AW655" t="s">
        <v>54</v>
      </c>
      <c r="AX655" t="str">
        <f t="shared" si="77"/>
        <v>FOR</v>
      </c>
      <c r="AY655" t="s">
        <v>55</v>
      </c>
    </row>
    <row r="656" spans="1:51" hidden="1">
      <c r="A656">
        <v>100630</v>
      </c>
      <c r="B656" t="s">
        <v>134</v>
      </c>
      <c r="C656" t="str">
        <f t="shared" si="76"/>
        <v>05688870483</v>
      </c>
      <c r="D656" t="str">
        <f t="shared" si="76"/>
        <v>05688870483</v>
      </c>
      <c r="E656" t="s">
        <v>52</v>
      </c>
      <c r="F656">
        <v>2015</v>
      </c>
      <c r="G656" t="str">
        <f>"              503589"</f>
        <v xml:space="preserve">              503589</v>
      </c>
      <c r="H656" s="3">
        <v>42062</v>
      </c>
      <c r="I656" s="3">
        <v>42073</v>
      </c>
      <c r="J656" s="3">
        <v>42073</v>
      </c>
      <c r="K656" s="3">
        <v>42133</v>
      </c>
      <c r="L656"/>
      <c r="N656"/>
      <c r="O656">
        <v>412.4</v>
      </c>
      <c r="P656">
        <v>271</v>
      </c>
      <c r="Q656" s="4">
        <v>111760.4</v>
      </c>
      <c r="R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 s="3">
        <v>42562</v>
      </c>
      <c r="AC656" t="s">
        <v>53</v>
      </c>
      <c r="AD656" t="s">
        <v>53</v>
      </c>
      <c r="AK656">
        <v>0</v>
      </c>
      <c r="AU656" s="3">
        <v>42404</v>
      </c>
      <c r="AV656" s="3">
        <v>42404</v>
      </c>
      <c r="AW656" t="s">
        <v>54</v>
      </c>
      <c r="AX656" t="str">
        <f t="shared" si="77"/>
        <v>FOR</v>
      </c>
      <c r="AY656" t="s">
        <v>55</v>
      </c>
    </row>
    <row r="657" spans="1:51" hidden="1">
      <c r="A657">
        <v>100630</v>
      </c>
      <c r="B657" t="s">
        <v>134</v>
      </c>
      <c r="C657" t="str">
        <f t="shared" si="76"/>
        <v>05688870483</v>
      </c>
      <c r="D657" t="str">
        <f t="shared" si="76"/>
        <v>05688870483</v>
      </c>
      <c r="E657" t="s">
        <v>52</v>
      </c>
      <c r="F657">
        <v>2015</v>
      </c>
      <c r="G657" t="str">
        <f>"              504422"</f>
        <v xml:space="preserve">              504422</v>
      </c>
      <c r="H657" s="3">
        <v>42073</v>
      </c>
      <c r="I657" s="3">
        <v>42087</v>
      </c>
      <c r="J657" s="3">
        <v>42087</v>
      </c>
      <c r="K657" s="3">
        <v>42147</v>
      </c>
      <c r="L657"/>
      <c r="N657"/>
      <c r="O657" s="4">
        <v>2394</v>
      </c>
      <c r="P657">
        <v>269</v>
      </c>
      <c r="Q657" s="4">
        <v>643986</v>
      </c>
      <c r="R657">
        <v>0</v>
      </c>
      <c r="V657">
        <v>0</v>
      </c>
      <c r="W657">
        <v>0</v>
      </c>
      <c r="X657">
        <v>0</v>
      </c>
      <c r="Y657">
        <v>0</v>
      </c>
      <c r="Z657">
        <v>0</v>
      </c>
      <c r="AA657">
        <v>0</v>
      </c>
      <c r="AB657" s="3">
        <v>42562</v>
      </c>
      <c r="AC657" t="s">
        <v>53</v>
      </c>
      <c r="AD657" t="s">
        <v>53</v>
      </c>
      <c r="AK657">
        <v>0</v>
      </c>
      <c r="AU657" s="3">
        <v>42416</v>
      </c>
      <c r="AV657" s="3">
        <v>42416</v>
      </c>
      <c r="AW657" t="s">
        <v>54</v>
      </c>
      <c r="AX657" t="str">
        <f t="shared" si="77"/>
        <v>FOR</v>
      </c>
      <c r="AY657" t="s">
        <v>55</v>
      </c>
    </row>
    <row r="658" spans="1:51" hidden="1">
      <c r="A658">
        <v>100630</v>
      </c>
      <c r="B658" t="s">
        <v>134</v>
      </c>
      <c r="C658" t="str">
        <f t="shared" si="76"/>
        <v>05688870483</v>
      </c>
      <c r="D658" t="str">
        <f t="shared" si="76"/>
        <v>05688870483</v>
      </c>
      <c r="E658" t="s">
        <v>52</v>
      </c>
      <c r="F658">
        <v>2015</v>
      </c>
      <c r="G658" t="str">
        <f>"              504485"</f>
        <v xml:space="preserve">              504485</v>
      </c>
      <c r="H658" s="3">
        <v>42074</v>
      </c>
      <c r="I658" s="3">
        <v>42087</v>
      </c>
      <c r="J658" s="3">
        <v>42087</v>
      </c>
      <c r="K658" s="3">
        <v>42147</v>
      </c>
      <c r="L658"/>
      <c r="N658"/>
      <c r="O658" s="4">
        <v>3757.6</v>
      </c>
      <c r="P658">
        <v>269</v>
      </c>
      <c r="Q658" s="4">
        <v>1010794.4</v>
      </c>
      <c r="R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0</v>
      </c>
      <c r="AB658" s="3">
        <v>42562</v>
      </c>
      <c r="AC658" t="s">
        <v>53</v>
      </c>
      <c r="AD658" t="s">
        <v>53</v>
      </c>
      <c r="AK658">
        <v>0</v>
      </c>
      <c r="AU658" s="3">
        <v>42416</v>
      </c>
      <c r="AV658" s="3">
        <v>42416</v>
      </c>
      <c r="AW658" t="s">
        <v>54</v>
      </c>
      <c r="AX658" t="str">
        <f t="shared" si="77"/>
        <v>FOR</v>
      </c>
      <c r="AY658" t="s">
        <v>55</v>
      </c>
    </row>
    <row r="659" spans="1:51" hidden="1">
      <c r="A659">
        <v>100630</v>
      </c>
      <c r="B659" t="s">
        <v>134</v>
      </c>
      <c r="C659" t="str">
        <f t="shared" si="76"/>
        <v>05688870483</v>
      </c>
      <c r="D659" t="str">
        <f t="shared" si="76"/>
        <v>05688870483</v>
      </c>
      <c r="E659" t="s">
        <v>52</v>
      </c>
      <c r="F659">
        <v>2015</v>
      </c>
      <c r="G659" t="str">
        <f>"              505771"</f>
        <v xml:space="preserve">              505771</v>
      </c>
      <c r="H659" s="3">
        <v>42088</v>
      </c>
      <c r="I659" s="3">
        <v>42096</v>
      </c>
      <c r="J659" s="3">
        <v>42096</v>
      </c>
      <c r="K659" s="3">
        <v>42156</v>
      </c>
      <c r="L659"/>
      <c r="N659"/>
      <c r="O659" s="4">
        <v>1126.97</v>
      </c>
      <c r="P659">
        <v>260</v>
      </c>
      <c r="Q659" s="4">
        <v>293012.2</v>
      </c>
      <c r="R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 s="3">
        <v>42562</v>
      </c>
      <c r="AC659" t="s">
        <v>53</v>
      </c>
      <c r="AD659" t="s">
        <v>53</v>
      </c>
      <c r="AK659">
        <v>0</v>
      </c>
      <c r="AU659" s="3">
        <v>42416</v>
      </c>
      <c r="AV659" s="3">
        <v>42416</v>
      </c>
      <c r="AW659" t="s">
        <v>54</v>
      </c>
      <c r="AX659" t="str">
        <f t="shared" si="77"/>
        <v>FOR</v>
      </c>
      <c r="AY659" t="s">
        <v>55</v>
      </c>
    </row>
    <row r="660" spans="1:51" hidden="1">
      <c r="A660">
        <v>100630</v>
      </c>
      <c r="B660" t="s">
        <v>134</v>
      </c>
      <c r="C660" t="str">
        <f t="shared" si="76"/>
        <v>05688870483</v>
      </c>
      <c r="D660" t="str">
        <f t="shared" si="76"/>
        <v>05688870483</v>
      </c>
      <c r="E660" t="s">
        <v>52</v>
      </c>
      <c r="F660">
        <v>2015</v>
      </c>
      <c r="G660" t="str">
        <f>"              505772"</f>
        <v xml:space="preserve">              505772</v>
      </c>
      <c r="H660" s="3">
        <v>42088</v>
      </c>
      <c r="I660" s="3">
        <v>42096</v>
      </c>
      <c r="J660" s="3">
        <v>42096</v>
      </c>
      <c r="K660" s="3">
        <v>42156</v>
      </c>
      <c r="L660"/>
      <c r="N660"/>
      <c r="O660" s="4">
        <v>2331.33</v>
      </c>
      <c r="P660">
        <v>260</v>
      </c>
      <c r="Q660" s="4">
        <v>606145.80000000005</v>
      </c>
      <c r="R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0</v>
      </c>
      <c r="AB660" s="3">
        <v>42562</v>
      </c>
      <c r="AC660" t="s">
        <v>53</v>
      </c>
      <c r="AD660" t="s">
        <v>53</v>
      </c>
      <c r="AK660">
        <v>0</v>
      </c>
      <c r="AU660" s="3">
        <v>42416</v>
      </c>
      <c r="AV660" s="3">
        <v>42416</v>
      </c>
      <c r="AW660" t="s">
        <v>54</v>
      </c>
      <c r="AX660" t="str">
        <f t="shared" si="77"/>
        <v>FOR</v>
      </c>
      <c r="AY660" t="s">
        <v>55</v>
      </c>
    </row>
    <row r="661" spans="1:51" hidden="1">
      <c r="A661">
        <v>100630</v>
      </c>
      <c r="B661" t="s">
        <v>134</v>
      </c>
      <c r="C661" t="str">
        <f t="shared" si="76"/>
        <v>05688870483</v>
      </c>
      <c r="D661" t="str">
        <f t="shared" si="76"/>
        <v>05688870483</v>
      </c>
      <c r="E661" t="s">
        <v>52</v>
      </c>
      <c r="F661">
        <v>2015</v>
      </c>
      <c r="G661" t="str">
        <f>"              505773"</f>
        <v xml:space="preserve">              505773</v>
      </c>
      <c r="H661" s="3">
        <v>42088</v>
      </c>
      <c r="I661" s="3">
        <v>42097</v>
      </c>
      <c r="J661" s="3">
        <v>42097</v>
      </c>
      <c r="K661" s="3">
        <v>42157</v>
      </c>
      <c r="L661"/>
      <c r="N661"/>
      <c r="O661">
        <v>558</v>
      </c>
      <c r="P661">
        <v>259</v>
      </c>
      <c r="Q661" s="4">
        <v>144522</v>
      </c>
      <c r="R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 s="3">
        <v>42562</v>
      </c>
      <c r="AC661" t="s">
        <v>53</v>
      </c>
      <c r="AD661" t="s">
        <v>53</v>
      </c>
      <c r="AK661">
        <v>0</v>
      </c>
      <c r="AU661" s="3">
        <v>42416</v>
      </c>
      <c r="AV661" s="3">
        <v>42416</v>
      </c>
      <c r="AW661" t="s">
        <v>54</v>
      </c>
      <c r="AX661" t="str">
        <f t="shared" si="77"/>
        <v>FOR</v>
      </c>
      <c r="AY661" t="s">
        <v>55</v>
      </c>
    </row>
    <row r="662" spans="1:51" hidden="1">
      <c r="A662">
        <v>100630</v>
      </c>
      <c r="B662" t="s">
        <v>134</v>
      </c>
      <c r="C662" t="str">
        <f t="shared" si="76"/>
        <v>05688870483</v>
      </c>
      <c r="D662" t="str">
        <f t="shared" si="76"/>
        <v>05688870483</v>
      </c>
      <c r="E662" t="s">
        <v>52</v>
      </c>
      <c r="F662">
        <v>2015</v>
      </c>
      <c r="G662" t="str">
        <f>"              901346"</f>
        <v xml:space="preserve">              901346</v>
      </c>
      <c r="H662" s="3">
        <v>42131</v>
      </c>
      <c r="I662" s="3">
        <v>42135</v>
      </c>
      <c r="J662" s="3">
        <v>42134</v>
      </c>
      <c r="K662" s="3">
        <v>42194</v>
      </c>
      <c r="L662"/>
      <c r="N662"/>
      <c r="O662" s="4">
        <v>1330</v>
      </c>
      <c r="P662">
        <v>258</v>
      </c>
      <c r="Q662" s="4">
        <v>343140</v>
      </c>
      <c r="R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0</v>
      </c>
      <c r="AB662" s="3">
        <v>42562</v>
      </c>
      <c r="AC662" t="s">
        <v>53</v>
      </c>
      <c r="AD662" t="s">
        <v>53</v>
      </c>
      <c r="AK662">
        <v>0</v>
      </c>
      <c r="AU662" s="3">
        <v>42452</v>
      </c>
      <c r="AV662" s="3">
        <v>42452</v>
      </c>
      <c r="AW662" t="s">
        <v>54</v>
      </c>
      <c r="AX662" t="str">
        <f t="shared" si="77"/>
        <v>FOR</v>
      </c>
      <c r="AY662" t="s">
        <v>55</v>
      </c>
    </row>
    <row r="663" spans="1:51" hidden="1">
      <c r="A663">
        <v>100630</v>
      </c>
      <c r="B663" t="s">
        <v>134</v>
      </c>
      <c r="C663" t="str">
        <f t="shared" si="76"/>
        <v>05688870483</v>
      </c>
      <c r="D663" t="str">
        <f t="shared" si="76"/>
        <v>05688870483</v>
      </c>
      <c r="E663" t="s">
        <v>52</v>
      </c>
      <c r="F663">
        <v>2015</v>
      </c>
      <c r="G663" t="str">
        <f>"              901800"</f>
        <v xml:space="preserve">              901800</v>
      </c>
      <c r="H663" s="3">
        <v>42149</v>
      </c>
      <c r="I663" s="3">
        <v>42160</v>
      </c>
      <c r="J663" s="3">
        <v>42152</v>
      </c>
      <c r="K663" s="3">
        <v>42212</v>
      </c>
      <c r="L663"/>
      <c r="N663"/>
      <c r="O663" s="4">
        <v>5183.1499999999996</v>
      </c>
      <c r="P663">
        <v>240</v>
      </c>
      <c r="Q663" s="4">
        <v>1243956</v>
      </c>
      <c r="R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0</v>
      </c>
      <c r="AB663" s="3">
        <v>42562</v>
      </c>
      <c r="AC663" t="s">
        <v>53</v>
      </c>
      <c r="AD663" t="s">
        <v>53</v>
      </c>
      <c r="AK663">
        <v>0</v>
      </c>
      <c r="AU663" s="3">
        <v>42452</v>
      </c>
      <c r="AV663" s="3">
        <v>42452</v>
      </c>
      <c r="AW663" t="s">
        <v>54</v>
      </c>
      <c r="AX663" t="str">
        <f t="shared" si="77"/>
        <v>FOR</v>
      </c>
      <c r="AY663" t="s">
        <v>55</v>
      </c>
    </row>
    <row r="664" spans="1:51">
      <c r="A664">
        <v>100630</v>
      </c>
      <c r="B664" t="s">
        <v>134</v>
      </c>
      <c r="C664" t="str">
        <f t="shared" si="76"/>
        <v>05688870483</v>
      </c>
      <c r="D664" t="str">
        <f t="shared" si="76"/>
        <v>05688870483</v>
      </c>
      <c r="E664" t="s">
        <v>52</v>
      </c>
      <c r="F664">
        <v>2015</v>
      </c>
      <c r="G664" t="str">
        <f>"              902574"</f>
        <v xml:space="preserve">              902574</v>
      </c>
      <c r="H664" s="3">
        <v>42166</v>
      </c>
      <c r="I664" s="3">
        <v>42172</v>
      </c>
      <c r="J664" s="3">
        <v>42171</v>
      </c>
      <c r="K664" s="3">
        <v>42231</v>
      </c>
      <c r="L664" s="5">
        <v>1150</v>
      </c>
      <c r="M664">
        <v>296</v>
      </c>
      <c r="N664" s="5">
        <v>340400</v>
      </c>
      <c r="O664" s="4">
        <v>1150</v>
      </c>
      <c r="P664">
        <v>296</v>
      </c>
      <c r="Q664" s="4">
        <v>340400</v>
      </c>
      <c r="R664">
        <v>253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0</v>
      </c>
      <c r="AB664" s="3">
        <v>42562</v>
      </c>
      <c r="AC664" t="s">
        <v>53</v>
      </c>
      <c r="AD664" t="s">
        <v>53</v>
      </c>
      <c r="AK664">
        <v>253</v>
      </c>
      <c r="AU664" s="3">
        <v>42527</v>
      </c>
      <c r="AV664" s="3">
        <v>42527</v>
      </c>
      <c r="AW664" t="s">
        <v>54</v>
      </c>
      <c r="AX664" t="str">
        <f t="shared" si="77"/>
        <v>FOR</v>
      </c>
      <c r="AY664" t="s">
        <v>55</v>
      </c>
    </row>
    <row r="665" spans="1:51">
      <c r="A665">
        <v>100630</v>
      </c>
      <c r="B665" t="s">
        <v>134</v>
      </c>
      <c r="C665" t="str">
        <f t="shared" si="76"/>
        <v>05688870483</v>
      </c>
      <c r="D665" t="str">
        <f t="shared" si="76"/>
        <v>05688870483</v>
      </c>
      <c r="E665" t="s">
        <v>52</v>
      </c>
      <c r="F665">
        <v>2015</v>
      </c>
      <c r="G665" t="str">
        <f>"              903412"</f>
        <v xml:space="preserve">              903412</v>
      </c>
      <c r="H665" s="3">
        <v>42181</v>
      </c>
      <c r="I665" s="3">
        <v>42191</v>
      </c>
      <c r="J665" s="3">
        <v>42185</v>
      </c>
      <c r="K665" s="3">
        <v>42245</v>
      </c>
      <c r="L665" s="5">
        <v>2300</v>
      </c>
      <c r="M665">
        <v>282</v>
      </c>
      <c r="N665" s="5">
        <v>648600</v>
      </c>
      <c r="O665" s="4">
        <v>2300</v>
      </c>
      <c r="P665">
        <v>282</v>
      </c>
      <c r="Q665" s="4">
        <v>648600</v>
      </c>
      <c r="R665">
        <v>506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 s="3">
        <v>42562</v>
      </c>
      <c r="AC665" t="s">
        <v>53</v>
      </c>
      <c r="AD665" t="s">
        <v>53</v>
      </c>
      <c r="AK665">
        <v>506</v>
      </c>
      <c r="AU665" s="3">
        <v>42527</v>
      </c>
      <c r="AV665" s="3">
        <v>42527</v>
      </c>
      <c r="AW665" t="s">
        <v>54</v>
      </c>
      <c r="AX665" t="str">
        <f t="shared" si="77"/>
        <v>FOR</v>
      </c>
      <c r="AY665" t="s">
        <v>55</v>
      </c>
    </row>
    <row r="666" spans="1:51" hidden="1">
      <c r="A666">
        <v>100636</v>
      </c>
      <c r="B666" t="s">
        <v>135</v>
      </c>
      <c r="C666" t="str">
        <f t="shared" ref="C666:D672" si="78">"00397360488"</f>
        <v>00397360488</v>
      </c>
      <c r="D666" t="str">
        <f t="shared" si="78"/>
        <v>00397360488</v>
      </c>
      <c r="E666" t="s">
        <v>52</v>
      </c>
      <c r="F666">
        <v>2015</v>
      </c>
      <c r="G666" t="str">
        <f>"           0004350SP"</f>
        <v xml:space="preserve">           0004350SP</v>
      </c>
      <c r="H666" s="3">
        <v>42215</v>
      </c>
      <c r="I666" s="3">
        <v>42220</v>
      </c>
      <c r="J666" s="3">
        <v>42219</v>
      </c>
      <c r="K666" s="3">
        <v>42279</v>
      </c>
      <c r="L666"/>
      <c r="N666"/>
      <c r="O666">
        <v>407.29</v>
      </c>
      <c r="P666">
        <v>173</v>
      </c>
      <c r="Q666" s="4">
        <v>70461.17</v>
      </c>
      <c r="R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0</v>
      </c>
      <c r="AB666" s="3">
        <v>42562</v>
      </c>
      <c r="AC666" t="s">
        <v>53</v>
      </c>
      <c r="AD666" t="s">
        <v>53</v>
      </c>
      <c r="AK666">
        <v>0</v>
      </c>
      <c r="AU666" s="3">
        <v>42452</v>
      </c>
      <c r="AV666" s="3">
        <v>42452</v>
      </c>
      <c r="AW666" t="s">
        <v>54</v>
      </c>
      <c r="AX666" t="str">
        <f t="shared" si="77"/>
        <v>FOR</v>
      </c>
      <c r="AY666" t="s">
        <v>55</v>
      </c>
    </row>
    <row r="667" spans="1:51" hidden="1">
      <c r="A667">
        <v>100636</v>
      </c>
      <c r="B667" t="s">
        <v>135</v>
      </c>
      <c r="C667" t="str">
        <f t="shared" si="78"/>
        <v>00397360488</v>
      </c>
      <c r="D667" t="str">
        <f t="shared" si="78"/>
        <v>00397360488</v>
      </c>
      <c r="E667" t="s">
        <v>52</v>
      </c>
      <c r="F667">
        <v>2015</v>
      </c>
      <c r="G667" t="str">
        <f>"           0004969SP"</f>
        <v xml:space="preserve">           0004969SP</v>
      </c>
      <c r="H667" s="3">
        <v>42258</v>
      </c>
      <c r="I667" s="3">
        <v>42265</v>
      </c>
      <c r="J667" s="3">
        <v>42263</v>
      </c>
      <c r="K667" s="3">
        <v>42323</v>
      </c>
      <c r="L667"/>
      <c r="N667"/>
      <c r="O667">
        <v>801.5</v>
      </c>
      <c r="P667">
        <v>129</v>
      </c>
      <c r="Q667" s="4">
        <v>103393.5</v>
      </c>
      <c r="R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0</v>
      </c>
      <c r="AB667" s="3">
        <v>42562</v>
      </c>
      <c r="AC667" t="s">
        <v>53</v>
      </c>
      <c r="AD667" t="s">
        <v>53</v>
      </c>
      <c r="AK667">
        <v>0</v>
      </c>
      <c r="AU667" s="3">
        <v>42452</v>
      </c>
      <c r="AV667" s="3">
        <v>42452</v>
      </c>
      <c r="AW667" t="s">
        <v>54</v>
      </c>
      <c r="AX667" t="str">
        <f t="shared" si="77"/>
        <v>FOR</v>
      </c>
      <c r="AY667" t="s">
        <v>55</v>
      </c>
    </row>
    <row r="668" spans="1:51" hidden="1">
      <c r="A668">
        <v>100636</v>
      </c>
      <c r="B668" t="s">
        <v>135</v>
      </c>
      <c r="C668" t="str">
        <f t="shared" si="78"/>
        <v>00397360488</v>
      </c>
      <c r="D668" t="str">
        <f t="shared" si="78"/>
        <v>00397360488</v>
      </c>
      <c r="E668" t="s">
        <v>52</v>
      </c>
      <c r="F668">
        <v>2015</v>
      </c>
      <c r="G668" t="str">
        <f>"           0006586SP"</f>
        <v xml:space="preserve">           0006586SP</v>
      </c>
      <c r="H668" s="3">
        <v>42333</v>
      </c>
      <c r="I668" s="3">
        <v>42338</v>
      </c>
      <c r="J668" s="3">
        <v>42335</v>
      </c>
      <c r="K668" s="3">
        <v>42395</v>
      </c>
      <c r="L668"/>
      <c r="N668"/>
      <c r="O668">
        <v>802.5</v>
      </c>
      <c r="P668">
        <v>57</v>
      </c>
      <c r="Q668" s="4">
        <v>45742.5</v>
      </c>
      <c r="R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0</v>
      </c>
      <c r="AB668" s="3">
        <v>42562</v>
      </c>
      <c r="AC668" t="s">
        <v>53</v>
      </c>
      <c r="AD668" t="s">
        <v>53</v>
      </c>
      <c r="AK668">
        <v>0</v>
      </c>
      <c r="AU668" s="3">
        <v>42452</v>
      </c>
      <c r="AV668" s="3">
        <v>42452</v>
      </c>
      <c r="AW668" t="s">
        <v>54</v>
      </c>
      <c r="AX668" t="str">
        <f t="shared" si="77"/>
        <v>FOR</v>
      </c>
      <c r="AY668" t="s">
        <v>55</v>
      </c>
    </row>
    <row r="669" spans="1:51">
      <c r="A669">
        <v>100636</v>
      </c>
      <c r="B669" t="s">
        <v>135</v>
      </c>
      <c r="C669" t="str">
        <f t="shared" si="78"/>
        <v>00397360488</v>
      </c>
      <c r="D669" t="str">
        <f t="shared" si="78"/>
        <v>00397360488</v>
      </c>
      <c r="E669" t="s">
        <v>52</v>
      </c>
      <c r="F669">
        <v>2016</v>
      </c>
      <c r="G669" t="str">
        <f>"           0000328SP"</f>
        <v xml:space="preserve">           0000328SP</v>
      </c>
      <c r="H669" s="3">
        <v>42394</v>
      </c>
      <c r="I669" s="3">
        <v>42410</v>
      </c>
      <c r="J669" s="3">
        <v>42401</v>
      </c>
      <c r="K669" s="3">
        <v>42461</v>
      </c>
      <c r="L669" s="1">
        <v>183</v>
      </c>
      <c r="M669">
        <v>59</v>
      </c>
      <c r="N669" s="5">
        <v>10797</v>
      </c>
      <c r="O669">
        <v>183</v>
      </c>
      <c r="P669">
        <v>59</v>
      </c>
      <c r="Q669" s="4">
        <v>10797</v>
      </c>
      <c r="R669">
        <v>0</v>
      </c>
      <c r="V669">
        <v>0</v>
      </c>
      <c r="W669">
        <v>0</v>
      </c>
      <c r="X669">
        <v>0</v>
      </c>
      <c r="Y669">
        <v>223.26</v>
      </c>
      <c r="Z669">
        <v>223.26</v>
      </c>
      <c r="AA669">
        <v>223.26</v>
      </c>
      <c r="AB669" s="3">
        <v>42562</v>
      </c>
      <c r="AC669" t="s">
        <v>53</v>
      </c>
      <c r="AD669" t="s">
        <v>53</v>
      </c>
      <c r="AK669">
        <v>0</v>
      </c>
      <c r="AU669" s="3">
        <v>42520</v>
      </c>
      <c r="AV669" s="3">
        <v>42520</v>
      </c>
      <c r="AW669" t="s">
        <v>54</v>
      </c>
      <c r="AX669" t="str">
        <f t="shared" si="77"/>
        <v>FOR</v>
      </c>
      <c r="AY669" t="s">
        <v>55</v>
      </c>
    </row>
    <row r="670" spans="1:51">
      <c r="A670">
        <v>100636</v>
      </c>
      <c r="B670" t="s">
        <v>135</v>
      </c>
      <c r="C670" t="str">
        <f t="shared" si="78"/>
        <v>00397360488</v>
      </c>
      <c r="D670" t="str">
        <f t="shared" si="78"/>
        <v>00397360488</v>
      </c>
      <c r="E670" t="s">
        <v>52</v>
      </c>
      <c r="F670">
        <v>2016</v>
      </c>
      <c r="G670" t="str">
        <f>"           0000794SP"</f>
        <v xml:space="preserve">           0000794SP</v>
      </c>
      <c r="H670" s="3">
        <v>42416</v>
      </c>
      <c r="I670" s="3">
        <v>42425</v>
      </c>
      <c r="J670" s="3">
        <v>42422</v>
      </c>
      <c r="K670" s="3">
        <v>42482</v>
      </c>
      <c r="L670" s="1">
        <v>139.6</v>
      </c>
      <c r="M670">
        <v>38</v>
      </c>
      <c r="N670" s="5">
        <v>5304.8</v>
      </c>
      <c r="O670">
        <v>139.6</v>
      </c>
      <c r="P670">
        <v>38</v>
      </c>
      <c r="Q670" s="4">
        <v>5304.8</v>
      </c>
      <c r="R670">
        <v>0</v>
      </c>
      <c r="V670">
        <v>0</v>
      </c>
      <c r="W670">
        <v>0</v>
      </c>
      <c r="X670">
        <v>0</v>
      </c>
      <c r="Y670">
        <v>170.31</v>
      </c>
      <c r="Z670">
        <v>170.31</v>
      </c>
      <c r="AA670">
        <v>170.31</v>
      </c>
      <c r="AB670" s="3">
        <v>42562</v>
      </c>
      <c r="AC670" t="s">
        <v>53</v>
      </c>
      <c r="AD670" t="s">
        <v>53</v>
      </c>
      <c r="AK670">
        <v>0</v>
      </c>
      <c r="AU670" s="3">
        <v>42520</v>
      </c>
      <c r="AV670" s="3">
        <v>42520</v>
      </c>
      <c r="AW670" t="s">
        <v>54</v>
      </c>
      <c r="AX670" t="str">
        <f t="shared" si="77"/>
        <v>FOR</v>
      </c>
      <c r="AY670" t="s">
        <v>55</v>
      </c>
    </row>
    <row r="671" spans="1:51">
      <c r="A671">
        <v>100636</v>
      </c>
      <c r="B671" t="s">
        <v>135</v>
      </c>
      <c r="C671" t="str">
        <f t="shared" si="78"/>
        <v>00397360488</v>
      </c>
      <c r="D671" t="str">
        <f t="shared" si="78"/>
        <v>00397360488</v>
      </c>
      <c r="E671" t="s">
        <v>52</v>
      </c>
      <c r="F671">
        <v>2016</v>
      </c>
      <c r="G671" t="str">
        <f>"           0001585SP"</f>
        <v xml:space="preserve">           0001585SP</v>
      </c>
      <c r="H671" s="3">
        <v>42450</v>
      </c>
      <c r="I671" s="3">
        <v>42464</v>
      </c>
      <c r="J671" s="3">
        <v>42459</v>
      </c>
      <c r="K671" s="3">
        <v>42519</v>
      </c>
      <c r="L671" s="1">
        <v>801.5</v>
      </c>
      <c r="M671">
        <v>1</v>
      </c>
      <c r="N671" s="1">
        <v>801.5</v>
      </c>
      <c r="O671">
        <v>801.5</v>
      </c>
      <c r="P671">
        <v>1</v>
      </c>
      <c r="Q671">
        <v>801.5</v>
      </c>
      <c r="R671">
        <v>0</v>
      </c>
      <c r="V671">
        <v>0</v>
      </c>
      <c r="W671">
        <v>977.83</v>
      </c>
      <c r="X671">
        <v>0</v>
      </c>
      <c r="Y671">
        <v>977.83</v>
      </c>
      <c r="Z671">
        <v>977.83</v>
      </c>
      <c r="AA671">
        <v>977.83</v>
      </c>
      <c r="AB671" s="3">
        <v>42562</v>
      </c>
      <c r="AC671" t="s">
        <v>53</v>
      </c>
      <c r="AD671" t="s">
        <v>53</v>
      </c>
      <c r="AK671">
        <v>0</v>
      </c>
      <c r="AU671" s="3">
        <v>42520</v>
      </c>
      <c r="AV671" s="3">
        <v>42520</v>
      </c>
      <c r="AW671" t="s">
        <v>54</v>
      </c>
      <c r="AX671" t="str">
        <f t="shared" si="77"/>
        <v>FOR</v>
      </c>
      <c r="AY671" t="s">
        <v>55</v>
      </c>
    </row>
    <row r="672" spans="1:51">
      <c r="A672">
        <v>100636</v>
      </c>
      <c r="B672" t="s">
        <v>135</v>
      </c>
      <c r="C672" t="str">
        <f t="shared" si="78"/>
        <v>00397360488</v>
      </c>
      <c r="D672" t="str">
        <f t="shared" si="78"/>
        <v>00397360488</v>
      </c>
      <c r="E672" t="s">
        <v>52</v>
      </c>
      <c r="F672">
        <v>2016</v>
      </c>
      <c r="G672" t="str">
        <f>"           0001746SP"</f>
        <v xml:space="preserve">           0001746SP</v>
      </c>
      <c r="H672" s="3">
        <v>42459</v>
      </c>
      <c r="I672" s="3">
        <v>42464</v>
      </c>
      <c r="J672" s="3">
        <v>42461</v>
      </c>
      <c r="K672" s="3">
        <v>42521</v>
      </c>
      <c r="L672" s="1">
        <v>292.8</v>
      </c>
      <c r="M672">
        <v>-1</v>
      </c>
      <c r="N672" s="1">
        <v>-292.8</v>
      </c>
      <c r="O672">
        <v>292.8</v>
      </c>
      <c r="P672">
        <v>-1</v>
      </c>
      <c r="Q672">
        <v>-292.8</v>
      </c>
      <c r="R672">
        <v>0</v>
      </c>
      <c r="V672">
        <v>0</v>
      </c>
      <c r="W672">
        <v>357.22</v>
      </c>
      <c r="X672">
        <v>0</v>
      </c>
      <c r="Y672">
        <v>357.22</v>
      </c>
      <c r="Z672">
        <v>357.22</v>
      </c>
      <c r="AA672">
        <v>357.22</v>
      </c>
      <c r="AB672" s="3">
        <v>42562</v>
      </c>
      <c r="AC672" t="s">
        <v>53</v>
      </c>
      <c r="AD672" t="s">
        <v>53</v>
      </c>
      <c r="AK672">
        <v>0</v>
      </c>
      <c r="AU672" s="3">
        <v>42520</v>
      </c>
      <c r="AV672" s="3">
        <v>42520</v>
      </c>
      <c r="AW672" t="s">
        <v>54</v>
      </c>
      <c r="AX672" t="str">
        <f t="shared" si="77"/>
        <v>FOR</v>
      </c>
      <c r="AY672" t="s">
        <v>55</v>
      </c>
    </row>
    <row r="673" spans="1:51" hidden="1">
      <c r="A673">
        <v>100638</v>
      </c>
      <c r="B673" t="s">
        <v>136</v>
      </c>
      <c r="C673" t="str">
        <f>"01624420624"</f>
        <v>01624420624</v>
      </c>
      <c r="D673" t="str">
        <f>"CMPSFN65H42A783M"</f>
        <v>CMPSFN65H42A783M</v>
      </c>
      <c r="E673" t="s">
        <v>52</v>
      </c>
      <c r="F673">
        <v>2016</v>
      </c>
      <c r="G673" t="str">
        <f>"                  2E"</f>
        <v xml:space="preserve">                  2E</v>
      </c>
      <c r="H673" s="3">
        <v>42388</v>
      </c>
      <c r="I673" s="3">
        <v>42391</v>
      </c>
      <c r="J673" s="3">
        <v>42390</v>
      </c>
      <c r="K673" s="3">
        <v>42450</v>
      </c>
      <c r="L673"/>
      <c r="N673"/>
      <c r="O673" s="4">
        <v>1710.16</v>
      </c>
      <c r="P673">
        <v>-47</v>
      </c>
      <c r="Q673" s="4">
        <v>-80377.52</v>
      </c>
      <c r="R673">
        <v>0</v>
      </c>
      <c r="V673">
        <v>0</v>
      </c>
      <c r="W673">
        <v>0</v>
      </c>
      <c r="X673">
        <v>0</v>
      </c>
      <c r="Y673" s="4">
        <v>1710.16</v>
      </c>
      <c r="Z673" s="4">
        <v>1710.16</v>
      </c>
      <c r="AA673" s="4">
        <v>1710.16</v>
      </c>
      <c r="AB673" s="3">
        <v>42562</v>
      </c>
      <c r="AC673" t="s">
        <v>53</v>
      </c>
      <c r="AD673" t="s">
        <v>53</v>
      </c>
      <c r="AK673">
        <v>0</v>
      </c>
      <c r="AU673" s="3">
        <v>42403</v>
      </c>
      <c r="AV673" s="3">
        <v>42403</v>
      </c>
      <c r="AW673" t="s">
        <v>54</v>
      </c>
      <c r="AX673" t="str">
        <f>"ALTPRO"</f>
        <v>ALTPRO</v>
      </c>
      <c r="AY673" t="s">
        <v>93</v>
      </c>
    </row>
    <row r="674" spans="1:51" hidden="1">
      <c r="A674">
        <v>100638</v>
      </c>
      <c r="B674" t="s">
        <v>136</v>
      </c>
      <c r="C674" t="str">
        <f>"01624420624"</f>
        <v>01624420624</v>
      </c>
      <c r="D674" t="str">
        <f>"CMPSFN65H42A783M"</f>
        <v>CMPSFN65H42A783M</v>
      </c>
      <c r="E674" t="s">
        <v>52</v>
      </c>
      <c r="F674">
        <v>2016</v>
      </c>
      <c r="G674" t="str">
        <f>"                  3E"</f>
        <v xml:space="preserve">                  3E</v>
      </c>
      <c r="H674" s="3">
        <v>42405</v>
      </c>
      <c r="I674" s="3">
        <v>42408</v>
      </c>
      <c r="J674" s="3">
        <v>42405</v>
      </c>
      <c r="K674" s="3">
        <v>42465</v>
      </c>
      <c r="L674"/>
      <c r="N674"/>
      <c r="O674" s="4">
        <v>1710.16</v>
      </c>
      <c r="P674">
        <v>-14</v>
      </c>
      <c r="Q674" s="4">
        <v>-23942.240000000002</v>
      </c>
      <c r="R674">
        <v>0</v>
      </c>
      <c r="V674">
        <v>0</v>
      </c>
      <c r="W674">
        <v>0</v>
      </c>
      <c r="X674">
        <v>0</v>
      </c>
      <c r="Y674" s="4">
        <v>1710.16</v>
      </c>
      <c r="Z674" s="4">
        <v>1710.16</v>
      </c>
      <c r="AA674" s="4">
        <v>1710.16</v>
      </c>
      <c r="AB674" s="3">
        <v>42562</v>
      </c>
      <c r="AC674" t="s">
        <v>53</v>
      </c>
      <c r="AD674" t="s">
        <v>53</v>
      </c>
      <c r="AK674">
        <v>0</v>
      </c>
      <c r="AU674" s="3">
        <v>42451</v>
      </c>
      <c r="AV674" s="3">
        <v>42451</v>
      </c>
      <c r="AW674" t="s">
        <v>54</v>
      </c>
      <c r="AX674" t="str">
        <f>"ALTPRO"</f>
        <v>ALTPRO</v>
      </c>
      <c r="AY674" t="s">
        <v>93</v>
      </c>
    </row>
    <row r="675" spans="1:51" hidden="1">
      <c r="A675">
        <v>100638</v>
      </c>
      <c r="B675" t="s">
        <v>136</v>
      </c>
      <c r="C675" t="str">
        <f>"01624420624"</f>
        <v>01624420624</v>
      </c>
      <c r="D675" t="str">
        <f>"CMPSFN65H42A783M"</f>
        <v>CMPSFN65H42A783M</v>
      </c>
      <c r="E675" t="s">
        <v>52</v>
      </c>
      <c r="F675">
        <v>2016</v>
      </c>
      <c r="G675" t="str">
        <f>"                  4E"</f>
        <v xml:space="preserve">                  4E</v>
      </c>
      <c r="H675" s="3">
        <v>42436</v>
      </c>
      <c r="I675" s="3">
        <v>42436</v>
      </c>
      <c r="J675" s="3">
        <v>42436</v>
      </c>
      <c r="K675" s="3">
        <v>42496</v>
      </c>
      <c r="L675"/>
      <c r="N675"/>
      <c r="O675" s="4">
        <v>1777.98</v>
      </c>
      <c r="P675">
        <v>-45</v>
      </c>
      <c r="Q675" s="4">
        <v>-80009.100000000006</v>
      </c>
      <c r="R675">
        <v>0</v>
      </c>
      <c r="V675">
        <v>0</v>
      </c>
      <c r="W675">
        <v>0</v>
      </c>
      <c r="X675">
        <v>0</v>
      </c>
      <c r="Y675" s="4">
        <v>1777.98</v>
      </c>
      <c r="Z675" s="4">
        <v>1777.98</v>
      </c>
      <c r="AA675" s="4">
        <v>1777.98</v>
      </c>
      <c r="AB675" s="3">
        <v>42562</v>
      </c>
      <c r="AC675" t="s">
        <v>53</v>
      </c>
      <c r="AD675" t="s">
        <v>53</v>
      </c>
      <c r="AK675">
        <v>0</v>
      </c>
      <c r="AU675" s="3">
        <v>42451</v>
      </c>
      <c r="AV675" s="3">
        <v>42451</v>
      </c>
      <c r="AW675" t="s">
        <v>54</v>
      </c>
      <c r="AX675" t="str">
        <f>"ALTPRO"</f>
        <v>ALTPRO</v>
      </c>
      <c r="AY675" t="s">
        <v>93</v>
      </c>
    </row>
    <row r="676" spans="1:51">
      <c r="A676">
        <v>100638</v>
      </c>
      <c r="B676" t="s">
        <v>136</v>
      </c>
      <c r="C676" t="str">
        <f>"01624420624"</f>
        <v>01624420624</v>
      </c>
      <c r="D676" t="str">
        <f>"CMPSFN65H42A783M"</f>
        <v>CMPSFN65H42A783M</v>
      </c>
      <c r="E676" t="s">
        <v>52</v>
      </c>
      <c r="F676">
        <v>2016</v>
      </c>
      <c r="G676" t="str">
        <f>"                  5E"</f>
        <v xml:space="preserve">                  5E</v>
      </c>
      <c r="H676" s="3">
        <v>42467</v>
      </c>
      <c r="I676" s="3">
        <v>42467</v>
      </c>
      <c r="J676" s="3">
        <v>42467</v>
      </c>
      <c r="K676" s="3">
        <v>42527</v>
      </c>
      <c r="L676" s="5">
        <v>1850.83</v>
      </c>
      <c r="M676">
        <v>-40</v>
      </c>
      <c r="N676" s="5">
        <v>-74033.2</v>
      </c>
      <c r="O676" s="4">
        <v>1850.83</v>
      </c>
      <c r="P676">
        <v>-40</v>
      </c>
      <c r="Q676" s="4">
        <v>-74033.2</v>
      </c>
      <c r="R676">
        <v>0</v>
      </c>
      <c r="V676">
        <v>0</v>
      </c>
      <c r="W676" s="4">
        <v>1850.83</v>
      </c>
      <c r="X676" s="4">
        <v>1850.83</v>
      </c>
      <c r="Y676" s="4">
        <v>1850.83</v>
      </c>
      <c r="Z676" s="4">
        <v>1850.83</v>
      </c>
      <c r="AA676" s="4">
        <v>1850.83</v>
      </c>
      <c r="AB676" s="3">
        <v>42562</v>
      </c>
      <c r="AC676" t="s">
        <v>53</v>
      </c>
      <c r="AD676" t="s">
        <v>53</v>
      </c>
      <c r="AK676">
        <v>0</v>
      </c>
      <c r="AU676" s="3">
        <v>42487</v>
      </c>
      <c r="AV676" s="3">
        <v>42487</v>
      </c>
      <c r="AW676" t="s">
        <v>54</v>
      </c>
      <c r="AX676" t="str">
        <f>"ALTPRO"</f>
        <v>ALTPRO</v>
      </c>
      <c r="AY676" t="s">
        <v>93</v>
      </c>
    </row>
    <row r="677" spans="1:51">
      <c r="A677">
        <v>100638</v>
      </c>
      <c r="B677" t="s">
        <v>136</v>
      </c>
      <c r="C677" t="str">
        <f>"01624420624"</f>
        <v>01624420624</v>
      </c>
      <c r="D677" t="str">
        <f>"CMPSFN65H42A783M"</f>
        <v>CMPSFN65H42A783M</v>
      </c>
      <c r="E677" t="s">
        <v>52</v>
      </c>
      <c r="F677">
        <v>2016</v>
      </c>
      <c r="G677" t="str">
        <f>"                  6E"</f>
        <v xml:space="preserve">                  6E</v>
      </c>
      <c r="H677" s="3">
        <v>42493</v>
      </c>
      <c r="I677" s="3">
        <v>42495</v>
      </c>
      <c r="J677" s="3">
        <v>42494</v>
      </c>
      <c r="K677" s="3">
        <v>42554</v>
      </c>
      <c r="L677" s="5">
        <v>1777.98</v>
      </c>
      <c r="M677">
        <v>-34</v>
      </c>
      <c r="N677" s="5">
        <v>-60451.32</v>
      </c>
      <c r="O677" s="4">
        <v>1777.98</v>
      </c>
      <c r="P677">
        <v>-34</v>
      </c>
      <c r="Q677" s="4">
        <v>-60451.32</v>
      </c>
      <c r="R677">
        <v>0</v>
      </c>
      <c r="V677" s="4">
        <v>1777.98</v>
      </c>
      <c r="W677" s="4">
        <v>1777.98</v>
      </c>
      <c r="X677" s="4">
        <v>1777.98</v>
      </c>
      <c r="Y677" s="4">
        <v>1777.98</v>
      </c>
      <c r="Z677" s="4">
        <v>1777.98</v>
      </c>
      <c r="AA677" s="4">
        <v>1777.98</v>
      </c>
      <c r="AB677" s="3">
        <v>42562</v>
      </c>
      <c r="AC677" t="s">
        <v>53</v>
      </c>
      <c r="AD677" t="s">
        <v>53</v>
      </c>
      <c r="AK677">
        <v>0</v>
      </c>
      <c r="AU677" s="3">
        <v>42520</v>
      </c>
      <c r="AV677" s="3">
        <v>42520</v>
      </c>
      <c r="AW677" t="s">
        <v>54</v>
      </c>
      <c r="AX677" t="str">
        <f>"ALTPRO"</f>
        <v>ALTPRO</v>
      </c>
      <c r="AY677" t="s">
        <v>93</v>
      </c>
    </row>
    <row r="678" spans="1:51" hidden="1">
      <c r="A678">
        <v>100651</v>
      </c>
      <c r="B678" t="s">
        <v>137</v>
      </c>
      <c r="C678" t="str">
        <f t="shared" ref="C678:D682" si="79">"04356871212"</f>
        <v>04356871212</v>
      </c>
      <c r="D678" t="str">
        <f t="shared" si="79"/>
        <v>04356871212</v>
      </c>
      <c r="E678" t="s">
        <v>52</v>
      </c>
      <c r="F678">
        <v>2016</v>
      </c>
      <c r="G678" t="str">
        <f>"                0120"</f>
        <v xml:space="preserve">                0120</v>
      </c>
      <c r="H678" s="3">
        <v>42389</v>
      </c>
      <c r="I678" s="3">
        <v>42390</v>
      </c>
      <c r="J678" s="3">
        <v>42390</v>
      </c>
      <c r="K678" s="3">
        <v>42450</v>
      </c>
      <c r="L678"/>
      <c r="N678"/>
      <c r="O678">
        <v>180</v>
      </c>
      <c r="P678">
        <v>-60</v>
      </c>
      <c r="Q678" s="4">
        <v>-10800</v>
      </c>
      <c r="R678">
        <v>0</v>
      </c>
      <c r="V678">
        <v>0</v>
      </c>
      <c r="W678">
        <v>0</v>
      </c>
      <c r="X678">
        <v>0</v>
      </c>
      <c r="Y678">
        <v>180</v>
      </c>
      <c r="Z678">
        <v>180</v>
      </c>
      <c r="AA678">
        <v>180</v>
      </c>
      <c r="AB678" s="3">
        <v>42562</v>
      </c>
      <c r="AC678" t="s">
        <v>53</v>
      </c>
      <c r="AD678" t="s">
        <v>53</v>
      </c>
      <c r="AK678">
        <v>0</v>
      </c>
      <c r="AU678" s="3">
        <v>42390</v>
      </c>
      <c r="AV678" s="3">
        <v>42390</v>
      </c>
      <c r="AW678" t="s">
        <v>54</v>
      </c>
      <c r="AX678" t="str">
        <f t="shared" ref="AX678:AX690" si="80">"FOR"</f>
        <v>FOR</v>
      </c>
      <c r="AY678" t="s">
        <v>55</v>
      </c>
    </row>
    <row r="679" spans="1:51" hidden="1">
      <c r="A679">
        <v>100651</v>
      </c>
      <c r="B679" t="s">
        <v>137</v>
      </c>
      <c r="C679" t="str">
        <f t="shared" si="79"/>
        <v>04356871212</v>
      </c>
      <c r="D679" t="str">
        <f t="shared" si="79"/>
        <v>04356871212</v>
      </c>
      <c r="E679" t="s">
        <v>52</v>
      </c>
      <c r="F679">
        <v>2016</v>
      </c>
      <c r="G679" t="str">
        <f>"                0222"</f>
        <v xml:space="preserve">                0222</v>
      </c>
      <c r="H679" s="3">
        <v>42422</v>
      </c>
      <c r="I679" s="3">
        <v>42422</v>
      </c>
      <c r="J679" s="3">
        <v>42422</v>
      </c>
      <c r="K679" s="3">
        <v>42482</v>
      </c>
      <c r="L679"/>
      <c r="N679"/>
      <c r="O679">
        <v>180</v>
      </c>
      <c r="P679">
        <v>-58</v>
      </c>
      <c r="Q679" s="4">
        <v>-10440</v>
      </c>
      <c r="R679">
        <v>0</v>
      </c>
      <c r="V679">
        <v>0</v>
      </c>
      <c r="W679">
        <v>0</v>
      </c>
      <c r="X679">
        <v>0</v>
      </c>
      <c r="Y679">
        <v>180</v>
      </c>
      <c r="Z679">
        <v>180</v>
      </c>
      <c r="AA679">
        <v>180</v>
      </c>
      <c r="AB679" s="3">
        <v>42562</v>
      </c>
      <c r="AC679" t="s">
        <v>53</v>
      </c>
      <c r="AD679" t="s">
        <v>53</v>
      </c>
      <c r="AK679">
        <v>0</v>
      </c>
      <c r="AU679" s="3">
        <v>42424</v>
      </c>
      <c r="AV679" s="3">
        <v>42424</v>
      </c>
      <c r="AW679" t="s">
        <v>54</v>
      </c>
      <c r="AX679" t="str">
        <f t="shared" si="80"/>
        <v>FOR</v>
      </c>
      <c r="AY679" t="s">
        <v>55</v>
      </c>
    </row>
    <row r="680" spans="1:51" hidden="1">
      <c r="A680">
        <v>100651</v>
      </c>
      <c r="B680" t="s">
        <v>137</v>
      </c>
      <c r="C680" t="str">
        <f t="shared" si="79"/>
        <v>04356871212</v>
      </c>
      <c r="D680" t="str">
        <f t="shared" si="79"/>
        <v>04356871212</v>
      </c>
      <c r="E680" t="s">
        <v>52</v>
      </c>
      <c r="F680">
        <v>2016</v>
      </c>
      <c r="G680" t="str">
        <f>"                0321"</f>
        <v xml:space="preserve">                0321</v>
      </c>
      <c r="H680" s="3">
        <v>42450</v>
      </c>
      <c r="I680" s="3">
        <v>42450</v>
      </c>
      <c r="J680" s="3">
        <v>42450</v>
      </c>
      <c r="K680" s="3">
        <v>42510</v>
      </c>
      <c r="L680"/>
      <c r="N680"/>
      <c r="O680">
        <v>180</v>
      </c>
      <c r="P680">
        <v>-57</v>
      </c>
      <c r="Q680" s="4">
        <v>-10260</v>
      </c>
      <c r="R680">
        <v>0</v>
      </c>
      <c r="V680">
        <v>0</v>
      </c>
      <c r="W680">
        <v>0</v>
      </c>
      <c r="X680">
        <v>0</v>
      </c>
      <c r="Y680">
        <v>180</v>
      </c>
      <c r="Z680">
        <v>180</v>
      </c>
      <c r="AA680">
        <v>180</v>
      </c>
      <c r="AB680" s="3">
        <v>42562</v>
      </c>
      <c r="AC680" t="s">
        <v>53</v>
      </c>
      <c r="AD680" t="s">
        <v>53</v>
      </c>
      <c r="AK680">
        <v>0</v>
      </c>
      <c r="AU680" s="3">
        <v>42453</v>
      </c>
      <c r="AV680" s="3">
        <v>42453</v>
      </c>
      <c r="AW680" t="s">
        <v>54</v>
      </c>
      <c r="AX680" t="str">
        <f t="shared" si="80"/>
        <v>FOR</v>
      </c>
      <c r="AY680" t="s">
        <v>55</v>
      </c>
    </row>
    <row r="681" spans="1:51" hidden="1">
      <c r="A681">
        <v>100651</v>
      </c>
      <c r="B681" t="s">
        <v>137</v>
      </c>
      <c r="C681" t="str">
        <f t="shared" si="79"/>
        <v>04356871212</v>
      </c>
      <c r="D681" t="str">
        <f t="shared" si="79"/>
        <v>04356871212</v>
      </c>
      <c r="E681" t="s">
        <v>52</v>
      </c>
      <c r="F681">
        <v>2016</v>
      </c>
      <c r="G681" t="str">
        <f>"                0421"</f>
        <v xml:space="preserve">                0421</v>
      </c>
      <c r="H681" s="3">
        <v>42481</v>
      </c>
      <c r="I681" s="3">
        <v>42481</v>
      </c>
      <c r="J681" s="3">
        <v>42481</v>
      </c>
      <c r="K681" s="3">
        <v>42541</v>
      </c>
      <c r="L681">
        <v>180</v>
      </c>
      <c r="M681">
        <v>-60</v>
      </c>
      <c r="N681" s="4">
        <v>-10800</v>
      </c>
      <c r="O681">
        <v>180</v>
      </c>
      <c r="P681">
        <v>-60</v>
      </c>
      <c r="Q681" s="4">
        <v>-10800</v>
      </c>
      <c r="R681">
        <v>0</v>
      </c>
      <c r="V681">
        <v>180</v>
      </c>
      <c r="W681">
        <v>180</v>
      </c>
      <c r="X681">
        <v>180</v>
      </c>
      <c r="Y681">
        <v>180</v>
      </c>
      <c r="Z681">
        <v>180</v>
      </c>
      <c r="AA681">
        <v>180</v>
      </c>
      <c r="AB681" s="3">
        <v>42562</v>
      </c>
      <c r="AC681" t="s">
        <v>53</v>
      </c>
      <c r="AD681" t="s">
        <v>53</v>
      </c>
      <c r="AK681">
        <v>0</v>
      </c>
      <c r="AU681" s="3">
        <v>42481</v>
      </c>
      <c r="AV681" s="3">
        <v>42481</v>
      </c>
      <c r="AW681" t="s">
        <v>54</v>
      </c>
      <c r="AX681" t="str">
        <f t="shared" si="80"/>
        <v>FOR</v>
      </c>
      <c r="AY681" t="s">
        <v>55</v>
      </c>
    </row>
    <row r="682" spans="1:51" hidden="1">
      <c r="A682">
        <v>100651</v>
      </c>
      <c r="B682" t="s">
        <v>137</v>
      </c>
      <c r="C682" t="str">
        <f t="shared" si="79"/>
        <v>04356871212</v>
      </c>
      <c r="D682" t="str">
        <f t="shared" si="79"/>
        <v>04356871212</v>
      </c>
      <c r="E682" t="s">
        <v>52</v>
      </c>
      <c r="F682">
        <v>2016</v>
      </c>
      <c r="G682" t="str">
        <f>"                0518"</f>
        <v xml:space="preserve">                0518</v>
      </c>
      <c r="H682" s="3">
        <v>42508</v>
      </c>
      <c r="I682" s="3">
        <v>42510</v>
      </c>
      <c r="J682" s="3">
        <v>42510</v>
      </c>
      <c r="K682" s="3">
        <v>42570</v>
      </c>
      <c r="L682">
        <v>180</v>
      </c>
      <c r="M682">
        <v>-57</v>
      </c>
      <c r="N682" s="4">
        <v>-10260</v>
      </c>
      <c r="O682">
        <v>180</v>
      </c>
      <c r="P682">
        <v>-57</v>
      </c>
      <c r="Q682" s="4">
        <v>-10260</v>
      </c>
      <c r="R682">
        <v>0</v>
      </c>
      <c r="V682">
        <v>180</v>
      </c>
      <c r="W682">
        <v>180</v>
      </c>
      <c r="X682">
        <v>180</v>
      </c>
      <c r="Y682">
        <v>180</v>
      </c>
      <c r="Z682">
        <v>180</v>
      </c>
      <c r="AA682">
        <v>180</v>
      </c>
      <c r="AB682" s="3">
        <v>42562</v>
      </c>
      <c r="AC682" t="s">
        <v>53</v>
      </c>
      <c r="AD682" t="s">
        <v>53</v>
      </c>
      <c r="AK682">
        <v>0</v>
      </c>
      <c r="AU682" s="3">
        <v>42513</v>
      </c>
      <c r="AV682" s="3">
        <v>42513</v>
      </c>
      <c r="AW682" t="s">
        <v>54</v>
      </c>
      <c r="AX682" t="str">
        <f t="shared" si="80"/>
        <v>FOR</v>
      </c>
      <c r="AY682" t="s">
        <v>55</v>
      </c>
    </row>
    <row r="683" spans="1:51">
      <c r="A683">
        <v>100655</v>
      </c>
      <c r="B683" t="s">
        <v>138</v>
      </c>
      <c r="C683" t="str">
        <f>"12971700153"</f>
        <v>12971700153</v>
      </c>
      <c r="D683" t="str">
        <f>"00100190610"</f>
        <v>00100190610</v>
      </c>
      <c r="E683" t="s">
        <v>52</v>
      </c>
      <c r="F683">
        <v>2015</v>
      </c>
      <c r="G683" t="str">
        <f>"             0109364"</f>
        <v xml:space="preserve">             0109364</v>
      </c>
      <c r="H683" s="3">
        <v>42181</v>
      </c>
      <c r="I683" s="3">
        <v>42186</v>
      </c>
      <c r="J683" s="3">
        <v>42182</v>
      </c>
      <c r="K683" s="3">
        <v>42242</v>
      </c>
      <c r="L683" s="5">
        <v>2073.6</v>
      </c>
      <c r="M683">
        <v>278</v>
      </c>
      <c r="N683" s="5">
        <v>576460.80000000005</v>
      </c>
      <c r="O683" s="4">
        <v>2073.6</v>
      </c>
      <c r="P683">
        <v>278</v>
      </c>
      <c r="Q683" s="4">
        <v>576460.80000000005</v>
      </c>
      <c r="R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0</v>
      </c>
      <c r="AB683" s="3">
        <v>42562</v>
      </c>
      <c r="AC683" t="s">
        <v>53</v>
      </c>
      <c r="AD683" t="s">
        <v>53</v>
      </c>
      <c r="AK683">
        <v>0</v>
      </c>
      <c r="AU683" s="3">
        <v>42520</v>
      </c>
      <c r="AV683" s="3">
        <v>42520</v>
      </c>
      <c r="AW683" t="s">
        <v>54</v>
      </c>
      <c r="AX683" t="str">
        <f t="shared" si="80"/>
        <v>FOR</v>
      </c>
      <c r="AY683" t="s">
        <v>55</v>
      </c>
    </row>
    <row r="684" spans="1:51">
      <c r="A684">
        <v>100655</v>
      </c>
      <c r="B684" t="s">
        <v>138</v>
      </c>
      <c r="C684" t="str">
        <f>"12971700153"</f>
        <v>12971700153</v>
      </c>
      <c r="D684" t="str">
        <f>"00100190610"</f>
        <v>00100190610</v>
      </c>
      <c r="E684" t="s">
        <v>52</v>
      </c>
      <c r="F684">
        <v>2015</v>
      </c>
      <c r="G684" t="str">
        <f>"             0124525"</f>
        <v xml:space="preserve">             0124525</v>
      </c>
      <c r="H684" s="3">
        <v>42206</v>
      </c>
      <c r="I684" s="3">
        <v>42209</v>
      </c>
      <c r="J684" s="3">
        <v>42207</v>
      </c>
      <c r="K684" s="3">
        <v>42267</v>
      </c>
      <c r="L684" s="1">
        <v>555</v>
      </c>
      <c r="M684">
        <v>253</v>
      </c>
      <c r="N684" s="5">
        <v>140415</v>
      </c>
      <c r="O684">
        <v>555</v>
      </c>
      <c r="P684">
        <v>253</v>
      </c>
      <c r="Q684" s="4">
        <v>140415</v>
      </c>
      <c r="R684">
        <v>0</v>
      </c>
      <c r="V684">
        <v>0</v>
      </c>
      <c r="W684">
        <v>0</v>
      </c>
      <c r="X684">
        <v>0</v>
      </c>
      <c r="Y684">
        <v>0</v>
      </c>
      <c r="Z684">
        <v>0</v>
      </c>
      <c r="AA684">
        <v>0</v>
      </c>
      <c r="AB684" s="3">
        <v>42562</v>
      </c>
      <c r="AC684" t="s">
        <v>53</v>
      </c>
      <c r="AD684" t="s">
        <v>53</v>
      </c>
      <c r="AK684">
        <v>0</v>
      </c>
      <c r="AU684" s="3">
        <v>42520</v>
      </c>
      <c r="AV684" s="3">
        <v>42520</v>
      </c>
      <c r="AW684" t="s">
        <v>54</v>
      </c>
      <c r="AX684" t="str">
        <f t="shared" si="80"/>
        <v>FOR</v>
      </c>
      <c r="AY684" t="s">
        <v>55</v>
      </c>
    </row>
    <row r="685" spans="1:51">
      <c r="A685">
        <v>100660</v>
      </c>
      <c r="B685" t="s">
        <v>139</v>
      </c>
      <c r="C685" t="str">
        <f>"00897041000"</f>
        <v>00897041000</v>
      </c>
      <c r="D685" t="str">
        <f>"00452440589"</f>
        <v>00452440589</v>
      </c>
      <c r="E685" t="s">
        <v>52</v>
      </c>
      <c r="F685">
        <v>2015</v>
      </c>
      <c r="G685" t="str">
        <f>"           551500576"</f>
        <v xml:space="preserve">           551500576</v>
      </c>
      <c r="H685" s="3">
        <v>42354</v>
      </c>
      <c r="I685" s="3">
        <v>42369</v>
      </c>
      <c r="J685" s="3">
        <v>42369</v>
      </c>
      <c r="K685" s="3">
        <v>42429</v>
      </c>
      <c r="L685" s="5">
        <v>2750</v>
      </c>
      <c r="M685">
        <v>91</v>
      </c>
      <c r="N685" s="5">
        <v>250250</v>
      </c>
      <c r="O685" s="4">
        <v>2750</v>
      </c>
      <c r="P685">
        <v>91</v>
      </c>
      <c r="Q685" s="4">
        <v>250250</v>
      </c>
      <c r="R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 s="3">
        <v>42562</v>
      </c>
      <c r="AC685" t="s">
        <v>53</v>
      </c>
      <c r="AD685" t="s">
        <v>53</v>
      </c>
      <c r="AK685">
        <v>0</v>
      </c>
      <c r="AU685" s="3">
        <v>42520</v>
      </c>
      <c r="AV685" s="3">
        <v>42520</v>
      </c>
      <c r="AW685" t="s">
        <v>54</v>
      </c>
      <c r="AX685" t="str">
        <f t="shared" si="80"/>
        <v>FOR</v>
      </c>
      <c r="AY685" t="s">
        <v>55</v>
      </c>
    </row>
    <row r="686" spans="1:51" hidden="1">
      <c r="A686">
        <v>100662</v>
      </c>
      <c r="B686" t="s">
        <v>140</v>
      </c>
      <c r="C686" t="str">
        <f>"01643040387"</f>
        <v>01643040387</v>
      </c>
      <c r="D686" t="str">
        <f>"01643040387"</f>
        <v>01643040387</v>
      </c>
      <c r="E686" t="s">
        <v>52</v>
      </c>
      <c r="F686">
        <v>2015</v>
      </c>
      <c r="G686" t="str">
        <f>"         FATTPA 2_15"</f>
        <v xml:space="preserve">         FATTPA 2_15</v>
      </c>
      <c r="H686" s="3">
        <v>42123</v>
      </c>
      <c r="I686" s="3">
        <v>42142</v>
      </c>
      <c r="J686" s="3">
        <v>42138</v>
      </c>
      <c r="K686" s="3">
        <v>42198</v>
      </c>
      <c r="L686"/>
      <c r="N686"/>
      <c r="O686">
        <v>980</v>
      </c>
      <c r="P686">
        <v>218</v>
      </c>
      <c r="Q686" s="4">
        <v>213640</v>
      </c>
      <c r="R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 s="3">
        <v>42562</v>
      </c>
      <c r="AC686" t="s">
        <v>53</v>
      </c>
      <c r="AD686" t="s">
        <v>53</v>
      </c>
      <c r="AK686">
        <v>0</v>
      </c>
      <c r="AU686" s="3">
        <v>42416</v>
      </c>
      <c r="AV686" s="3">
        <v>42416</v>
      </c>
      <c r="AW686" t="s">
        <v>54</v>
      </c>
      <c r="AX686" t="str">
        <f t="shared" si="80"/>
        <v>FOR</v>
      </c>
      <c r="AY686" t="s">
        <v>55</v>
      </c>
    </row>
    <row r="687" spans="1:51">
      <c r="A687">
        <v>100662</v>
      </c>
      <c r="B687" t="s">
        <v>140</v>
      </c>
      <c r="C687" t="str">
        <f>"01643040387"</f>
        <v>01643040387</v>
      </c>
      <c r="D687" t="str">
        <f>"01643040387"</f>
        <v>01643040387</v>
      </c>
      <c r="E687" t="s">
        <v>52</v>
      </c>
      <c r="F687">
        <v>2015</v>
      </c>
      <c r="G687" t="str">
        <f>"         FATTPA 7_15"</f>
        <v xml:space="preserve">         FATTPA 7_15</v>
      </c>
      <c r="H687" s="3">
        <v>42177</v>
      </c>
      <c r="I687" s="3">
        <v>42177</v>
      </c>
      <c r="J687" s="3">
        <v>42177</v>
      </c>
      <c r="K687" s="3">
        <v>42237</v>
      </c>
      <c r="L687" s="5">
        <v>3542.6</v>
      </c>
      <c r="M687">
        <v>250</v>
      </c>
      <c r="N687" s="5">
        <v>885650</v>
      </c>
      <c r="O687" s="4">
        <v>3542.6</v>
      </c>
      <c r="P687">
        <v>250</v>
      </c>
      <c r="Q687" s="4">
        <v>885650</v>
      </c>
      <c r="R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0</v>
      </c>
      <c r="AB687" s="3">
        <v>42562</v>
      </c>
      <c r="AC687" t="s">
        <v>53</v>
      </c>
      <c r="AD687" t="s">
        <v>53</v>
      </c>
      <c r="AK687">
        <v>0</v>
      </c>
      <c r="AU687" s="3">
        <v>42487</v>
      </c>
      <c r="AV687" s="3">
        <v>42487</v>
      </c>
      <c r="AW687" t="s">
        <v>54</v>
      </c>
      <c r="AX687" t="str">
        <f t="shared" si="80"/>
        <v>FOR</v>
      </c>
      <c r="AY687" t="s">
        <v>55</v>
      </c>
    </row>
    <row r="688" spans="1:51">
      <c r="A688">
        <v>100672</v>
      </c>
      <c r="B688" t="s">
        <v>141</v>
      </c>
      <c r="C688" t="str">
        <f t="shared" ref="C688:D690" si="81">"06225750725"</f>
        <v>06225750725</v>
      </c>
      <c r="D688" t="str">
        <f t="shared" si="81"/>
        <v>06225750725</v>
      </c>
      <c r="E688" t="s">
        <v>52</v>
      </c>
      <c r="F688">
        <v>2015</v>
      </c>
      <c r="G688" t="str">
        <f>"               28/03"</f>
        <v xml:space="preserve">               28/03</v>
      </c>
      <c r="H688" s="3">
        <v>42149</v>
      </c>
      <c r="I688" s="3">
        <v>42163</v>
      </c>
      <c r="J688" s="3">
        <v>42158</v>
      </c>
      <c r="K688" s="3">
        <v>42218</v>
      </c>
      <c r="L688" s="1">
        <v>115.2</v>
      </c>
      <c r="M688">
        <v>302</v>
      </c>
      <c r="N688" s="5">
        <v>34790.400000000001</v>
      </c>
      <c r="O688">
        <v>115.2</v>
      </c>
      <c r="P688">
        <v>302</v>
      </c>
      <c r="Q688" s="4">
        <v>34790.400000000001</v>
      </c>
      <c r="R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 s="3">
        <v>42562</v>
      </c>
      <c r="AC688" t="s">
        <v>53</v>
      </c>
      <c r="AD688" t="s">
        <v>53</v>
      </c>
      <c r="AK688">
        <v>0</v>
      </c>
      <c r="AU688" s="3">
        <v>42520</v>
      </c>
      <c r="AV688" s="3">
        <v>42520</v>
      </c>
      <c r="AW688" t="s">
        <v>54</v>
      </c>
      <c r="AX688" t="str">
        <f t="shared" si="80"/>
        <v>FOR</v>
      </c>
      <c r="AY688" t="s">
        <v>55</v>
      </c>
    </row>
    <row r="689" spans="1:51">
      <c r="A689">
        <v>100672</v>
      </c>
      <c r="B689" t="s">
        <v>141</v>
      </c>
      <c r="C689" t="str">
        <f t="shared" si="81"/>
        <v>06225750725</v>
      </c>
      <c r="D689" t="str">
        <f t="shared" si="81"/>
        <v>06225750725</v>
      </c>
      <c r="E689" t="s">
        <v>52</v>
      </c>
      <c r="F689">
        <v>2015</v>
      </c>
      <c r="G689" t="str">
        <f>"               40/03"</f>
        <v xml:space="preserve">               40/03</v>
      </c>
      <c r="H689" s="3">
        <v>42153</v>
      </c>
      <c r="I689" s="3">
        <v>42163</v>
      </c>
      <c r="J689" s="3">
        <v>42158</v>
      </c>
      <c r="K689" s="3">
        <v>42218</v>
      </c>
      <c r="L689" s="1">
        <v>294.83999999999997</v>
      </c>
      <c r="M689">
        <v>302</v>
      </c>
      <c r="N689" s="5">
        <v>89041.68</v>
      </c>
      <c r="O689">
        <v>294.83999999999997</v>
      </c>
      <c r="P689">
        <v>302</v>
      </c>
      <c r="Q689" s="4">
        <v>89041.68</v>
      </c>
      <c r="R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 s="3">
        <v>42562</v>
      </c>
      <c r="AC689" t="s">
        <v>53</v>
      </c>
      <c r="AD689" t="s">
        <v>53</v>
      </c>
      <c r="AK689">
        <v>0</v>
      </c>
      <c r="AU689" s="3">
        <v>42520</v>
      </c>
      <c r="AV689" s="3">
        <v>42520</v>
      </c>
      <c r="AW689" t="s">
        <v>54</v>
      </c>
      <c r="AX689" t="str">
        <f t="shared" si="80"/>
        <v>FOR</v>
      </c>
      <c r="AY689" t="s">
        <v>55</v>
      </c>
    </row>
    <row r="690" spans="1:51">
      <c r="A690">
        <v>100672</v>
      </c>
      <c r="B690" t="s">
        <v>141</v>
      </c>
      <c r="C690" t="str">
        <f t="shared" si="81"/>
        <v>06225750725</v>
      </c>
      <c r="D690" t="str">
        <f t="shared" si="81"/>
        <v>06225750725</v>
      </c>
      <c r="E690" t="s">
        <v>52</v>
      </c>
      <c r="F690">
        <v>2015</v>
      </c>
      <c r="G690" t="str">
        <f>"               52/03"</f>
        <v xml:space="preserve">               52/03</v>
      </c>
      <c r="H690" s="3">
        <v>42173</v>
      </c>
      <c r="I690" s="3">
        <v>42417</v>
      </c>
      <c r="J690" s="3">
        <v>42412</v>
      </c>
      <c r="K690" s="3">
        <v>42472</v>
      </c>
      <c r="L690" s="1">
        <v>98.28</v>
      </c>
      <c r="M690">
        <v>48</v>
      </c>
      <c r="N690" s="5">
        <v>4717.4399999999996</v>
      </c>
      <c r="O690">
        <v>98.28</v>
      </c>
      <c r="P690">
        <v>48</v>
      </c>
      <c r="Q690" s="4">
        <v>4717.4399999999996</v>
      </c>
      <c r="R690">
        <v>0</v>
      </c>
      <c r="V690">
        <v>0</v>
      </c>
      <c r="W690">
        <v>0</v>
      </c>
      <c r="X690">
        <v>0</v>
      </c>
      <c r="Y690">
        <v>0</v>
      </c>
      <c r="Z690">
        <v>119.9</v>
      </c>
      <c r="AA690">
        <v>0</v>
      </c>
      <c r="AB690" s="3">
        <v>42562</v>
      </c>
      <c r="AC690" t="s">
        <v>53</v>
      </c>
      <c r="AD690" t="s">
        <v>53</v>
      </c>
      <c r="AK690">
        <v>0</v>
      </c>
      <c r="AU690" s="3">
        <v>42520</v>
      </c>
      <c r="AV690" s="3">
        <v>42520</v>
      </c>
      <c r="AW690" t="s">
        <v>54</v>
      </c>
      <c r="AX690" t="str">
        <f t="shared" si="80"/>
        <v>FOR</v>
      </c>
      <c r="AY690" t="s">
        <v>55</v>
      </c>
    </row>
    <row r="691" spans="1:51" hidden="1">
      <c r="A691">
        <v>100686</v>
      </c>
      <c r="B691" t="s">
        <v>142</v>
      </c>
      <c r="C691" t="str">
        <f>"03334340613"</f>
        <v>03334340613</v>
      </c>
      <c r="D691" t="str">
        <f>"LCCNLV76L21B963J"</f>
        <v>LCCNLV76L21B963J</v>
      </c>
      <c r="E691" t="s">
        <v>52</v>
      </c>
      <c r="F691">
        <v>2016</v>
      </c>
      <c r="G691" t="str">
        <f>"                1/PA"</f>
        <v xml:space="preserve">                1/PA</v>
      </c>
      <c r="H691" s="3">
        <v>42374</v>
      </c>
      <c r="I691" s="3">
        <v>42377</v>
      </c>
      <c r="J691" s="3">
        <v>42376</v>
      </c>
      <c r="K691" s="3">
        <v>42436</v>
      </c>
      <c r="L691"/>
      <c r="N691"/>
      <c r="O691" s="4">
        <v>1764.04</v>
      </c>
      <c r="P691">
        <v>-39</v>
      </c>
      <c r="Q691" s="4">
        <v>-68797.56</v>
      </c>
      <c r="R691">
        <v>0</v>
      </c>
      <c r="V691">
        <v>0</v>
      </c>
      <c r="W691">
        <v>0</v>
      </c>
      <c r="X691">
        <v>0</v>
      </c>
      <c r="Y691">
        <v>-440.51</v>
      </c>
      <c r="Z691" s="4">
        <v>1764.04</v>
      </c>
      <c r="AA691" s="4">
        <v>1764.04</v>
      </c>
      <c r="AB691" s="3">
        <v>42562</v>
      </c>
      <c r="AC691" t="s">
        <v>53</v>
      </c>
      <c r="AD691" t="s">
        <v>53</v>
      </c>
      <c r="AK691">
        <v>0</v>
      </c>
      <c r="AU691" s="3">
        <v>42397</v>
      </c>
      <c r="AV691" s="3">
        <v>42397</v>
      </c>
      <c r="AW691" t="s">
        <v>54</v>
      </c>
      <c r="AX691" t="str">
        <f t="shared" ref="AX691:AX701" si="82">"ALTPRO"</f>
        <v>ALTPRO</v>
      </c>
      <c r="AY691" t="s">
        <v>93</v>
      </c>
    </row>
    <row r="692" spans="1:51" hidden="1">
      <c r="A692">
        <v>100686</v>
      </c>
      <c r="B692" t="s">
        <v>142</v>
      </c>
      <c r="C692" t="str">
        <f>"03334340613"</f>
        <v>03334340613</v>
      </c>
      <c r="D692" t="str">
        <f>"LCCNLV76L21B963J"</f>
        <v>LCCNLV76L21B963J</v>
      </c>
      <c r="E692" t="s">
        <v>52</v>
      </c>
      <c r="F692">
        <v>2016</v>
      </c>
      <c r="G692" t="str">
        <f>"                2/PA"</f>
        <v xml:space="preserve">                2/PA</v>
      </c>
      <c r="H692" s="3">
        <v>42401</v>
      </c>
      <c r="I692" s="3">
        <v>42404</v>
      </c>
      <c r="J692" s="3">
        <v>42403</v>
      </c>
      <c r="K692" s="3">
        <v>42463</v>
      </c>
      <c r="L692"/>
      <c r="N692"/>
      <c r="O692" s="4">
        <v>1851.42</v>
      </c>
      <c r="P692">
        <v>-37</v>
      </c>
      <c r="Q692" s="4">
        <v>-68502.539999999994</v>
      </c>
      <c r="R692">
        <v>0</v>
      </c>
      <c r="V692">
        <v>0</v>
      </c>
      <c r="W692">
        <v>0</v>
      </c>
      <c r="X692">
        <v>0</v>
      </c>
      <c r="Y692" s="4">
        <v>1851.42</v>
      </c>
      <c r="Z692" s="4">
        <v>1851.42</v>
      </c>
      <c r="AA692" s="4">
        <v>1851.42</v>
      </c>
      <c r="AB692" s="3">
        <v>42562</v>
      </c>
      <c r="AC692" t="s">
        <v>53</v>
      </c>
      <c r="AD692" t="s">
        <v>53</v>
      </c>
      <c r="AK692">
        <v>0</v>
      </c>
      <c r="AU692" s="3">
        <v>42426</v>
      </c>
      <c r="AV692" s="3">
        <v>42426</v>
      </c>
      <c r="AW692" t="s">
        <v>54</v>
      </c>
      <c r="AX692" t="str">
        <f t="shared" si="82"/>
        <v>ALTPRO</v>
      </c>
      <c r="AY692" t="s">
        <v>93</v>
      </c>
    </row>
    <row r="693" spans="1:51" hidden="1">
      <c r="A693">
        <v>100686</v>
      </c>
      <c r="B693" t="s">
        <v>142</v>
      </c>
      <c r="C693" t="str">
        <f>"03334340613"</f>
        <v>03334340613</v>
      </c>
      <c r="D693" t="str">
        <f>"LCCNLV76L21B963J"</f>
        <v>LCCNLV76L21B963J</v>
      </c>
      <c r="E693" t="s">
        <v>52</v>
      </c>
      <c r="F693">
        <v>2016</v>
      </c>
      <c r="G693" t="str">
        <f>"                3-PA"</f>
        <v xml:space="preserve">                3-PA</v>
      </c>
      <c r="H693" s="3">
        <v>42433</v>
      </c>
      <c r="I693" s="3">
        <v>42437</v>
      </c>
      <c r="J693" s="3">
        <v>42436</v>
      </c>
      <c r="K693" s="3">
        <v>42496</v>
      </c>
      <c r="L693"/>
      <c r="N693"/>
      <c r="O693" s="4">
        <v>1790.17</v>
      </c>
      <c r="P693">
        <v>-45</v>
      </c>
      <c r="Q693" s="4">
        <v>-80557.649999999994</v>
      </c>
      <c r="R693">
        <v>0</v>
      </c>
      <c r="V693">
        <v>0</v>
      </c>
      <c r="W693">
        <v>0</v>
      </c>
      <c r="X693">
        <v>0</v>
      </c>
      <c r="Y693" s="4">
        <v>1790.17</v>
      </c>
      <c r="Z693" s="4">
        <v>1790.17</v>
      </c>
      <c r="AA693" s="4">
        <v>1790.17</v>
      </c>
      <c r="AB693" s="3">
        <v>42562</v>
      </c>
      <c r="AC693" t="s">
        <v>53</v>
      </c>
      <c r="AD693" t="s">
        <v>53</v>
      </c>
      <c r="AK693">
        <v>0</v>
      </c>
      <c r="AU693" s="3">
        <v>42451</v>
      </c>
      <c r="AV693" s="3">
        <v>42451</v>
      </c>
      <c r="AW693" t="s">
        <v>54</v>
      </c>
      <c r="AX693" t="str">
        <f t="shared" si="82"/>
        <v>ALTPRO</v>
      </c>
      <c r="AY693" t="s">
        <v>93</v>
      </c>
    </row>
    <row r="694" spans="1:51">
      <c r="A694">
        <v>100686</v>
      </c>
      <c r="B694" t="s">
        <v>142</v>
      </c>
      <c r="C694" t="str">
        <f>"03334340613"</f>
        <v>03334340613</v>
      </c>
      <c r="D694" t="str">
        <f>"LCCNLV76L21B963J"</f>
        <v>LCCNLV76L21B963J</v>
      </c>
      <c r="E694" t="s">
        <v>52</v>
      </c>
      <c r="F694">
        <v>2016</v>
      </c>
      <c r="G694" t="str">
        <f>"                4-PA"</f>
        <v xml:space="preserve">                4-PA</v>
      </c>
      <c r="H694" s="3">
        <v>42461</v>
      </c>
      <c r="I694" s="3">
        <v>42464</v>
      </c>
      <c r="J694" s="3">
        <v>42461</v>
      </c>
      <c r="K694" s="3">
        <v>42521</v>
      </c>
      <c r="L694" s="5">
        <v>2047.67</v>
      </c>
      <c r="M694">
        <v>-34</v>
      </c>
      <c r="N694" s="5">
        <v>-69620.78</v>
      </c>
      <c r="O694" s="4">
        <v>2047.67</v>
      </c>
      <c r="P694">
        <v>-34</v>
      </c>
      <c r="Q694" s="4">
        <v>-69620.78</v>
      </c>
      <c r="R694">
        <v>0</v>
      </c>
      <c r="V694">
        <v>-511.42</v>
      </c>
      <c r="W694" s="4">
        <v>2047.67</v>
      </c>
      <c r="X694" s="4">
        <v>2047.67</v>
      </c>
      <c r="Y694" s="4">
        <v>2047.67</v>
      </c>
      <c r="Z694" s="4">
        <v>2047.67</v>
      </c>
      <c r="AA694" s="4">
        <v>2047.67</v>
      </c>
      <c r="AB694" s="3">
        <v>42562</v>
      </c>
      <c r="AC694" t="s">
        <v>53</v>
      </c>
      <c r="AD694" t="s">
        <v>53</v>
      </c>
      <c r="AK694">
        <v>0</v>
      </c>
      <c r="AU694" s="3">
        <v>42487</v>
      </c>
      <c r="AV694" s="3">
        <v>42487</v>
      </c>
      <c r="AW694" t="s">
        <v>54</v>
      </c>
      <c r="AX694" t="str">
        <f t="shared" si="82"/>
        <v>ALTPRO</v>
      </c>
      <c r="AY694" t="s">
        <v>93</v>
      </c>
    </row>
    <row r="695" spans="1:51">
      <c r="A695">
        <v>100686</v>
      </c>
      <c r="B695" t="s">
        <v>142</v>
      </c>
      <c r="C695" t="str">
        <f>"03334340613"</f>
        <v>03334340613</v>
      </c>
      <c r="D695" t="str">
        <f>"LCCNLV76L21B963J"</f>
        <v>LCCNLV76L21B963J</v>
      </c>
      <c r="E695" t="s">
        <v>52</v>
      </c>
      <c r="F695">
        <v>2016</v>
      </c>
      <c r="G695" t="str">
        <f>"                5-PA"</f>
        <v xml:space="preserve">                5-PA</v>
      </c>
      <c r="H695" s="3">
        <v>42493</v>
      </c>
      <c r="I695" s="3">
        <v>42495</v>
      </c>
      <c r="J695" s="3">
        <v>42493</v>
      </c>
      <c r="K695" s="3">
        <v>42553</v>
      </c>
      <c r="L695" s="5">
        <v>1904.81</v>
      </c>
      <c r="M695">
        <v>-37</v>
      </c>
      <c r="N695" s="5">
        <v>-70477.97</v>
      </c>
      <c r="O695" s="4">
        <v>1904.81</v>
      </c>
      <c r="P695">
        <v>-37</v>
      </c>
      <c r="Q695" s="4">
        <v>-70477.97</v>
      </c>
      <c r="R695">
        <v>0</v>
      </c>
      <c r="V695" s="4">
        <v>1904.81</v>
      </c>
      <c r="W695" s="4">
        <v>1904.81</v>
      </c>
      <c r="X695" s="4">
        <v>1904.81</v>
      </c>
      <c r="Y695" s="4">
        <v>1904.81</v>
      </c>
      <c r="Z695" s="4">
        <v>1904.81</v>
      </c>
      <c r="AA695" s="4">
        <v>1904.81</v>
      </c>
      <c r="AB695" s="3">
        <v>42562</v>
      </c>
      <c r="AC695" t="s">
        <v>53</v>
      </c>
      <c r="AD695" t="s">
        <v>53</v>
      </c>
      <c r="AK695">
        <v>0</v>
      </c>
      <c r="AU695" s="3">
        <v>42516</v>
      </c>
      <c r="AV695" s="3">
        <v>42516</v>
      </c>
      <c r="AW695" t="s">
        <v>54</v>
      </c>
      <c r="AX695" t="str">
        <f t="shared" si="82"/>
        <v>ALTPRO</v>
      </c>
      <c r="AY695" t="s">
        <v>93</v>
      </c>
    </row>
    <row r="696" spans="1:51" hidden="1">
      <c r="A696">
        <v>100687</v>
      </c>
      <c r="B696" t="s">
        <v>143</v>
      </c>
      <c r="C696" t="str">
        <f t="shared" ref="C696:C701" si="83">"01399960622"</f>
        <v>01399960622</v>
      </c>
      <c r="D696" t="str">
        <f t="shared" ref="D696:D701" si="84">"RBNMRA73R46D761S"</f>
        <v>RBNMRA73R46D761S</v>
      </c>
      <c r="E696" t="s">
        <v>52</v>
      </c>
      <c r="F696">
        <v>2016</v>
      </c>
      <c r="G696" t="str">
        <f>"         FATTPA 1_16"</f>
        <v xml:space="preserve">         FATTPA 1_16</v>
      </c>
      <c r="H696" s="3">
        <v>42377</v>
      </c>
      <c r="I696" s="3">
        <v>42382</v>
      </c>
      <c r="J696" s="3">
        <v>42379</v>
      </c>
      <c r="K696" s="3">
        <v>42439</v>
      </c>
      <c r="L696"/>
      <c r="N696"/>
      <c r="O696" s="4">
        <v>2024.91</v>
      </c>
      <c r="P696">
        <v>-42</v>
      </c>
      <c r="Q696" s="4">
        <v>-85046.22</v>
      </c>
      <c r="R696">
        <v>0</v>
      </c>
      <c r="V696">
        <v>0</v>
      </c>
      <c r="W696">
        <v>0</v>
      </c>
      <c r="X696">
        <v>0</v>
      </c>
      <c r="Y696">
        <v>-505.73</v>
      </c>
      <c r="Z696" s="4">
        <v>2024.91</v>
      </c>
      <c r="AA696" s="4">
        <v>2024.91</v>
      </c>
      <c r="AB696" s="3">
        <v>42562</v>
      </c>
      <c r="AC696" t="s">
        <v>53</v>
      </c>
      <c r="AD696" t="s">
        <v>53</v>
      </c>
      <c r="AK696">
        <v>0</v>
      </c>
      <c r="AU696" s="3">
        <v>42397</v>
      </c>
      <c r="AV696" s="3">
        <v>42397</v>
      </c>
      <c r="AW696" t="s">
        <v>54</v>
      </c>
      <c r="AX696" t="str">
        <f t="shared" si="82"/>
        <v>ALTPRO</v>
      </c>
      <c r="AY696" t="s">
        <v>93</v>
      </c>
    </row>
    <row r="697" spans="1:51" hidden="1">
      <c r="A697">
        <v>100687</v>
      </c>
      <c r="B697" t="s">
        <v>143</v>
      </c>
      <c r="C697" t="str">
        <f t="shared" si="83"/>
        <v>01399960622</v>
      </c>
      <c r="D697" t="str">
        <f t="shared" si="84"/>
        <v>RBNMRA73R46D761S</v>
      </c>
      <c r="E697" t="s">
        <v>52</v>
      </c>
      <c r="F697">
        <v>2016</v>
      </c>
      <c r="G697" t="str">
        <f>"         FATTPA 2_16"</f>
        <v xml:space="preserve">         FATTPA 2_16</v>
      </c>
      <c r="H697" s="3">
        <v>42403</v>
      </c>
      <c r="I697" s="3">
        <v>42405</v>
      </c>
      <c r="J697" s="3">
        <v>42405</v>
      </c>
      <c r="K697" s="3">
        <v>42465</v>
      </c>
      <c r="L697"/>
      <c r="N697"/>
      <c r="O697" s="4">
        <v>2024.91</v>
      </c>
      <c r="P697">
        <v>-39</v>
      </c>
      <c r="Q697" s="4">
        <v>-78971.490000000005</v>
      </c>
      <c r="R697">
        <v>0</v>
      </c>
      <c r="V697">
        <v>0</v>
      </c>
      <c r="W697">
        <v>0</v>
      </c>
      <c r="X697">
        <v>0</v>
      </c>
      <c r="Y697" s="4">
        <v>2024.91</v>
      </c>
      <c r="Z697" s="4">
        <v>2024.91</v>
      </c>
      <c r="AA697" s="4">
        <v>2024.91</v>
      </c>
      <c r="AB697" s="3">
        <v>42562</v>
      </c>
      <c r="AC697" t="s">
        <v>53</v>
      </c>
      <c r="AD697" t="s">
        <v>53</v>
      </c>
      <c r="AK697">
        <v>0</v>
      </c>
      <c r="AU697" s="3">
        <v>42426</v>
      </c>
      <c r="AV697" s="3">
        <v>42426</v>
      </c>
      <c r="AW697" t="s">
        <v>54</v>
      </c>
      <c r="AX697" t="str">
        <f t="shared" si="82"/>
        <v>ALTPRO</v>
      </c>
      <c r="AY697" t="s">
        <v>93</v>
      </c>
    </row>
    <row r="698" spans="1:51" hidden="1">
      <c r="A698">
        <v>100687</v>
      </c>
      <c r="B698" t="s">
        <v>143</v>
      </c>
      <c r="C698" t="str">
        <f t="shared" si="83"/>
        <v>01399960622</v>
      </c>
      <c r="D698" t="str">
        <f t="shared" si="84"/>
        <v>RBNMRA73R46D761S</v>
      </c>
      <c r="E698" t="s">
        <v>52</v>
      </c>
      <c r="F698">
        <v>2016</v>
      </c>
      <c r="G698" t="str">
        <f>"         FATTPA 3_16"</f>
        <v xml:space="preserve">         FATTPA 3_16</v>
      </c>
      <c r="H698" s="3">
        <v>42438</v>
      </c>
      <c r="I698" s="3">
        <v>42438</v>
      </c>
      <c r="J698" s="3">
        <v>42438</v>
      </c>
      <c r="K698" s="3">
        <v>42498</v>
      </c>
      <c r="L698"/>
      <c r="N698"/>
      <c r="O698" s="4">
        <v>2047.26</v>
      </c>
      <c r="P698">
        <v>-47</v>
      </c>
      <c r="Q698" s="4">
        <v>-96221.22</v>
      </c>
      <c r="R698">
        <v>0</v>
      </c>
      <c r="V698">
        <v>0</v>
      </c>
      <c r="W698">
        <v>0</v>
      </c>
      <c r="X698">
        <v>0</v>
      </c>
      <c r="Y698" s="4">
        <v>2047.26</v>
      </c>
      <c r="Z698" s="4">
        <v>2047.26</v>
      </c>
      <c r="AA698" s="4">
        <v>2047.26</v>
      </c>
      <c r="AB698" s="3">
        <v>42562</v>
      </c>
      <c r="AC698" t="s">
        <v>53</v>
      </c>
      <c r="AD698" t="s">
        <v>53</v>
      </c>
      <c r="AK698">
        <v>0</v>
      </c>
      <c r="AU698" s="3">
        <v>42451</v>
      </c>
      <c r="AV698" s="3">
        <v>42451</v>
      </c>
      <c r="AW698" t="s">
        <v>54</v>
      </c>
      <c r="AX698" t="str">
        <f t="shared" si="82"/>
        <v>ALTPRO</v>
      </c>
      <c r="AY698" t="s">
        <v>93</v>
      </c>
    </row>
    <row r="699" spans="1:51">
      <c r="A699">
        <v>100687</v>
      </c>
      <c r="B699" t="s">
        <v>143</v>
      </c>
      <c r="C699" t="str">
        <f t="shared" si="83"/>
        <v>01399960622</v>
      </c>
      <c r="D699" t="str">
        <f t="shared" si="84"/>
        <v>RBNMRA73R46D761S</v>
      </c>
      <c r="E699" t="s">
        <v>52</v>
      </c>
      <c r="F699">
        <v>2016</v>
      </c>
      <c r="G699" t="str">
        <f>"         FATTPA 4_16"</f>
        <v xml:space="preserve">         FATTPA 4_16</v>
      </c>
      <c r="H699" s="3">
        <v>42461</v>
      </c>
      <c r="I699" s="3">
        <v>42464</v>
      </c>
      <c r="J699" s="3">
        <v>42461</v>
      </c>
      <c r="K699" s="3">
        <v>42521</v>
      </c>
      <c r="L699" s="5">
        <v>1939.22</v>
      </c>
      <c r="M699">
        <v>-34</v>
      </c>
      <c r="N699" s="5">
        <v>-65933.48</v>
      </c>
      <c r="O699" s="4">
        <v>1939.22</v>
      </c>
      <c r="P699">
        <v>-34</v>
      </c>
      <c r="Q699" s="4">
        <v>-65933.48</v>
      </c>
      <c r="R699">
        <v>0</v>
      </c>
      <c r="V699">
        <v>-484.31</v>
      </c>
      <c r="W699" s="4">
        <v>1939.22</v>
      </c>
      <c r="X699" s="4">
        <v>1939.22</v>
      </c>
      <c r="Y699" s="4">
        <v>1939.22</v>
      </c>
      <c r="Z699" s="4">
        <v>1939.22</v>
      </c>
      <c r="AA699" s="4">
        <v>1939.22</v>
      </c>
      <c r="AB699" s="3">
        <v>42562</v>
      </c>
      <c r="AC699" t="s">
        <v>53</v>
      </c>
      <c r="AD699" t="s">
        <v>53</v>
      </c>
      <c r="AK699">
        <v>0</v>
      </c>
      <c r="AU699" s="3">
        <v>42487</v>
      </c>
      <c r="AV699" s="3">
        <v>42487</v>
      </c>
      <c r="AW699" t="s">
        <v>54</v>
      </c>
      <c r="AX699" t="str">
        <f t="shared" si="82"/>
        <v>ALTPRO</v>
      </c>
      <c r="AY699" t="s">
        <v>93</v>
      </c>
    </row>
    <row r="700" spans="1:51">
      <c r="A700">
        <v>100687</v>
      </c>
      <c r="B700" t="s">
        <v>143</v>
      </c>
      <c r="C700" t="str">
        <f t="shared" si="83"/>
        <v>01399960622</v>
      </c>
      <c r="D700" t="str">
        <f t="shared" si="84"/>
        <v>RBNMRA73R46D761S</v>
      </c>
      <c r="E700" t="s">
        <v>52</v>
      </c>
      <c r="F700">
        <v>2016</v>
      </c>
      <c r="G700" t="str">
        <f>"         FATTPA 5_16"</f>
        <v xml:space="preserve">         FATTPA 5_16</v>
      </c>
      <c r="H700" s="3">
        <v>42492</v>
      </c>
      <c r="I700" s="3">
        <v>42493</v>
      </c>
      <c r="J700" s="3">
        <v>42493</v>
      </c>
      <c r="K700" s="3">
        <v>42553</v>
      </c>
      <c r="L700" s="5">
        <v>2109.1999999999998</v>
      </c>
      <c r="M700">
        <v>-37</v>
      </c>
      <c r="N700" s="5">
        <v>-78040.399999999994</v>
      </c>
      <c r="O700" s="4">
        <v>2109.1999999999998</v>
      </c>
      <c r="P700">
        <v>-37</v>
      </c>
      <c r="Q700" s="4">
        <v>-78040.399999999994</v>
      </c>
      <c r="R700">
        <v>0</v>
      </c>
      <c r="V700" s="4">
        <v>2109.1999999999998</v>
      </c>
      <c r="W700" s="4">
        <v>2109.1999999999998</v>
      </c>
      <c r="X700" s="4">
        <v>2109.1999999999998</v>
      </c>
      <c r="Y700" s="4">
        <v>2109.1999999999998</v>
      </c>
      <c r="Z700" s="4">
        <v>2109.1999999999998</v>
      </c>
      <c r="AA700" s="4">
        <v>2109.1999999999998</v>
      </c>
      <c r="AB700" s="3">
        <v>42562</v>
      </c>
      <c r="AC700" t="s">
        <v>53</v>
      </c>
      <c r="AD700" t="s">
        <v>53</v>
      </c>
      <c r="AK700">
        <v>0</v>
      </c>
      <c r="AU700" s="3">
        <v>42516</v>
      </c>
      <c r="AV700" s="3">
        <v>42516</v>
      </c>
      <c r="AW700" t="s">
        <v>54</v>
      </c>
      <c r="AX700" t="str">
        <f t="shared" si="82"/>
        <v>ALTPRO</v>
      </c>
      <c r="AY700" t="s">
        <v>93</v>
      </c>
    </row>
    <row r="701" spans="1:51">
      <c r="A701">
        <v>100687</v>
      </c>
      <c r="B701" t="s">
        <v>143</v>
      </c>
      <c r="C701" t="str">
        <f t="shared" si="83"/>
        <v>01399960622</v>
      </c>
      <c r="D701" t="str">
        <f t="shared" si="84"/>
        <v>RBNMRA73R46D761S</v>
      </c>
      <c r="E701" t="s">
        <v>52</v>
      </c>
      <c r="F701">
        <v>2016</v>
      </c>
      <c r="G701" t="str">
        <f>"         FATTPA 6_16"</f>
        <v xml:space="preserve">         FATTPA 6_16</v>
      </c>
      <c r="H701" s="3">
        <v>42522</v>
      </c>
      <c r="I701" s="3">
        <v>42527</v>
      </c>
      <c r="J701" s="3">
        <v>42522</v>
      </c>
      <c r="K701" s="3">
        <v>42582</v>
      </c>
      <c r="L701" s="5">
        <v>2193.4899999999998</v>
      </c>
      <c r="M701">
        <v>-54</v>
      </c>
      <c r="N701" s="5">
        <v>-118448.46</v>
      </c>
      <c r="O701" s="4">
        <v>2193.4899999999998</v>
      </c>
      <c r="P701">
        <v>-54</v>
      </c>
      <c r="Q701" s="4">
        <v>-118448.46</v>
      </c>
      <c r="R701">
        <v>0</v>
      </c>
      <c r="V701" s="4">
        <v>2193.4899999999998</v>
      </c>
      <c r="W701" s="4">
        <v>2193.4899999999998</v>
      </c>
      <c r="X701" s="4">
        <v>2193.4899999999998</v>
      </c>
      <c r="Y701" s="4">
        <v>2193.4899999999998</v>
      </c>
      <c r="Z701" s="4">
        <v>2193.4899999999998</v>
      </c>
      <c r="AA701" s="4">
        <v>2193.4899999999998</v>
      </c>
      <c r="AB701" s="3">
        <v>42562</v>
      </c>
      <c r="AC701" t="s">
        <v>53</v>
      </c>
      <c r="AD701" t="s">
        <v>53</v>
      </c>
      <c r="AK701">
        <v>0</v>
      </c>
      <c r="AU701" s="3">
        <v>42528</v>
      </c>
      <c r="AV701" s="3">
        <v>42528</v>
      </c>
      <c r="AW701" t="s">
        <v>54</v>
      </c>
      <c r="AX701" t="str">
        <f t="shared" si="82"/>
        <v>ALTPRO</v>
      </c>
      <c r="AY701" t="s">
        <v>93</v>
      </c>
    </row>
    <row r="702" spans="1:51" hidden="1">
      <c r="A702">
        <v>100695</v>
      </c>
      <c r="B702" t="s">
        <v>144</v>
      </c>
      <c r="C702" t="str">
        <f t="shared" ref="C702:D721" si="85">"00721920155"</f>
        <v>00721920155</v>
      </c>
      <c r="D702" t="str">
        <f t="shared" si="85"/>
        <v>00721920155</v>
      </c>
      <c r="E702" t="s">
        <v>52</v>
      </c>
      <c r="F702">
        <v>2015</v>
      </c>
      <c r="G702" t="str">
        <f>"          5040101372"</f>
        <v xml:space="preserve">          5040101372</v>
      </c>
      <c r="H702" s="3">
        <v>42054</v>
      </c>
      <c r="I702" s="3">
        <v>42081</v>
      </c>
      <c r="J702" s="3">
        <v>42081</v>
      </c>
      <c r="K702" s="3">
        <v>42141</v>
      </c>
      <c r="L702"/>
      <c r="N702"/>
      <c r="O702">
        <v>115</v>
      </c>
      <c r="P702">
        <v>267</v>
      </c>
      <c r="Q702" s="4">
        <v>30705</v>
      </c>
      <c r="R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 s="3">
        <v>42562</v>
      </c>
      <c r="AC702" t="s">
        <v>53</v>
      </c>
      <c r="AD702" t="s">
        <v>53</v>
      </c>
      <c r="AK702">
        <v>0</v>
      </c>
      <c r="AU702" s="3">
        <v>42408</v>
      </c>
      <c r="AV702" s="3">
        <v>42408</v>
      </c>
      <c r="AW702" t="s">
        <v>54</v>
      </c>
      <c r="AX702" t="str">
        <f t="shared" ref="AX702:AX733" si="86">"FOR"</f>
        <v>FOR</v>
      </c>
      <c r="AY702" t="s">
        <v>55</v>
      </c>
    </row>
    <row r="703" spans="1:51" hidden="1">
      <c r="A703">
        <v>100695</v>
      </c>
      <c r="B703" t="s">
        <v>144</v>
      </c>
      <c r="C703" t="str">
        <f t="shared" si="85"/>
        <v>00721920155</v>
      </c>
      <c r="D703" t="str">
        <f t="shared" si="85"/>
        <v>00721920155</v>
      </c>
      <c r="E703" t="s">
        <v>52</v>
      </c>
      <c r="F703">
        <v>2015</v>
      </c>
      <c r="G703" t="str">
        <f>"          5840100701"</f>
        <v xml:space="preserve">          5840100701</v>
      </c>
      <c r="H703" s="3">
        <v>42047</v>
      </c>
      <c r="I703" s="3">
        <v>42081</v>
      </c>
      <c r="J703" s="3">
        <v>42081</v>
      </c>
      <c r="K703" s="3">
        <v>42141</v>
      </c>
      <c r="L703"/>
      <c r="N703"/>
      <c r="O703">
        <v>115</v>
      </c>
      <c r="P703">
        <v>267</v>
      </c>
      <c r="Q703" s="4">
        <v>30705</v>
      </c>
      <c r="R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 s="3">
        <v>42562</v>
      </c>
      <c r="AC703" t="s">
        <v>53</v>
      </c>
      <c r="AD703" t="s">
        <v>53</v>
      </c>
      <c r="AK703">
        <v>0</v>
      </c>
      <c r="AU703" s="3">
        <v>42408</v>
      </c>
      <c r="AV703" s="3">
        <v>42408</v>
      </c>
      <c r="AW703" t="s">
        <v>54</v>
      </c>
      <c r="AX703" t="str">
        <f t="shared" si="86"/>
        <v>FOR</v>
      </c>
      <c r="AY703" t="s">
        <v>55</v>
      </c>
    </row>
    <row r="704" spans="1:51" hidden="1">
      <c r="A704">
        <v>100695</v>
      </c>
      <c r="B704" t="s">
        <v>144</v>
      </c>
      <c r="C704" t="str">
        <f t="shared" si="85"/>
        <v>00721920155</v>
      </c>
      <c r="D704" t="str">
        <f t="shared" si="85"/>
        <v>00721920155</v>
      </c>
      <c r="E704" t="s">
        <v>52</v>
      </c>
      <c r="F704">
        <v>2015</v>
      </c>
      <c r="G704" t="str">
        <f>"          5840100709"</f>
        <v xml:space="preserve">          5840100709</v>
      </c>
      <c r="H704" s="3">
        <v>42047</v>
      </c>
      <c r="I704" s="3">
        <v>42081</v>
      </c>
      <c r="J704" s="3">
        <v>42081</v>
      </c>
      <c r="K704" s="3">
        <v>42141</v>
      </c>
      <c r="L704"/>
      <c r="N704"/>
      <c r="O704">
        <v>115</v>
      </c>
      <c r="P704">
        <v>267</v>
      </c>
      <c r="Q704" s="4">
        <v>30705</v>
      </c>
      <c r="R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 s="3">
        <v>42562</v>
      </c>
      <c r="AC704" t="s">
        <v>53</v>
      </c>
      <c r="AD704" t="s">
        <v>53</v>
      </c>
      <c r="AK704">
        <v>0</v>
      </c>
      <c r="AU704" s="3">
        <v>42408</v>
      </c>
      <c r="AV704" s="3">
        <v>42408</v>
      </c>
      <c r="AW704" t="s">
        <v>54</v>
      </c>
      <c r="AX704" t="str">
        <f t="shared" si="86"/>
        <v>FOR</v>
      </c>
      <c r="AY704" t="s">
        <v>55</v>
      </c>
    </row>
    <row r="705" spans="1:51" hidden="1">
      <c r="A705">
        <v>100695</v>
      </c>
      <c r="B705" t="s">
        <v>144</v>
      </c>
      <c r="C705" t="str">
        <f t="shared" si="85"/>
        <v>00721920155</v>
      </c>
      <c r="D705" t="str">
        <f t="shared" si="85"/>
        <v>00721920155</v>
      </c>
      <c r="E705" t="s">
        <v>52</v>
      </c>
      <c r="F705">
        <v>2015</v>
      </c>
      <c r="G705" t="str">
        <f>"          5840100713"</f>
        <v xml:space="preserve">          5840100713</v>
      </c>
      <c r="H705" s="3">
        <v>42047</v>
      </c>
      <c r="I705" s="3">
        <v>42081</v>
      </c>
      <c r="J705" s="3">
        <v>42081</v>
      </c>
      <c r="K705" s="3">
        <v>42141</v>
      </c>
      <c r="L705"/>
      <c r="N705"/>
      <c r="O705">
        <v>115</v>
      </c>
      <c r="P705">
        <v>267</v>
      </c>
      <c r="Q705" s="4">
        <v>30705</v>
      </c>
      <c r="R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0</v>
      </c>
      <c r="AB705" s="3">
        <v>42562</v>
      </c>
      <c r="AC705" t="s">
        <v>53</v>
      </c>
      <c r="AD705" t="s">
        <v>53</v>
      </c>
      <c r="AK705">
        <v>0</v>
      </c>
      <c r="AU705" s="3">
        <v>42408</v>
      </c>
      <c r="AV705" s="3">
        <v>42408</v>
      </c>
      <c r="AW705" t="s">
        <v>54</v>
      </c>
      <c r="AX705" t="str">
        <f t="shared" si="86"/>
        <v>FOR</v>
      </c>
      <c r="AY705" t="s">
        <v>55</v>
      </c>
    </row>
    <row r="706" spans="1:51" hidden="1">
      <c r="A706">
        <v>100695</v>
      </c>
      <c r="B706" t="s">
        <v>144</v>
      </c>
      <c r="C706" t="str">
        <f t="shared" si="85"/>
        <v>00721920155</v>
      </c>
      <c r="D706" t="str">
        <f t="shared" si="85"/>
        <v>00721920155</v>
      </c>
      <c r="E706" t="s">
        <v>52</v>
      </c>
      <c r="F706">
        <v>2015</v>
      </c>
      <c r="G706" t="str">
        <f>"          5840101250"</f>
        <v xml:space="preserve">          5840101250</v>
      </c>
      <c r="H706" s="3">
        <v>42053</v>
      </c>
      <c r="I706" s="3">
        <v>42081</v>
      </c>
      <c r="J706" s="3">
        <v>42081</v>
      </c>
      <c r="K706" s="3">
        <v>42141</v>
      </c>
      <c r="L706"/>
      <c r="N706"/>
      <c r="O706">
        <v>115</v>
      </c>
      <c r="P706">
        <v>267</v>
      </c>
      <c r="Q706" s="4">
        <v>30705</v>
      </c>
      <c r="R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 s="3">
        <v>42562</v>
      </c>
      <c r="AC706" t="s">
        <v>53</v>
      </c>
      <c r="AD706" t="s">
        <v>53</v>
      </c>
      <c r="AK706">
        <v>0</v>
      </c>
      <c r="AU706" s="3">
        <v>42408</v>
      </c>
      <c r="AV706" s="3">
        <v>42408</v>
      </c>
      <c r="AW706" t="s">
        <v>54</v>
      </c>
      <c r="AX706" t="str">
        <f t="shared" si="86"/>
        <v>FOR</v>
      </c>
      <c r="AY706" t="s">
        <v>55</v>
      </c>
    </row>
    <row r="707" spans="1:51" hidden="1">
      <c r="A707">
        <v>100695</v>
      </c>
      <c r="B707" t="s">
        <v>144</v>
      </c>
      <c r="C707" t="str">
        <f t="shared" si="85"/>
        <v>00721920155</v>
      </c>
      <c r="D707" t="str">
        <f t="shared" si="85"/>
        <v>00721920155</v>
      </c>
      <c r="E707" t="s">
        <v>52</v>
      </c>
      <c r="F707">
        <v>2015</v>
      </c>
      <c r="G707" t="str">
        <f>"          5840101347"</f>
        <v xml:space="preserve">          5840101347</v>
      </c>
      <c r="H707" s="3">
        <v>42054</v>
      </c>
      <c r="I707" s="3">
        <v>42081</v>
      </c>
      <c r="J707" s="3">
        <v>42081</v>
      </c>
      <c r="K707" s="3">
        <v>42141</v>
      </c>
      <c r="L707"/>
      <c r="N707"/>
      <c r="O707">
        <v>115</v>
      </c>
      <c r="P707">
        <v>267</v>
      </c>
      <c r="Q707" s="4">
        <v>30705</v>
      </c>
      <c r="R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0</v>
      </c>
      <c r="AB707" s="3">
        <v>42562</v>
      </c>
      <c r="AC707" t="s">
        <v>53</v>
      </c>
      <c r="AD707" t="s">
        <v>53</v>
      </c>
      <c r="AK707">
        <v>0</v>
      </c>
      <c r="AU707" s="3">
        <v>42408</v>
      </c>
      <c r="AV707" s="3">
        <v>42408</v>
      </c>
      <c r="AW707" t="s">
        <v>54</v>
      </c>
      <c r="AX707" t="str">
        <f t="shared" si="86"/>
        <v>FOR</v>
      </c>
      <c r="AY707" t="s">
        <v>55</v>
      </c>
    </row>
    <row r="708" spans="1:51" hidden="1">
      <c r="A708">
        <v>100695</v>
      </c>
      <c r="B708" t="s">
        <v>144</v>
      </c>
      <c r="C708" t="str">
        <f t="shared" si="85"/>
        <v>00721920155</v>
      </c>
      <c r="D708" t="str">
        <f t="shared" si="85"/>
        <v>00721920155</v>
      </c>
      <c r="E708" t="s">
        <v>52</v>
      </c>
      <c r="F708">
        <v>2015</v>
      </c>
      <c r="G708" t="str">
        <f>"          5840101353"</f>
        <v xml:space="preserve">          5840101353</v>
      </c>
      <c r="H708" s="3">
        <v>42054</v>
      </c>
      <c r="I708" s="3">
        <v>42081</v>
      </c>
      <c r="J708" s="3">
        <v>42081</v>
      </c>
      <c r="K708" s="3">
        <v>42141</v>
      </c>
      <c r="L708"/>
      <c r="N708"/>
      <c r="O708">
        <v>115</v>
      </c>
      <c r="P708">
        <v>267</v>
      </c>
      <c r="Q708" s="4">
        <v>30705</v>
      </c>
      <c r="R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0</v>
      </c>
      <c r="AB708" s="3">
        <v>42562</v>
      </c>
      <c r="AC708" t="s">
        <v>53</v>
      </c>
      <c r="AD708" t="s">
        <v>53</v>
      </c>
      <c r="AK708">
        <v>0</v>
      </c>
      <c r="AU708" s="3">
        <v>42408</v>
      </c>
      <c r="AV708" s="3">
        <v>42408</v>
      </c>
      <c r="AW708" t="s">
        <v>54</v>
      </c>
      <c r="AX708" t="str">
        <f t="shared" si="86"/>
        <v>FOR</v>
      </c>
      <c r="AY708" t="s">
        <v>55</v>
      </c>
    </row>
    <row r="709" spans="1:51" hidden="1">
      <c r="A709">
        <v>100695</v>
      </c>
      <c r="B709" t="s">
        <v>144</v>
      </c>
      <c r="C709" t="str">
        <f t="shared" si="85"/>
        <v>00721920155</v>
      </c>
      <c r="D709" t="str">
        <f t="shared" si="85"/>
        <v>00721920155</v>
      </c>
      <c r="E709" t="s">
        <v>52</v>
      </c>
      <c r="F709">
        <v>2015</v>
      </c>
      <c r="G709" t="str">
        <f>"          5840101359"</f>
        <v xml:space="preserve">          5840101359</v>
      </c>
      <c r="H709" s="3">
        <v>42054</v>
      </c>
      <c r="I709" s="3">
        <v>42081</v>
      </c>
      <c r="J709" s="3">
        <v>42081</v>
      </c>
      <c r="K709" s="3">
        <v>42141</v>
      </c>
      <c r="L709"/>
      <c r="N709"/>
      <c r="O709">
        <v>115</v>
      </c>
      <c r="P709">
        <v>267</v>
      </c>
      <c r="Q709" s="4">
        <v>30705</v>
      </c>
      <c r="R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0</v>
      </c>
      <c r="AB709" s="3">
        <v>42562</v>
      </c>
      <c r="AC709" t="s">
        <v>53</v>
      </c>
      <c r="AD709" t="s">
        <v>53</v>
      </c>
      <c r="AK709">
        <v>0</v>
      </c>
      <c r="AU709" s="3">
        <v>42408</v>
      </c>
      <c r="AV709" s="3">
        <v>42408</v>
      </c>
      <c r="AW709" t="s">
        <v>54</v>
      </c>
      <c r="AX709" t="str">
        <f t="shared" si="86"/>
        <v>FOR</v>
      </c>
      <c r="AY709" t="s">
        <v>55</v>
      </c>
    </row>
    <row r="710" spans="1:51" hidden="1">
      <c r="A710">
        <v>100695</v>
      </c>
      <c r="B710" t="s">
        <v>144</v>
      </c>
      <c r="C710" t="str">
        <f t="shared" si="85"/>
        <v>00721920155</v>
      </c>
      <c r="D710" t="str">
        <f t="shared" si="85"/>
        <v>00721920155</v>
      </c>
      <c r="E710" t="s">
        <v>52</v>
      </c>
      <c r="F710">
        <v>2015</v>
      </c>
      <c r="G710" t="str">
        <f>"          5840101367"</f>
        <v xml:space="preserve">          5840101367</v>
      </c>
      <c r="H710" s="3">
        <v>42054</v>
      </c>
      <c r="I710" s="3">
        <v>42081</v>
      </c>
      <c r="J710" s="3">
        <v>42081</v>
      </c>
      <c r="K710" s="3">
        <v>42141</v>
      </c>
      <c r="L710"/>
      <c r="N710"/>
      <c r="O710">
        <v>115</v>
      </c>
      <c r="P710">
        <v>267</v>
      </c>
      <c r="Q710" s="4">
        <v>30705</v>
      </c>
      <c r="R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 s="3">
        <v>42562</v>
      </c>
      <c r="AC710" t="s">
        <v>53</v>
      </c>
      <c r="AD710" t="s">
        <v>53</v>
      </c>
      <c r="AK710">
        <v>0</v>
      </c>
      <c r="AU710" s="3">
        <v>42408</v>
      </c>
      <c r="AV710" s="3">
        <v>42408</v>
      </c>
      <c r="AW710" t="s">
        <v>54</v>
      </c>
      <c r="AX710" t="str">
        <f t="shared" si="86"/>
        <v>FOR</v>
      </c>
      <c r="AY710" t="s">
        <v>55</v>
      </c>
    </row>
    <row r="711" spans="1:51" hidden="1">
      <c r="A711">
        <v>100695</v>
      </c>
      <c r="B711" t="s">
        <v>144</v>
      </c>
      <c r="C711" t="str">
        <f t="shared" si="85"/>
        <v>00721920155</v>
      </c>
      <c r="D711" t="str">
        <f t="shared" si="85"/>
        <v>00721920155</v>
      </c>
      <c r="E711" t="s">
        <v>52</v>
      </c>
      <c r="F711">
        <v>2015</v>
      </c>
      <c r="G711" t="str">
        <f>"          5840101802"</f>
        <v xml:space="preserve">          5840101802</v>
      </c>
      <c r="H711" s="3">
        <v>42061</v>
      </c>
      <c r="I711" s="3">
        <v>42073</v>
      </c>
      <c r="J711" s="3">
        <v>42073</v>
      </c>
      <c r="K711" s="3">
        <v>42133</v>
      </c>
      <c r="L711"/>
      <c r="N711"/>
      <c r="O711">
        <v>115</v>
      </c>
      <c r="P711">
        <v>275</v>
      </c>
      <c r="Q711" s="4">
        <v>31625</v>
      </c>
      <c r="R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 s="3">
        <v>42562</v>
      </c>
      <c r="AC711" t="s">
        <v>53</v>
      </c>
      <c r="AD711" t="s">
        <v>53</v>
      </c>
      <c r="AK711">
        <v>0</v>
      </c>
      <c r="AU711" s="3">
        <v>42408</v>
      </c>
      <c r="AV711" s="3">
        <v>42408</v>
      </c>
      <c r="AW711" t="s">
        <v>54</v>
      </c>
      <c r="AX711" t="str">
        <f t="shared" si="86"/>
        <v>FOR</v>
      </c>
      <c r="AY711" t="s">
        <v>55</v>
      </c>
    </row>
    <row r="712" spans="1:51" hidden="1">
      <c r="A712">
        <v>100695</v>
      </c>
      <c r="B712" t="s">
        <v>144</v>
      </c>
      <c r="C712" t="str">
        <f t="shared" si="85"/>
        <v>00721920155</v>
      </c>
      <c r="D712" t="str">
        <f t="shared" si="85"/>
        <v>00721920155</v>
      </c>
      <c r="E712" t="s">
        <v>52</v>
      </c>
      <c r="F712">
        <v>2015</v>
      </c>
      <c r="G712" t="str">
        <f>"          5840101925"</f>
        <v xml:space="preserve">          5840101925</v>
      </c>
      <c r="H712" s="3">
        <v>42061</v>
      </c>
      <c r="I712" s="3">
        <v>42073</v>
      </c>
      <c r="J712" s="3">
        <v>42073</v>
      </c>
      <c r="K712" s="3">
        <v>42133</v>
      </c>
      <c r="L712"/>
      <c r="N712"/>
      <c r="O712">
        <v>115</v>
      </c>
      <c r="P712">
        <v>275</v>
      </c>
      <c r="Q712" s="4">
        <v>31625</v>
      </c>
      <c r="R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 s="3">
        <v>42562</v>
      </c>
      <c r="AC712" t="s">
        <v>53</v>
      </c>
      <c r="AD712" t="s">
        <v>53</v>
      </c>
      <c r="AK712">
        <v>0</v>
      </c>
      <c r="AU712" s="3">
        <v>42408</v>
      </c>
      <c r="AV712" s="3">
        <v>42408</v>
      </c>
      <c r="AW712" t="s">
        <v>54</v>
      </c>
      <c r="AX712" t="str">
        <f t="shared" si="86"/>
        <v>FOR</v>
      </c>
      <c r="AY712" t="s">
        <v>55</v>
      </c>
    </row>
    <row r="713" spans="1:51" hidden="1">
      <c r="A713">
        <v>100695</v>
      </c>
      <c r="B713" t="s">
        <v>144</v>
      </c>
      <c r="C713" t="str">
        <f t="shared" si="85"/>
        <v>00721920155</v>
      </c>
      <c r="D713" t="str">
        <f t="shared" si="85"/>
        <v>00721920155</v>
      </c>
      <c r="E713" t="s">
        <v>52</v>
      </c>
      <c r="F713">
        <v>2015</v>
      </c>
      <c r="G713" t="str">
        <f>"          5840101932"</f>
        <v xml:space="preserve">          5840101932</v>
      </c>
      <c r="H713" s="3">
        <v>42061</v>
      </c>
      <c r="I713" s="3">
        <v>42073</v>
      </c>
      <c r="J713" s="3">
        <v>42073</v>
      </c>
      <c r="K713" s="3">
        <v>42133</v>
      </c>
      <c r="L713"/>
      <c r="N713"/>
      <c r="O713">
        <v>115</v>
      </c>
      <c r="P713">
        <v>275</v>
      </c>
      <c r="Q713" s="4">
        <v>31625</v>
      </c>
      <c r="R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 s="3">
        <v>42562</v>
      </c>
      <c r="AC713" t="s">
        <v>53</v>
      </c>
      <c r="AD713" t="s">
        <v>53</v>
      </c>
      <c r="AK713">
        <v>0</v>
      </c>
      <c r="AU713" s="3">
        <v>42408</v>
      </c>
      <c r="AV713" s="3">
        <v>42408</v>
      </c>
      <c r="AW713" t="s">
        <v>54</v>
      </c>
      <c r="AX713" t="str">
        <f t="shared" si="86"/>
        <v>FOR</v>
      </c>
      <c r="AY713" t="s">
        <v>55</v>
      </c>
    </row>
    <row r="714" spans="1:51" hidden="1">
      <c r="A714">
        <v>100695</v>
      </c>
      <c r="B714" t="s">
        <v>144</v>
      </c>
      <c r="C714" t="str">
        <f t="shared" si="85"/>
        <v>00721920155</v>
      </c>
      <c r="D714" t="str">
        <f t="shared" si="85"/>
        <v>00721920155</v>
      </c>
      <c r="E714" t="s">
        <v>52</v>
      </c>
      <c r="F714">
        <v>2015</v>
      </c>
      <c r="G714" t="str">
        <f>"          5840101938"</f>
        <v xml:space="preserve">          5840101938</v>
      </c>
      <c r="H714" s="3">
        <v>42061</v>
      </c>
      <c r="I714" s="3">
        <v>42073</v>
      </c>
      <c r="J714" s="3">
        <v>42073</v>
      </c>
      <c r="K714" s="3">
        <v>42133</v>
      </c>
      <c r="L714"/>
      <c r="N714"/>
      <c r="O714">
        <v>115</v>
      </c>
      <c r="P714">
        <v>275</v>
      </c>
      <c r="Q714" s="4">
        <v>31625</v>
      </c>
      <c r="R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 s="3">
        <v>42562</v>
      </c>
      <c r="AC714" t="s">
        <v>53</v>
      </c>
      <c r="AD714" t="s">
        <v>53</v>
      </c>
      <c r="AK714">
        <v>0</v>
      </c>
      <c r="AU714" s="3">
        <v>42408</v>
      </c>
      <c r="AV714" s="3">
        <v>42408</v>
      </c>
      <c r="AW714" t="s">
        <v>54</v>
      </c>
      <c r="AX714" t="str">
        <f t="shared" si="86"/>
        <v>FOR</v>
      </c>
      <c r="AY714" t="s">
        <v>55</v>
      </c>
    </row>
    <row r="715" spans="1:51">
      <c r="A715">
        <v>100695</v>
      </c>
      <c r="B715" t="s">
        <v>144</v>
      </c>
      <c r="C715" t="str">
        <f t="shared" si="85"/>
        <v>00721920155</v>
      </c>
      <c r="D715" t="str">
        <f t="shared" si="85"/>
        <v>00721920155</v>
      </c>
      <c r="E715" t="s">
        <v>52</v>
      </c>
      <c r="F715">
        <v>2015</v>
      </c>
      <c r="G715" t="str">
        <f>"          5840102450"</f>
        <v xml:space="preserve">          5840102450</v>
      </c>
      <c r="H715" s="3">
        <v>42065</v>
      </c>
      <c r="I715" s="3">
        <v>42471</v>
      </c>
      <c r="J715" s="3">
        <v>42471</v>
      </c>
      <c r="K715" s="3">
        <v>42531</v>
      </c>
      <c r="L715" s="5">
        <v>2684.46</v>
      </c>
      <c r="M715">
        <v>-4</v>
      </c>
      <c r="N715" s="5">
        <v>-10737.84</v>
      </c>
      <c r="O715" s="4">
        <v>2684.46</v>
      </c>
      <c r="P715">
        <v>-4</v>
      </c>
      <c r="Q715" s="4">
        <v>-10737.84</v>
      </c>
      <c r="R715">
        <v>590.58000000000004</v>
      </c>
      <c r="V715">
        <v>0</v>
      </c>
      <c r="W715" s="4">
        <v>3275.04</v>
      </c>
      <c r="X715">
        <v>0</v>
      </c>
      <c r="Y715">
        <v>0</v>
      </c>
      <c r="Z715" s="4">
        <v>3275.04</v>
      </c>
      <c r="AA715">
        <v>0</v>
      </c>
      <c r="AB715" s="3">
        <v>42562</v>
      </c>
      <c r="AC715" t="s">
        <v>53</v>
      </c>
      <c r="AD715" t="s">
        <v>53</v>
      </c>
      <c r="AE715">
        <v>590.58000000000004</v>
      </c>
      <c r="AK715">
        <v>0</v>
      </c>
      <c r="AU715" s="3">
        <v>42527</v>
      </c>
      <c r="AV715" s="3">
        <v>42527</v>
      </c>
      <c r="AW715" t="s">
        <v>54</v>
      </c>
      <c r="AX715" t="str">
        <f t="shared" si="86"/>
        <v>FOR</v>
      </c>
      <c r="AY715" t="s">
        <v>55</v>
      </c>
    </row>
    <row r="716" spans="1:51" hidden="1">
      <c r="A716">
        <v>100695</v>
      </c>
      <c r="B716" t="s">
        <v>144</v>
      </c>
      <c r="C716" t="str">
        <f t="shared" si="85"/>
        <v>00721920155</v>
      </c>
      <c r="D716" t="str">
        <f t="shared" si="85"/>
        <v>00721920155</v>
      </c>
      <c r="E716" t="s">
        <v>52</v>
      </c>
      <c r="F716">
        <v>2015</v>
      </c>
      <c r="G716" t="str">
        <f>"          5840102541"</f>
        <v xml:space="preserve">          5840102541</v>
      </c>
      <c r="H716" s="3">
        <v>42067</v>
      </c>
      <c r="I716" s="3">
        <v>42086</v>
      </c>
      <c r="J716" s="3">
        <v>42086</v>
      </c>
      <c r="K716" s="3">
        <v>42146</v>
      </c>
      <c r="L716"/>
      <c r="N716"/>
      <c r="O716">
        <v>115</v>
      </c>
      <c r="P716">
        <v>269</v>
      </c>
      <c r="Q716" s="4">
        <v>30935</v>
      </c>
      <c r="R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0</v>
      </c>
      <c r="AB716" s="3">
        <v>42562</v>
      </c>
      <c r="AC716" t="s">
        <v>53</v>
      </c>
      <c r="AD716" t="s">
        <v>53</v>
      </c>
      <c r="AK716">
        <v>0</v>
      </c>
      <c r="AU716" s="3">
        <v>42415</v>
      </c>
      <c r="AV716" s="3">
        <v>42415</v>
      </c>
      <c r="AW716" t="s">
        <v>54</v>
      </c>
      <c r="AX716" t="str">
        <f t="shared" si="86"/>
        <v>FOR</v>
      </c>
      <c r="AY716" t="s">
        <v>55</v>
      </c>
    </row>
    <row r="717" spans="1:51" hidden="1">
      <c r="A717">
        <v>100695</v>
      </c>
      <c r="B717" t="s">
        <v>144</v>
      </c>
      <c r="C717" t="str">
        <f t="shared" si="85"/>
        <v>00721920155</v>
      </c>
      <c r="D717" t="str">
        <f t="shared" si="85"/>
        <v>00721920155</v>
      </c>
      <c r="E717" t="s">
        <v>52</v>
      </c>
      <c r="F717">
        <v>2015</v>
      </c>
      <c r="G717" t="str">
        <f>"          5840102542"</f>
        <v xml:space="preserve">          5840102542</v>
      </c>
      <c r="H717" s="3">
        <v>42067</v>
      </c>
      <c r="I717" s="3">
        <v>42086</v>
      </c>
      <c r="J717" s="3">
        <v>42086</v>
      </c>
      <c r="K717" s="3">
        <v>42146</v>
      </c>
      <c r="L717"/>
      <c r="N717"/>
      <c r="O717">
        <v>115</v>
      </c>
      <c r="P717">
        <v>269</v>
      </c>
      <c r="Q717" s="4">
        <v>30935</v>
      </c>
      <c r="R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 s="3">
        <v>42562</v>
      </c>
      <c r="AC717" t="s">
        <v>53</v>
      </c>
      <c r="AD717" t="s">
        <v>53</v>
      </c>
      <c r="AK717">
        <v>0</v>
      </c>
      <c r="AU717" s="3">
        <v>42415</v>
      </c>
      <c r="AV717" s="3">
        <v>42415</v>
      </c>
      <c r="AW717" t="s">
        <v>54</v>
      </c>
      <c r="AX717" t="str">
        <f t="shared" si="86"/>
        <v>FOR</v>
      </c>
      <c r="AY717" t="s">
        <v>55</v>
      </c>
    </row>
    <row r="718" spans="1:51" hidden="1">
      <c r="A718">
        <v>100695</v>
      </c>
      <c r="B718" t="s">
        <v>144</v>
      </c>
      <c r="C718" t="str">
        <f t="shared" si="85"/>
        <v>00721920155</v>
      </c>
      <c r="D718" t="str">
        <f t="shared" si="85"/>
        <v>00721920155</v>
      </c>
      <c r="E718" t="s">
        <v>52</v>
      </c>
      <c r="F718">
        <v>2015</v>
      </c>
      <c r="G718" t="str">
        <f>"          5840102545"</f>
        <v xml:space="preserve">          5840102545</v>
      </c>
      <c r="H718" s="3">
        <v>42067</v>
      </c>
      <c r="I718" s="3">
        <v>42086</v>
      </c>
      <c r="J718" s="3">
        <v>42086</v>
      </c>
      <c r="K718" s="3">
        <v>42146</v>
      </c>
      <c r="L718"/>
      <c r="N718"/>
      <c r="O718">
        <v>115</v>
      </c>
      <c r="P718">
        <v>269</v>
      </c>
      <c r="Q718" s="4">
        <v>30935</v>
      </c>
      <c r="R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0</v>
      </c>
      <c r="AB718" s="3">
        <v>42562</v>
      </c>
      <c r="AC718" t="s">
        <v>53</v>
      </c>
      <c r="AD718" t="s">
        <v>53</v>
      </c>
      <c r="AK718">
        <v>0</v>
      </c>
      <c r="AU718" s="3">
        <v>42415</v>
      </c>
      <c r="AV718" s="3">
        <v>42415</v>
      </c>
      <c r="AW718" t="s">
        <v>54</v>
      </c>
      <c r="AX718" t="str">
        <f t="shared" si="86"/>
        <v>FOR</v>
      </c>
      <c r="AY718" t="s">
        <v>55</v>
      </c>
    </row>
    <row r="719" spans="1:51" hidden="1">
      <c r="A719">
        <v>100695</v>
      </c>
      <c r="B719" t="s">
        <v>144</v>
      </c>
      <c r="C719" t="str">
        <f t="shared" si="85"/>
        <v>00721920155</v>
      </c>
      <c r="D719" t="str">
        <f t="shared" si="85"/>
        <v>00721920155</v>
      </c>
      <c r="E719" t="s">
        <v>52</v>
      </c>
      <c r="F719">
        <v>2015</v>
      </c>
      <c r="G719" t="str">
        <f>"          5840102547"</f>
        <v xml:space="preserve">          5840102547</v>
      </c>
      <c r="H719" s="3">
        <v>42067</v>
      </c>
      <c r="I719" s="3">
        <v>42086</v>
      </c>
      <c r="J719" s="3">
        <v>42086</v>
      </c>
      <c r="K719" s="3">
        <v>42146</v>
      </c>
      <c r="L719"/>
      <c r="N719"/>
      <c r="O719">
        <v>115</v>
      </c>
      <c r="P719">
        <v>269</v>
      </c>
      <c r="Q719" s="4">
        <v>30935</v>
      </c>
      <c r="R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 s="3">
        <v>42562</v>
      </c>
      <c r="AC719" t="s">
        <v>53</v>
      </c>
      <c r="AD719" t="s">
        <v>53</v>
      </c>
      <c r="AK719">
        <v>0</v>
      </c>
      <c r="AU719" s="3">
        <v>42415</v>
      </c>
      <c r="AV719" s="3">
        <v>42415</v>
      </c>
      <c r="AW719" t="s">
        <v>54</v>
      </c>
      <c r="AX719" t="str">
        <f t="shared" si="86"/>
        <v>FOR</v>
      </c>
      <c r="AY719" t="s">
        <v>55</v>
      </c>
    </row>
    <row r="720" spans="1:51" hidden="1">
      <c r="A720">
        <v>100695</v>
      </c>
      <c r="B720" t="s">
        <v>144</v>
      </c>
      <c r="C720" t="str">
        <f t="shared" si="85"/>
        <v>00721920155</v>
      </c>
      <c r="D720" t="str">
        <f t="shared" si="85"/>
        <v>00721920155</v>
      </c>
      <c r="E720" t="s">
        <v>52</v>
      </c>
      <c r="F720">
        <v>2015</v>
      </c>
      <c r="G720" t="str">
        <f>"          5840102769"</f>
        <v xml:space="preserve">          5840102769</v>
      </c>
      <c r="H720" s="3">
        <v>42074</v>
      </c>
      <c r="I720" s="3">
        <v>42089</v>
      </c>
      <c r="J720" s="3">
        <v>42089</v>
      </c>
      <c r="K720" s="3">
        <v>42149</v>
      </c>
      <c r="L720"/>
      <c r="N720"/>
      <c r="O720">
        <v>115</v>
      </c>
      <c r="P720">
        <v>266</v>
      </c>
      <c r="Q720" s="4">
        <v>30590</v>
      </c>
      <c r="R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0</v>
      </c>
      <c r="AB720" s="3">
        <v>42562</v>
      </c>
      <c r="AC720" t="s">
        <v>53</v>
      </c>
      <c r="AD720" t="s">
        <v>53</v>
      </c>
      <c r="AK720">
        <v>0</v>
      </c>
      <c r="AU720" s="3">
        <v>42415</v>
      </c>
      <c r="AV720" s="3">
        <v>42415</v>
      </c>
      <c r="AW720" t="s">
        <v>54</v>
      </c>
      <c r="AX720" t="str">
        <f t="shared" si="86"/>
        <v>FOR</v>
      </c>
      <c r="AY720" t="s">
        <v>55</v>
      </c>
    </row>
    <row r="721" spans="1:51" hidden="1">
      <c r="A721">
        <v>100695</v>
      </c>
      <c r="B721" t="s">
        <v>144</v>
      </c>
      <c r="C721" t="str">
        <f t="shared" si="85"/>
        <v>00721920155</v>
      </c>
      <c r="D721" t="str">
        <f t="shared" si="85"/>
        <v>00721920155</v>
      </c>
      <c r="E721" t="s">
        <v>52</v>
      </c>
      <c r="F721">
        <v>2015</v>
      </c>
      <c r="G721" t="str">
        <f>"          5840102771"</f>
        <v xml:space="preserve">          5840102771</v>
      </c>
      <c r="H721" s="3">
        <v>42074</v>
      </c>
      <c r="I721" s="3">
        <v>42089</v>
      </c>
      <c r="J721" s="3">
        <v>42089</v>
      </c>
      <c r="K721" s="3">
        <v>42149</v>
      </c>
      <c r="L721"/>
      <c r="N721"/>
      <c r="O721">
        <v>115</v>
      </c>
      <c r="P721">
        <v>266</v>
      </c>
      <c r="Q721" s="4">
        <v>30590</v>
      </c>
      <c r="R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0</v>
      </c>
      <c r="AB721" s="3">
        <v>42562</v>
      </c>
      <c r="AC721" t="s">
        <v>53</v>
      </c>
      <c r="AD721" t="s">
        <v>53</v>
      </c>
      <c r="AK721">
        <v>0</v>
      </c>
      <c r="AU721" s="3">
        <v>42415</v>
      </c>
      <c r="AV721" s="3">
        <v>42415</v>
      </c>
      <c r="AW721" t="s">
        <v>54</v>
      </c>
      <c r="AX721" t="str">
        <f t="shared" si="86"/>
        <v>FOR</v>
      </c>
      <c r="AY721" t="s">
        <v>55</v>
      </c>
    </row>
    <row r="722" spans="1:51" hidden="1">
      <c r="A722">
        <v>100695</v>
      </c>
      <c r="B722" t="s">
        <v>144</v>
      </c>
      <c r="C722" t="str">
        <f t="shared" ref="C722:D741" si="87">"00721920155"</f>
        <v>00721920155</v>
      </c>
      <c r="D722" t="str">
        <f t="shared" si="87"/>
        <v>00721920155</v>
      </c>
      <c r="E722" t="s">
        <v>52</v>
      </c>
      <c r="F722">
        <v>2015</v>
      </c>
      <c r="G722" t="str">
        <f>"          5840102776"</f>
        <v xml:space="preserve">          5840102776</v>
      </c>
      <c r="H722" s="3">
        <v>42074</v>
      </c>
      <c r="I722" s="3">
        <v>42089</v>
      </c>
      <c r="J722" s="3">
        <v>42089</v>
      </c>
      <c r="K722" s="3">
        <v>42149</v>
      </c>
      <c r="L722"/>
      <c r="N722"/>
      <c r="O722">
        <v>115</v>
      </c>
      <c r="P722">
        <v>266</v>
      </c>
      <c r="Q722" s="4">
        <v>30590</v>
      </c>
      <c r="R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 s="3">
        <v>42562</v>
      </c>
      <c r="AC722" t="s">
        <v>53</v>
      </c>
      <c r="AD722" t="s">
        <v>53</v>
      </c>
      <c r="AK722">
        <v>0</v>
      </c>
      <c r="AU722" s="3">
        <v>42415</v>
      </c>
      <c r="AV722" s="3">
        <v>42415</v>
      </c>
      <c r="AW722" t="s">
        <v>54</v>
      </c>
      <c r="AX722" t="str">
        <f t="shared" si="86"/>
        <v>FOR</v>
      </c>
      <c r="AY722" t="s">
        <v>55</v>
      </c>
    </row>
    <row r="723" spans="1:51" hidden="1">
      <c r="A723">
        <v>100695</v>
      </c>
      <c r="B723" t="s">
        <v>144</v>
      </c>
      <c r="C723" t="str">
        <f t="shared" si="87"/>
        <v>00721920155</v>
      </c>
      <c r="D723" t="str">
        <f t="shared" si="87"/>
        <v>00721920155</v>
      </c>
      <c r="E723" t="s">
        <v>52</v>
      </c>
      <c r="F723">
        <v>2015</v>
      </c>
      <c r="G723" t="str">
        <f>"          5840102852"</f>
        <v xml:space="preserve">          5840102852</v>
      </c>
      <c r="H723" s="3">
        <v>42075</v>
      </c>
      <c r="I723" s="3">
        <v>42094</v>
      </c>
      <c r="J723" s="3">
        <v>42094</v>
      </c>
      <c r="K723" s="3">
        <v>42154</v>
      </c>
      <c r="L723"/>
      <c r="N723"/>
      <c r="O723">
        <v>115</v>
      </c>
      <c r="P723">
        <v>261</v>
      </c>
      <c r="Q723" s="4">
        <v>30015</v>
      </c>
      <c r="R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 s="3">
        <v>42562</v>
      </c>
      <c r="AC723" t="s">
        <v>53</v>
      </c>
      <c r="AD723" t="s">
        <v>53</v>
      </c>
      <c r="AK723">
        <v>0</v>
      </c>
      <c r="AU723" s="3">
        <v>42415</v>
      </c>
      <c r="AV723" s="3">
        <v>42415</v>
      </c>
      <c r="AW723" t="s">
        <v>54</v>
      </c>
      <c r="AX723" t="str">
        <f t="shared" si="86"/>
        <v>FOR</v>
      </c>
      <c r="AY723" t="s">
        <v>55</v>
      </c>
    </row>
    <row r="724" spans="1:51" hidden="1">
      <c r="A724">
        <v>100695</v>
      </c>
      <c r="B724" t="s">
        <v>144</v>
      </c>
      <c r="C724" t="str">
        <f t="shared" si="87"/>
        <v>00721920155</v>
      </c>
      <c r="D724" t="str">
        <f t="shared" si="87"/>
        <v>00721920155</v>
      </c>
      <c r="E724" t="s">
        <v>52</v>
      </c>
      <c r="F724">
        <v>2015</v>
      </c>
      <c r="G724" t="str">
        <f>"          5840102858"</f>
        <v xml:space="preserve">          5840102858</v>
      </c>
      <c r="H724" s="3">
        <v>42075</v>
      </c>
      <c r="I724" s="3">
        <v>42094</v>
      </c>
      <c r="J724" s="3">
        <v>42094</v>
      </c>
      <c r="K724" s="3">
        <v>42154</v>
      </c>
      <c r="L724"/>
      <c r="N724"/>
      <c r="O724">
        <v>115</v>
      </c>
      <c r="P724">
        <v>261</v>
      </c>
      <c r="Q724" s="4">
        <v>30015</v>
      </c>
      <c r="R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0</v>
      </c>
      <c r="AB724" s="3">
        <v>42562</v>
      </c>
      <c r="AC724" t="s">
        <v>53</v>
      </c>
      <c r="AD724" t="s">
        <v>53</v>
      </c>
      <c r="AK724">
        <v>0</v>
      </c>
      <c r="AU724" s="3">
        <v>42415</v>
      </c>
      <c r="AV724" s="3">
        <v>42415</v>
      </c>
      <c r="AW724" t="s">
        <v>54</v>
      </c>
      <c r="AX724" t="str">
        <f t="shared" si="86"/>
        <v>FOR</v>
      </c>
      <c r="AY724" t="s">
        <v>55</v>
      </c>
    </row>
    <row r="725" spans="1:51" hidden="1">
      <c r="A725">
        <v>100695</v>
      </c>
      <c r="B725" t="s">
        <v>144</v>
      </c>
      <c r="C725" t="str">
        <f t="shared" si="87"/>
        <v>00721920155</v>
      </c>
      <c r="D725" t="str">
        <f t="shared" si="87"/>
        <v>00721920155</v>
      </c>
      <c r="E725" t="s">
        <v>52</v>
      </c>
      <c r="F725">
        <v>2015</v>
      </c>
      <c r="G725" t="str">
        <f>"          5840102863"</f>
        <v xml:space="preserve">          5840102863</v>
      </c>
      <c r="H725" s="3">
        <v>42075</v>
      </c>
      <c r="I725" s="3">
        <v>42094</v>
      </c>
      <c r="J725" s="3">
        <v>42094</v>
      </c>
      <c r="K725" s="3">
        <v>42154</v>
      </c>
      <c r="L725"/>
      <c r="N725"/>
      <c r="O725">
        <v>115</v>
      </c>
      <c r="P725">
        <v>261</v>
      </c>
      <c r="Q725" s="4">
        <v>30015</v>
      </c>
      <c r="R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 s="3">
        <v>42562</v>
      </c>
      <c r="AC725" t="s">
        <v>53</v>
      </c>
      <c r="AD725" t="s">
        <v>53</v>
      </c>
      <c r="AK725">
        <v>0</v>
      </c>
      <c r="AU725" s="3">
        <v>42415</v>
      </c>
      <c r="AV725" s="3">
        <v>42415</v>
      </c>
      <c r="AW725" t="s">
        <v>54</v>
      </c>
      <c r="AX725" t="str">
        <f t="shared" si="86"/>
        <v>FOR</v>
      </c>
      <c r="AY725" t="s">
        <v>55</v>
      </c>
    </row>
    <row r="726" spans="1:51" hidden="1">
      <c r="A726">
        <v>100695</v>
      </c>
      <c r="B726" t="s">
        <v>144</v>
      </c>
      <c r="C726" t="str">
        <f t="shared" si="87"/>
        <v>00721920155</v>
      </c>
      <c r="D726" t="str">
        <f t="shared" si="87"/>
        <v>00721920155</v>
      </c>
      <c r="E726" t="s">
        <v>52</v>
      </c>
      <c r="F726">
        <v>2015</v>
      </c>
      <c r="G726" t="str">
        <f>"          5840103135"</f>
        <v xml:space="preserve">          5840103135</v>
      </c>
      <c r="H726" s="3">
        <v>42081</v>
      </c>
      <c r="I726" s="3">
        <v>42094</v>
      </c>
      <c r="J726" s="3">
        <v>42094</v>
      </c>
      <c r="K726" s="3">
        <v>42154</v>
      </c>
      <c r="L726"/>
      <c r="N726"/>
      <c r="O726">
        <v>115</v>
      </c>
      <c r="P726">
        <v>261</v>
      </c>
      <c r="Q726" s="4">
        <v>30015</v>
      </c>
      <c r="R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0</v>
      </c>
      <c r="AB726" s="3">
        <v>42562</v>
      </c>
      <c r="AC726" t="s">
        <v>53</v>
      </c>
      <c r="AD726" t="s">
        <v>53</v>
      </c>
      <c r="AK726">
        <v>0</v>
      </c>
      <c r="AU726" s="3">
        <v>42415</v>
      </c>
      <c r="AV726" s="3">
        <v>42415</v>
      </c>
      <c r="AW726" t="s">
        <v>54</v>
      </c>
      <c r="AX726" t="str">
        <f t="shared" si="86"/>
        <v>FOR</v>
      </c>
      <c r="AY726" t="s">
        <v>55</v>
      </c>
    </row>
    <row r="727" spans="1:51" hidden="1">
      <c r="A727">
        <v>100695</v>
      </c>
      <c r="B727" t="s">
        <v>144</v>
      </c>
      <c r="C727" t="str">
        <f t="shared" si="87"/>
        <v>00721920155</v>
      </c>
      <c r="D727" t="str">
        <f t="shared" si="87"/>
        <v>00721920155</v>
      </c>
      <c r="E727" t="s">
        <v>52</v>
      </c>
      <c r="F727">
        <v>2015</v>
      </c>
      <c r="G727" t="str">
        <f>"          5840103143"</f>
        <v xml:space="preserve">          5840103143</v>
      </c>
      <c r="H727" s="3">
        <v>42081</v>
      </c>
      <c r="I727" s="3">
        <v>42094</v>
      </c>
      <c r="J727" s="3">
        <v>42094</v>
      </c>
      <c r="K727" s="3">
        <v>42154</v>
      </c>
      <c r="L727"/>
      <c r="N727"/>
      <c r="O727">
        <v>115</v>
      </c>
      <c r="P727">
        <v>261</v>
      </c>
      <c r="Q727" s="4">
        <v>30015</v>
      </c>
      <c r="R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 s="3">
        <v>42562</v>
      </c>
      <c r="AC727" t="s">
        <v>53</v>
      </c>
      <c r="AD727" t="s">
        <v>53</v>
      </c>
      <c r="AK727">
        <v>0</v>
      </c>
      <c r="AU727" s="3">
        <v>42415</v>
      </c>
      <c r="AV727" s="3">
        <v>42415</v>
      </c>
      <c r="AW727" t="s">
        <v>54</v>
      </c>
      <c r="AX727" t="str">
        <f t="shared" si="86"/>
        <v>FOR</v>
      </c>
      <c r="AY727" t="s">
        <v>55</v>
      </c>
    </row>
    <row r="728" spans="1:51" hidden="1">
      <c r="A728">
        <v>100695</v>
      </c>
      <c r="B728" t="s">
        <v>144</v>
      </c>
      <c r="C728" t="str">
        <f t="shared" si="87"/>
        <v>00721920155</v>
      </c>
      <c r="D728" t="str">
        <f t="shared" si="87"/>
        <v>00721920155</v>
      </c>
      <c r="E728" t="s">
        <v>52</v>
      </c>
      <c r="F728">
        <v>2015</v>
      </c>
      <c r="G728" t="str">
        <f>"          5840103145"</f>
        <v xml:space="preserve">          5840103145</v>
      </c>
      <c r="H728" s="3">
        <v>42081</v>
      </c>
      <c r="I728" s="3">
        <v>42094</v>
      </c>
      <c r="J728" s="3">
        <v>42094</v>
      </c>
      <c r="K728" s="3">
        <v>42154</v>
      </c>
      <c r="L728"/>
      <c r="N728"/>
      <c r="O728">
        <v>115</v>
      </c>
      <c r="P728">
        <v>261</v>
      </c>
      <c r="Q728" s="4">
        <v>30015</v>
      </c>
      <c r="R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0</v>
      </c>
      <c r="AB728" s="3">
        <v>42562</v>
      </c>
      <c r="AC728" t="s">
        <v>53</v>
      </c>
      <c r="AD728" t="s">
        <v>53</v>
      </c>
      <c r="AK728">
        <v>0</v>
      </c>
      <c r="AU728" s="3">
        <v>42415</v>
      </c>
      <c r="AV728" s="3">
        <v>42415</v>
      </c>
      <c r="AW728" t="s">
        <v>54</v>
      </c>
      <c r="AX728" t="str">
        <f t="shared" si="86"/>
        <v>FOR</v>
      </c>
      <c r="AY728" t="s">
        <v>55</v>
      </c>
    </row>
    <row r="729" spans="1:51" hidden="1">
      <c r="A729">
        <v>100695</v>
      </c>
      <c r="B729" t="s">
        <v>144</v>
      </c>
      <c r="C729" t="str">
        <f t="shared" si="87"/>
        <v>00721920155</v>
      </c>
      <c r="D729" t="str">
        <f t="shared" si="87"/>
        <v>00721920155</v>
      </c>
      <c r="E729" t="s">
        <v>52</v>
      </c>
      <c r="F729">
        <v>2015</v>
      </c>
      <c r="G729" t="str">
        <f>"          5840103147"</f>
        <v xml:space="preserve">          5840103147</v>
      </c>
      <c r="H729" s="3">
        <v>42081</v>
      </c>
      <c r="I729" s="3">
        <v>42094</v>
      </c>
      <c r="J729" s="3">
        <v>42094</v>
      </c>
      <c r="K729" s="3">
        <v>42154</v>
      </c>
      <c r="L729"/>
      <c r="N729"/>
      <c r="O729">
        <v>115</v>
      </c>
      <c r="P729">
        <v>261</v>
      </c>
      <c r="Q729" s="4">
        <v>30015</v>
      </c>
      <c r="R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0</v>
      </c>
      <c r="AB729" s="3">
        <v>42562</v>
      </c>
      <c r="AC729" t="s">
        <v>53</v>
      </c>
      <c r="AD729" t="s">
        <v>53</v>
      </c>
      <c r="AK729">
        <v>0</v>
      </c>
      <c r="AU729" s="3">
        <v>42415</v>
      </c>
      <c r="AV729" s="3">
        <v>42415</v>
      </c>
      <c r="AW729" t="s">
        <v>54</v>
      </c>
      <c r="AX729" t="str">
        <f t="shared" si="86"/>
        <v>FOR</v>
      </c>
      <c r="AY729" t="s">
        <v>55</v>
      </c>
    </row>
    <row r="730" spans="1:51" hidden="1">
      <c r="A730">
        <v>100695</v>
      </c>
      <c r="B730" t="s">
        <v>144</v>
      </c>
      <c r="C730" t="str">
        <f t="shared" si="87"/>
        <v>00721920155</v>
      </c>
      <c r="D730" t="str">
        <f t="shared" si="87"/>
        <v>00721920155</v>
      </c>
      <c r="E730" t="s">
        <v>52</v>
      </c>
      <c r="F730">
        <v>2015</v>
      </c>
      <c r="G730" t="str">
        <f>"          5840103477"</f>
        <v xml:space="preserve">          5840103477</v>
      </c>
      <c r="H730" s="3">
        <v>42087</v>
      </c>
      <c r="I730" s="3">
        <v>42097</v>
      </c>
      <c r="J730" s="3">
        <v>42097</v>
      </c>
      <c r="K730" s="3">
        <v>42157</v>
      </c>
      <c r="L730"/>
      <c r="N730"/>
      <c r="O730">
        <v>115</v>
      </c>
      <c r="P730">
        <v>258</v>
      </c>
      <c r="Q730" s="4">
        <v>29670</v>
      </c>
      <c r="R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 s="3">
        <v>42562</v>
      </c>
      <c r="AC730" t="s">
        <v>53</v>
      </c>
      <c r="AD730" t="s">
        <v>53</v>
      </c>
      <c r="AK730">
        <v>0</v>
      </c>
      <c r="AU730" s="3">
        <v>42415</v>
      </c>
      <c r="AV730" s="3">
        <v>42415</v>
      </c>
      <c r="AW730" t="s">
        <v>54</v>
      </c>
      <c r="AX730" t="str">
        <f t="shared" si="86"/>
        <v>FOR</v>
      </c>
      <c r="AY730" t="s">
        <v>55</v>
      </c>
    </row>
    <row r="731" spans="1:51" hidden="1">
      <c r="A731">
        <v>100695</v>
      </c>
      <c r="B731" t="s">
        <v>144</v>
      </c>
      <c r="C731" t="str">
        <f t="shared" si="87"/>
        <v>00721920155</v>
      </c>
      <c r="D731" t="str">
        <f t="shared" si="87"/>
        <v>00721920155</v>
      </c>
      <c r="E731" t="s">
        <v>52</v>
      </c>
      <c r="F731">
        <v>2015</v>
      </c>
      <c r="G731" t="str">
        <f>"          5840103478"</f>
        <v xml:space="preserve">          5840103478</v>
      </c>
      <c r="H731" s="3">
        <v>42087</v>
      </c>
      <c r="I731" s="3">
        <v>42097</v>
      </c>
      <c r="J731" s="3">
        <v>42097</v>
      </c>
      <c r="K731" s="3">
        <v>42157</v>
      </c>
      <c r="L731"/>
      <c r="N731"/>
      <c r="O731">
        <v>115</v>
      </c>
      <c r="P731">
        <v>258</v>
      </c>
      <c r="Q731" s="4">
        <v>29670</v>
      </c>
      <c r="R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 s="3">
        <v>42562</v>
      </c>
      <c r="AC731" t="s">
        <v>53</v>
      </c>
      <c r="AD731" t="s">
        <v>53</v>
      </c>
      <c r="AK731">
        <v>0</v>
      </c>
      <c r="AU731" s="3">
        <v>42415</v>
      </c>
      <c r="AV731" s="3">
        <v>42415</v>
      </c>
      <c r="AW731" t="s">
        <v>54</v>
      </c>
      <c r="AX731" t="str">
        <f t="shared" si="86"/>
        <v>FOR</v>
      </c>
      <c r="AY731" t="s">
        <v>55</v>
      </c>
    </row>
    <row r="732" spans="1:51" hidden="1">
      <c r="A732">
        <v>100695</v>
      </c>
      <c r="B732" t="s">
        <v>144</v>
      </c>
      <c r="C732" t="str">
        <f t="shared" si="87"/>
        <v>00721920155</v>
      </c>
      <c r="D732" t="str">
        <f t="shared" si="87"/>
        <v>00721920155</v>
      </c>
      <c r="E732" t="s">
        <v>52</v>
      </c>
      <c r="F732">
        <v>2015</v>
      </c>
      <c r="G732" t="str">
        <f>"          5840103483"</f>
        <v xml:space="preserve">          5840103483</v>
      </c>
      <c r="H732" s="3">
        <v>42087</v>
      </c>
      <c r="I732" s="3">
        <v>42097</v>
      </c>
      <c r="J732" s="3">
        <v>42097</v>
      </c>
      <c r="K732" s="3">
        <v>42157</v>
      </c>
      <c r="L732"/>
      <c r="N732"/>
      <c r="O732">
        <v>115</v>
      </c>
      <c r="P732">
        <v>258</v>
      </c>
      <c r="Q732" s="4">
        <v>29670</v>
      </c>
      <c r="R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 s="3">
        <v>42562</v>
      </c>
      <c r="AC732" t="s">
        <v>53</v>
      </c>
      <c r="AD732" t="s">
        <v>53</v>
      </c>
      <c r="AK732">
        <v>0</v>
      </c>
      <c r="AU732" s="3">
        <v>42415</v>
      </c>
      <c r="AV732" s="3">
        <v>42415</v>
      </c>
      <c r="AW732" t="s">
        <v>54</v>
      </c>
      <c r="AX732" t="str">
        <f t="shared" si="86"/>
        <v>FOR</v>
      </c>
      <c r="AY732" t="s">
        <v>55</v>
      </c>
    </row>
    <row r="733" spans="1:51" hidden="1">
      <c r="A733">
        <v>100695</v>
      </c>
      <c r="B733" t="s">
        <v>144</v>
      </c>
      <c r="C733" t="str">
        <f t="shared" si="87"/>
        <v>00721920155</v>
      </c>
      <c r="D733" t="str">
        <f t="shared" si="87"/>
        <v>00721920155</v>
      </c>
      <c r="E733" t="s">
        <v>52</v>
      </c>
      <c r="F733">
        <v>2015</v>
      </c>
      <c r="G733" t="str">
        <f>"          5840103489"</f>
        <v xml:space="preserve">          5840103489</v>
      </c>
      <c r="H733" s="3">
        <v>42087</v>
      </c>
      <c r="I733" s="3">
        <v>42097</v>
      </c>
      <c r="J733" s="3">
        <v>42097</v>
      </c>
      <c r="K733" s="3">
        <v>42157</v>
      </c>
      <c r="L733"/>
      <c r="N733"/>
      <c r="O733">
        <v>115</v>
      </c>
      <c r="P733">
        <v>258</v>
      </c>
      <c r="Q733" s="4">
        <v>29670</v>
      </c>
      <c r="R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0</v>
      </c>
      <c r="AB733" s="3">
        <v>42562</v>
      </c>
      <c r="AC733" t="s">
        <v>53</v>
      </c>
      <c r="AD733" t="s">
        <v>53</v>
      </c>
      <c r="AK733">
        <v>0</v>
      </c>
      <c r="AU733" s="3">
        <v>42415</v>
      </c>
      <c r="AV733" s="3">
        <v>42415</v>
      </c>
      <c r="AW733" t="s">
        <v>54</v>
      </c>
      <c r="AX733" t="str">
        <f t="shared" si="86"/>
        <v>FOR</v>
      </c>
      <c r="AY733" t="s">
        <v>55</v>
      </c>
    </row>
    <row r="734" spans="1:51" hidden="1">
      <c r="A734">
        <v>100695</v>
      </c>
      <c r="B734" t="s">
        <v>144</v>
      </c>
      <c r="C734" t="str">
        <f t="shared" si="87"/>
        <v>00721920155</v>
      </c>
      <c r="D734" t="str">
        <f t="shared" si="87"/>
        <v>00721920155</v>
      </c>
      <c r="E734" t="s">
        <v>52</v>
      </c>
      <c r="F734">
        <v>2015</v>
      </c>
      <c r="G734" t="str">
        <f>"          5840103630"</f>
        <v xml:space="preserve">          5840103630</v>
      </c>
      <c r="H734" s="3">
        <v>42089</v>
      </c>
      <c r="I734" s="3">
        <v>42110</v>
      </c>
      <c r="J734" s="3">
        <v>42110</v>
      </c>
      <c r="K734" s="3">
        <v>42170</v>
      </c>
      <c r="L734"/>
      <c r="N734"/>
      <c r="O734">
        <v>115</v>
      </c>
      <c r="P734">
        <v>245</v>
      </c>
      <c r="Q734" s="4">
        <v>28175</v>
      </c>
      <c r="R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 s="3">
        <v>42562</v>
      </c>
      <c r="AC734" t="s">
        <v>53</v>
      </c>
      <c r="AD734" t="s">
        <v>53</v>
      </c>
      <c r="AK734">
        <v>0</v>
      </c>
      <c r="AU734" s="3">
        <v>42415</v>
      </c>
      <c r="AV734" s="3">
        <v>42415</v>
      </c>
      <c r="AW734" t="s">
        <v>54</v>
      </c>
      <c r="AX734" t="str">
        <f t="shared" ref="AX734:AX765" si="88">"FOR"</f>
        <v>FOR</v>
      </c>
      <c r="AY734" t="s">
        <v>55</v>
      </c>
    </row>
    <row r="735" spans="1:51">
      <c r="A735">
        <v>100695</v>
      </c>
      <c r="B735" t="s">
        <v>144</v>
      </c>
      <c r="C735" t="str">
        <f t="shared" si="87"/>
        <v>00721920155</v>
      </c>
      <c r="D735" t="str">
        <f t="shared" si="87"/>
        <v>00721920155</v>
      </c>
      <c r="E735" t="s">
        <v>52</v>
      </c>
      <c r="F735">
        <v>2015</v>
      </c>
      <c r="G735" t="str">
        <f>"          5840103636"</f>
        <v xml:space="preserve">          5840103636</v>
      </c>
      <c r="H735" s="3">
        <v>42089</v>
      </c>
      <c r="I735" s="3">
        <v>42110</v>
      </c>
      <c r="J735" s="3">
        <v>42110</v>
      </c>
      <c r="K735" s="3">
        <v>42170</v>
      </c>
      <c r="L735" s="1">
        <v>115</v>
      </c>
      <c r="M735">
        <v>357</v>
      </c>
      <c r="N735" s="5">
        <v>41055</v>
      </c>
      <c r="O735">
        <v>115</v>
      </c>
      <c r="P735">
        <v>357</v>
      </c>
      <c r="Q735" s="4">
        <v>41055</v>
      </c>
      <c r="R735">
        <v>4.5999999999999996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 s="3">
        <v>42562</v>
      </c>
      <c r="AC735" t="s">
        <v>53</v>
      </c>
      <c r="AD735" t="s">
        <v>53</v>
      </c>
      <c r="AK735">
        <v>4.5999999999999996</v>
      </c>
      <c r="AU735" s="3">
        <v>42527</v>
      </c>
      <c r="AV735" s="3">
        <v>42527</v>
      </c>
      <c r="AW735" t="s">
        <v>54</v>
      </c>
      <c r="AX735" t="str">
        <f t="shared" si="88"/>
        <v>FOR</v>
      </c>
      <c r="AY735" t="s">
        <v>55</v>
      </c>
    </row>
    <row r="736" spans="1:51" hidden="1">
      <c r="A736">
        <v>100695</v>
      </c>
      <c r="B736" t="s">
        <v>144</v>
      </c>
      <c r="C736" t="str">
        <f t="shared" si="87"/>
        <v>00721920155</v>
      </c>
      <c r="D736" t="str">
        <f t="shared" si="87"/>
        <v>00721920155</v>
      </c>
      <c r="E736" t="s">
        <v>52</v>
      </c>
      <c r="F736">
        <v>2015</v>
      </c>
      <c r="G736" t="str">
        <f>"          5840104032"</f>
        <v xml:space="preserve">          5840104032</v>
      </c>
      <c r="H736" s="3">
        <v>42094</v>
      </c>
      <c r="I736" s="3">
        <v>42117</v>
      </c>
      <c r="J736" s="3">
        <v>42115</v>
      </c>
      <c r="K736" s="3">
        <v>42175</v>
      </c>
      <c r="L736"/>
      <c r="N736"/>
      <c r="O736">
        <v>726</v>
      </c>
      <c r="P736">
        <v>233</v>
      </c>
      <c r="Q736" s="4">
        <v>169158</v>
      </c>
      <c r="R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0</v>
      </c>
      <c r="AB736" s="3">
        <v>42562</v>
      </c>
      <c r="AC736" t="s">
        <v>53</v>
      </c>
      <c r="AD736" t="s">
        <v>53</v>
      </c>
      <c r="AK736">
        <v>0</v>
      </c>
      <c r="AU736" s="3">
        <v>42408</v>
      </c>
      <c r="AV736" s="3">
        <v>42408</v>
      </c>
      <c r="AW736" t="s">
        <v>54</v>
      </c>
      <c r="AX736" t="str">
        <f t="shared" si="88"/>
        <v>FOR</v>
      </c>
      <c r="AY736" t="s">
        <v>55</v>
      </c>
    </row>
    <row r="737" spans="1:51" hidden="1">
      <c r="A737">
        <v>100695</v>
      </c>
      <c r="B737" t="s">
        <v>144</v>
      </c>
      <c r="C737" t="str">
        <f t="shared" si="87"/>
        <v>00721920155</v>
      </c>
      <c r="D737" t="str">
        <f t="shared" si="87"/>
        <v>00721920155</v>
      </c>
      <c r="E737" t="s">
        <v>52</v>
      </c>
      <c r="F737">
        <v>2015</v>
      </c>
      <c r="G737" t="str">
        <f>"          5840104088"</f>
        <v xml:space="preserve">          5840104088</v>
      </c>
      <c r="H737" s="3">
        <v>42095</v>
      </c>
      <c r="I737" s="3">
        <v>42108</v>
      </c>
      <c r="J737" s="3">
        <v>42107</v>
      </c>
      <c r="K737" s="3">
        <v>42167</v>
      </c>
      <c r="L737"/>
      <c r="N737"/>
      <c r="O737">
        <v>115</v>
      </c>
      <c r="P737">
        <v>285</v>
      </c>
      <c r="Q737" s="4">
        <v>32775</v>
      </c>
      <c r="R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0</v>
      </c>
      <c r="AB737" s="3">
        <v>42562</v>
      </c>
      <c r="AC737" t="s">
        <v>53</v>
      </c>
      <c r="AD737" t="s">
        <v>53</v>
      </c>
      <c r="AK737">
        <v>0</v>
      </c>
      <c r="AU737" s="3">
        <v>42452</v>
      </c>
      <c r="AV737" s="3">
        <v>42452</v>
      </c>
      <c r="AW737" t="s">
        <v>54</v>
      </c>
      <c r="AX737" t="str">
        <f t="shared" si="88"/>
        <v>FOR</v>
      </c>
      <c r="AY737" t="s">
        <v>55</v>
      </c>
    </row>
    <row r="738" spans="1:51" hidden="1">
      <c r="A738">
        <v>100695</v>
      </c>
      <c r="B738" t="s">
        <v>144</v>
      </c>
      <c r="C738" t="str">
        <f t="shared" si="87"/>
        <v>00721920155</v>
      </c>
      <c r="D738" t="str">
        <f t="shared" si="87"/>
        <v>00721920155</v>
      </c>
      <c r="E738" t="s">
        <v>52</v>
      </c>
      <c r="F738">
        <v>2015</v>
      </c>
      <c r="G738" t="str">
        <f>"          5840104095"</f>
        <v xml:space="preserve">          5840104095</v>
      </c>
      <c r="H738" s="3">
        <v>42095</v>
      </c>
      <c r="I738" s="3">
        <v>42108</v>
      </c>
      <c r="J738" s="3">
        <v>42107</v>
      </c>
      <c r="K738" s="3">
        <v>42167</v>
      </c>
      <c r="L738"/>
      <c r="N738"/>
      <c r="O738">
        <v>115</v>
      </c>
      <c r="P738">
        <v>285</v>
      </c>
      <c r="Q738" s="4">
        <v>32775</v>
      </c>
      <c r="R738">
        <v>0</v>
      </c>
      <c r="V738">
        <v>0</v>
      </c>
      <c r="W738">
        <v>0</v>
      </c>
      <c r="X738">
        <v>0</v>
      </c>
      <c r="Y738">
        <v>0</v>
      </c>
      <c r="Z738">
        <v>0</v>
      </c>
      <c r="AA738">
        <v>0</v>
      </c>
      <c r="AB738" s="3">
        <v>42562</v>
      </c>
      <c r="AC738" t="s">
        <v>53</v>
      </c>
      <c r="AD738" t="s">
        <v>53</v>
      </c>
      <c r="AK738">
        <v>0</v>
      </c>
      <c r="AU738" s="3">
        <v>42452</v>
      </c>
      <c r="AV738" s="3">
        <v>42452</v>
      </c>
      <c r="AW738" t="s">
        <v>54</v>
      </c>
      <c r="AX738" t="str">
        <f t="shared" si="88"/>
        <v>FOR</v>
      </c>
      <c r="AY738" t="s">
        <v>55</v>
      </c>
    </row>
    <row r="739" spans="1:51" hidden="1">
      <c r="A739">
        <v>100695</v>
      </c>
      <c r="B739" t="s">
        <v>144</v>
      </c>
      <c r="C739" t="str">
        <f t="shared" si="87"/>
        <v>00721920155</v>
      </c>
      <c r="D739" t="str">
        <f t="shared" si="87"/>
        <v>00721920155</v>
      </c>
      <c r="E739" t="s">
        <v>52</v>
      </c>
      <c r="F739">
        <v>2015</v>
      </c>
      <c r="G739" t="str">
        <f>"          5840104105"</f>
        <v xml:space="preserve">          5840104105</v>
      </c>
      <c r="H739" s="3">
        <v>42095</v>
      </c>
      <c r="I739" s="3">
        <v>42108</v>
      </c>
      <c r="J739" s="3">
        <v>42107</v>
      </c>
      <c r="K739" s="3">
        <v>42167</v>
      </c>
      <c r="L739"/>
      <c r="N739"/>
      <c r="O739">
        <v>115</v>
      </c>
      <c r="P739">
        <v>285</v>
      </c>
      <c r="Q739" s="4">
        <v>32775</v>
      </c>
      <c r="R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0</v>
      </c>
      <c r="AB739" s="3">
        <v>42562</v>
      </c>
      <c r="AC739" t="s">
        <v>53</v>
      </c>
      <c r="AD739" t="s">
        <v>53</v>
      </c>
      <c r="AK739">
        <v>0</v>
      </c>
      <c r="AU739" s="3">
        <v>42452</v>
      </c>
      <c r="AV739" s="3">
        <v>42452</v>
      </c>
      <c r="AW739" t="s">
        <v>54</v>
      </c>
      <c r="AX739" t="str">
        <f t="shared" si="88"/>
        <v>FOR</v>
      </c>
      <c r="AY739" t="s">
        <v>55</v>
      </c>
    </row>
    <row r="740" spans="1:51" hidden="1">
      <c r="A740">
        <v>100695</v>
      </c>
      <c r="B740" t="s">
        <v>144</v>
      </c>
      <c r="C740" t="str">
        <f t="shared" si="87"/>
        <v>00721920155</v>
      </c>
      <c r="D740" t="str">
        <f t="shared" si="87"/>
        <v>00721920155</v>
      </c>
      <c r="E740" t="s">
        <v>52</v>
      </c>
      <c r="F740">
        <v>2015</v>
      </c>
      <c r="G740" t="str">
        <f>"          5840104138"</f>
        <v xml:space="preserve">          5840104138</v>
      </c>
      <c r="H740" s="3">
        <v>42096</v>
      </c>
      <c r="I740" s="3">
        <v>42108</v>
      </c>
      <c r="J740" s="3">
        <v>42107</v>
      </c>
      <c r="K740" s="3">
        <v>42167</v>
      </c>
      <c r="L740"/>
      <c r="N740"/>
      <c r="O740">
        <v>115</v>
      </c>
      <c r="P740">
        <v>285</v>
      </c>
      <c r="Q740" s="4">
        <v>32775</v>
      </c>
      <c r="R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0</v>
      </c>
      <c r="AB740" s="3">
        <v>42562</v>
      </c>
      <c r="AC740" t="s">
        <v>53</v>
      </c>
      <c r="AD740" t="s">
        <v>53</v>
      </c>
      <c r="AK740">
        <v>0</v>
      </c>
      <c r="AU740" s="3">
        <v>42452</v>
      </c>
      <c r="AV740" s="3">
        <v>42452</v>
      </c>
      <c r="AW740" t="s">
        <v>54</v>
      </c>
      <c r="AX740" t="str">
        <f t="shared" si="88"/>
        <v>FOR</v>
      </c>
      <c r="AY740" t="s">
        <v>55</v>
      </c>
    </row>
    <row r="741" spans="1:51" hidden="1">
      <c r="A741">
        <v>100695</v>
      </c>
      <c r="B741" t="s">
        <v>144</v>
      </c>
      <c r="C741" t="str">
        <f t="shared" si="87"/>
        <v>00721920155</v>
      </c>
      <c r="D741" t="str">
        <f t="shared" si="87"/>
        <v>00721920155</v>
      </c>
      <c r="E741" t="s">
        <v>52</v>
      </c>
      <c r="F741">
        <v>2015</v>
      </c>
      <c r="G741" t="str">
        <f>"          5840104294"</f>
        <v xml:space="preserve">          5840104294</v>
      </c>
      <c r="H741" s="3">
        <v>42103</v>
      </c>
      <c r="I741" s="3">
        <v>42128</v>
      </c>
      <c r="J741" s="3">
        <v>42107</v>
      </c>
      <c r="K741" s="3">
        <v>42167</v>
      </c>
      <c r="L741"/>
      <c r="N741"/>
      <c r="O741">
        <v>508</v>
      </c>
      <c r="P741">
        <v>249</v>
      </c>
      <c r="Q741" s="4">
        <v>126492</v>
      </c>
      <c r="R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 s="3">
        <v>42562</v>
      </c>
      <c r="AC741" t="s">
        <v>53</v>
      </c>
      <c r="AD741" t="s">
        <v>53</v>
      </c>
      <c r="AK741">
        <v>0</v>
      </c>
      <c r="AU741" s="3">
        <v>42416</v>
      </c>
      <c r="AV741" s="3">
        <v>42416</v>
      </c>
      <c r="AW741" t="s">
        <v>54</v>
      </c>
      <c r="AX741" t="str">
        <f t="shared" si="88"/>
        <v>FOR</v>
      </c>
      <c r="AY741" t="s">
        <v>55</v>
      </c>
    </row>
    <row r="742" spans="1:51" hidden="1">
      <c r="A742">
        <v>100695</v>
      </c>
      <c r="B742" t="s">
        <v>144</v>
      </c>
      <c r="C742" t="str">
        <f t="shared" ref="C742:D761" si="89">"00721920155"</f>
        <v>00721920155</v>
      </c>
      <c r="D742" t="str">
        <f t="shared" si="89"/>
        <v>00721920155</v>
      </c>
      <c r="E742" t="s">
        <v>52</v>
      </c>
      <c r="F742">
        <v>2015</v>
      </c>
      <c r="G742" t="str">
        <f>"          5840104468"</f>
        <v xml:space="preserve">          5840104468</v>
      </c>
      <c r="H742" s="3">
        <v>42109</v>
      </c>
      <c r="I742" s="3">
        <v>42115</v>
      </c>
      <c r="J742" s="3">
        <v>42113</v>
      </c>
      <c r="K742" s="3">
        <v>42173</v>
      </c>
      <c r="L742"/>
      <c r="N742"/>
      <c r="O742">
        <v>115</v>
      </c>
      <c r="P742">
        <v>279</v>
      </c>
      <c r="Q742" s="4">
        <v>32085</v>
      </c>
      <c r="R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 s="3">
        <v>42562</v>
      </c>
      <c r="AC742" t="s">
        <v>53</v>
      </c>
      <c r="AD742" t="s">
        <v>53</v>
      </c>
      <c r="AK742">
        <v>0</v>
      </c>
      <c r="AU742" s="3">
        <v>42452</v>
      </c>
      <c r="AV742" s="3">
        <v>42452</v>
      </c>
      <c r="AW742" t="s">
        <v>54</v>
      </c>
      <c r="AX742" t="str">
        <f t="shared" si="88"/>
        <v>FOR</v>
      </c>
      <c r="AY742" t="s">
        <v>55</v>
      </c>
    </row>
    <row r="743" spans="1:51" hidden="1">
      <c r="A743">
        <v>100695</v>
      </c>
      <c r="B743" t="s">
        <v>144</v>
      </c>
      <c r="C743" t="str">
        <f t="shared" si="89"/>
        <v>00721920155</v>
      </c>
      <c r="D743" t="str">
        <f t="shared" si="89"/>
        <v>00721920155</v>
      </c>
      <c r="E743" t="s">
        <v>52</v>
      </c>
      <c r="F743">
        <v>2015</v>
      </c>
      <c r="G743" t="str">
        <f>"          5840104471"</f>
        <v xml:space="preserve">          5840104471</v>
      </c>
      <c r="H743" s="3">
        <v>42109</v>
      </c>
      <c r="I743" s="3">
        <v>42115</v>
      </c>
      <c r="J743" s="3">
        <v>42113</v>
      </c>
      <c r="K743" s="3">
        <v>42173</v>
      </c>
      <c r="L743"/>
      <c r="N743"/>
      <c r="O743">
        <v>115</v>
      </c>
      <c r="P743">
        <v>279</v>
      </c>
      <c r="Q743" s="4">
        <v>32085</v>
      </c>
      <c r="R743">
        <v>0</v>
      </c>
      <c r="V743">
        <v>0</v>
      </c>
      <c r="W743">
        <v>0</v>
      </c>
      <c r="X743">
        <v>0</v>
      </c>
      <c r="Y743">
        <v>0</v>
      </c>
      <c r="Z743">
        <v>0</v>
      </c>
      <c r="AA743">
        <v>0</v>
      </c>
      <c r="AB743" s="3">
        <v>42562</v>
      </c>
      <c r="AC743" t="s">
        <v>53</v>
      </c>
      <c r="AD743" t="s">
        <v>53</v>
      </c>
      <c r="AK743">
        <v>0</v>
      </c>
      <c r="AU743" s="3">
        <v>42452</v>
      </c>
      <c r="AV743" s="3">
        <v>42452</v>
      </c>
      <c r="AW743" t="s">
        <v>54</v>
      </c>
      <c r="AX743" t="str">
        <f t="shared" si="88"/>
        <v>FOR</v>
      </c>
      <c r="AY743" t="s">
        <v>55</v>
      </c>
    </row>
    <row r="744" spans="1:51" hidden="1">
      <c r="A744">
        <v>100695</v>
      </c>
      <c r="B744" t="s">
        <v>144</v>
      </c>
      <c r="C744" t="str">
        <f t="shared" si="89"/>
        <v>00721920155</v>
      </c>
      <c r="D744" t="str">
        <f t="shared" si="89"/>
        <v>00721920155</v>
      </c>
      <c r="E744" t="s">
        <v>52</v>
      </c>
      <c r="F744">
        <v>2015</v>
      </c>
      <c r="G744" t="str">
        <f>"          5840104472"</f>
        <v xml:space="preserve">          5840104472</v>
      </c>
      <c r="H744" s="3">
        <v>42109</v>
      </c>
      <c r="I744" s="3">
        <v>42115</v>
      </c>
      <c r="J744" s="3">
        <v>42113</v>
      </c>
      <c r="K744" s="3">
        <v>42173</v>
      </c>
      <c r="L744"/>
      <c r="N744"/>
      <c r="O744">
        <v>115</v>
      </c>
      <c r="P744">
        <v>279</v>
      </c>
      <c r="Q744" s="4">
        <v>32085</v>
      </c>
      <c r="R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 s="3">
        <v>42562</v>
      </c>
      <c r="AC744" t="s">
        <v>53</v>
      </c>
      <c r="AD744" t="s">
        <v>53</v>
      </c>
      <c r="AK744">
        <v>0</v>
      </c>
      <c r="AU744" s="3">
        <v>42452</v>
      </c>
      <c r="AV744" s="3">
        <v>42452</v>
      </c>
      <c r="AW744" t="s">
        <v>54</v>
      </c>
      <c r="AX744" t="str">
        <f t="shared" si="88"/>
        <v>FOR</v>
      </c>
      <c r="AY744" t="s">
        <v>55</v>
      </c>
    </row>
    <row r="745" spans="1:51" hidden="1">
      <c r="A745">
        <v>100695</v>
      </c>
      <c r="B745" t="s">
        <v>144</v>
      </c>
      <c r="C745" t="str">
        <f t="shared" si="89"/>
        <v>00721920155</v>
      </c>
      <c r="D745" t="str">
        <f t="shared" si="89"/>
        <v>00721920155</v>
      </c>
      <c r="E745" t="s">
        <v>52</v>
      </c>
      <c r="F745">
        <v>2015</v>
      </c>
      <c r="G745" t="str">
        <f>"          5840104473"</f>
        <v xml:space="preserve">          5840104473</v>
      </c>
      <c r="H745" s="3">
        <v>42109</v>
      </c>
      <c r="I745" s="3">
        <v>42115</v>
      </c>
      <c r="J745" s="3">
        <v>42113</v>
      </c>
      <c r="K745" s="3">
        <v>42173</v>
      </c>
      <c r="L745"/>
      <c r="N745"/>
      <c r="O745">
        <v>115</v>
      </c>
      <c r="P745">
        <v>279</v>
      </c>
      <c r="Q745" s="4">
        <v>32085</v>
      </c>
      <c r="R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 s="3">
        <v>42562</v>
      </c>
      <c r="AC745" t="s">
        <v>53</v>
      </c>
      <c r="AD745" t="s">
        <v>53</v>
      </c>
      <c r="AK745">
        <v>0</v>
      </c>
      <c r="AU745" s="3">
        <v>42452</v>
      </c>
      <c r="AV745" s="3">
        <v>42452</v>
      </c>
      <c r="AW745" t="s">
        <v>54</v>
      </c>
      <c r="AX745" t="str">
        <f t="shared" si="88"/>
        <v>FOR</v>
      </c>
      <c r="AY745" t="s">
        <v>55</v>
      </c>
    </row>
    <row r="746" spans="1:51" hidden="1">
      <c r="A746">
        <v>100695</v>
      </c>
      <c r="B746" t="s">
        <v>144</v>
      </c>
      <c r="C746" t="str">
        <f t="shared" si="89"/>
        <v>00721920155</v>
      </c>
      <c r="D746" t="str">
        <f t="shared" si="89"/>
        <v>00721920155</v>
      </c>
      <c r="E746" t="s">
        <v>52</v>
      </c>
      <c r="F746">
        <v>2015</v>
      </c>
      <c r="G746" t="str">
        <f>"          5840104475"</f>
        <v xml:space="preserve">          5840104475</v>
      </c>
      <c r="H746" s="3">
        <v>42109</v>
      </c>
      <c r="I746" s="3">
        <v>42115</v>
      </c>
      <c r="J746" s="3">
        <v>42113</v>
      </c>
      <c r="K746" s="3">
        <v>42173</v>
      </c>
      <c r="L746"/>
      <c r="N746"/>
      <c r="O746">
        <v>115</v>
      </c>
      <c r="P746">
        <v>279</v>
      </c>
      <c r="Q746" s="4">
        <v>32085</v>
      </c>
      <c r="R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 s="3">
        <v>42562</v>
      </c>
      <c r="AC746" t="s">
        <v>53</v>
      </c>
      <c r="AD746" t="s">
        <v>53</v>
      </c>
      <c r="AK746">
        <v>0</v>
      </c>
      <c r="AU746" s="3">
        <v>42452</v>
      </c>
      <c r="AV746" s="3">
        <v>42452</v>
      </c>
      <c r="AW746" t="s">
        <v>54</v>
      </c>
      <c r="AX746" t="str">
        <f t="shared" si="88"/>
        <v>FOR</v>
      </c>
      <c r="AY746" t="s">
        <v>55</v>
      </c>
    </row>
    <row r="747" spans="1:51" hidden="1">
      <c r="A747">
        <v>100695</v>
      </c>
      <c r="B747" t="s">
        <v>144</v>
      </c>
      <c r="C747" t="str">
        <f t="shared" si="89"/>
        <v>00721920155</v>
      </c>
      <c r="D747" t="str">
        <f t="shared" si="89"/>
        <v>00721920155</v>
      </c>
      <c r="E747" t="s">
        <v>52</v>
      </c>
      <c r="F747">
        <v>2015</v>
      </c>
      <c r="G747" t="str">
        <f>"          5840104476"</f>
        <v xml:space="preserve">          5840104476</v>
      </c>
      <c r="H747" s="3">
        <v>42109</v>
      </c>
      <c r="I747" s="3">
        <v>42115</v>
      </c>
      <c r="J747" s="3">
        <v>42113</v>
      </c>
      <c r="K747" s="3">
        <v>42173</v>
      </c>
      <c r="L747"/>
      <c r="N747"/>
      <c r="O747">
        <v>115</v>
      </c>
      <c r="P747">
        <v>279</v>
      </c>
      <c r="Q747" s="4">
        <v>32085</v>
      </c>
      <c r="R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 s="3">
        <v>42562</v>
      </c>
      <c r="AC747" t="s">
        <v>53</v>
      </c>
      <c r="AD747" t="s">
        <v>53</v>
      </c>
      <c r="AK747">
        <v>0</v>
      </c>
      <c r="AU747" s="3">
        <v>42452</v>
      </c>
      <c r="AV747" s="3">
        <v>42452</v>
      </c>
      <c r="AW747" t="s">
        <v>54</v>
      </c>
      <c r="AX747" t="str">
        <f t="shared" si="88"/>
        <v>FOR</v>
      </c>
      <c r="AY747" t="s">
        <v>55</v>
      </c>
    </row>
    <row r="748" spans="1:51" hidden="1">
      <c r="A748">
        <v>100695</v>
      </c>
      <c r="B748" t="s">
        <v>144</v>
      </c>
      <c r="C748" t="str">
        <f t="shared" si="89"/>
        <v>00721920155</v>
      </c>
      <c r="D748" t="str">
        <f t="shared" si="89"/>
        <v>00721920155</v>
      </c>
      <c r="E748" t="s">
        <v>52</v>
      </c>
      <c r="F748">
        <v>2015</v>
      </c>
      <c r="G748" t="str">
        <f>"          5840104477"</f>
        <v xml:space="preserve">          5840104477</v>
      </c>
      <c r="H748" s="3">
        <v>42109</v>
      </c>
      <c r="I748" s="3">
        <v>42115</v>
      </c>
      <c r="J748" s="3">
        <v>42113</v>
      </c>
      <c r="K748" s="3">
        <v>42173</v>
      </c>
      <c r="L748"/>
      <c r="N748"/>
      <c r="O748">
        <v>115</v>
      </c>
      <c r="P748">
        <v>279</v>
      </c>
      <c r="Q748" s="4">
        <v>32085</v>
      </c>
      <c r="R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0</v>
      </c>
      <c r="AB748" s="3">
        <v>42562</v>
      </c>
      <c r="AC748" t="s">
        <v>53</v>
      </c>
      <c r="AD748" t="s">
        <v>53</v>
      </c>
      <c r="AK748">
        <v>0</v>
      </c>
      <c r="AU748" s="3">
        <v>42452</v>
      </c>
      <c r="AV748" s="3">
        <v>42452</v>
      </c>
      <c r="AW748" t="s">
        <v>54</v>
      </c>
      <c r="AX748" t="str">
        <f t="shared" si="88"/>
        <v>FOR</v>
      </c>
      <c r="AY748" t="s">
        <v>55</v>
      </c>
    </row>
    <row r="749" spans="1:51" hidden="1">
      <c r="A749">
        <v>100695</v>
      </c>
      <c r="B749" t="s">
        <v>144</v>
      </c>
      <c r="C749" t="str">
        <f t="shared" si="89"/>
        <v>00721920155</v>
      </c>
      <c r="D749" t="str">
        <f t="shared" si="89"/>
        <v>00721920155</v>
      </c>
      <c r="E749" t="s">
        <v>52</v>
      </c>
      <c r="F749">
        <v>2015</v>
      </c>
      <c r="G749" t="str">
        <f>"          5840104705"</f>
        <v xml:space="preserve">          5840104705</v>
      </c>
      <c r="H749" s="3">
        <v>42114</v>
      </c>
      <c r="I749" s="3">
        <v>42142</v>
      </c>
      <c r="J749" s="3">
        <v>42137</v>
      </c>
      <c r="K749" s="3">
        <v>42197</v>
      </c>
      <c r="L749"/>
      <c r="N749"/>
      <c r="O749">
        <v>115</v>
      </c>
      <c r="P749">
        <v>255</v>
      </c>
      <c r="Q749" s="4">
        <v>29325</v>
      </c>
      <c r="R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 s="3">
        <v>42562</v>
      </c>
      <c r="AC749" t="s">
        <v>53</v>
      </c>
      <c r="AD749" t="s">
        <v>53</v>
      </c>
      <c r="AK749">
        <v>0</v>
      </c>
      <c r="AU749" s="3">
        <v>42452</v>
      </c>
      <c r="AV749" s="3">
        <v>42452</v>
      </c>
      <c r="AW749" t="s">
        <v>54</v>
      </c>
      <c r="AX749" t="str">
        <f t="shared" si="88"/>
        <v>FOR</v>
      </c>
      <c r="AY749" t="s">
        <v>55</v>
      </c>
    </row>
    <row r="750" spans="1:51" hidden="1">
      <c r="A750">
        <v>100695</v>
      </c>
      <c r="B750" t="s">
        <v>144</v>
      </c>
      <c r="C750" t="str">
        <f t="shared" si="89"/>
        <v>00721920155</v>
      </c>
      <c r="D750" t="str">
        <f t="shared" si="89"/>
        <v>00721920155</v>
      </c>
      <c r="E750" t="s">
        <v>52</v>
      </c>
      <c r="F750">
        <v>2015</v>
      </c>
      <c r="G750" t="str">
        <f>"          5840104815"</f>
        <v xml:space="preserve">          5840104815</v>
      </c>
      <c r="H750" s="3">
        <v>42115</v>
      </c>
      <c r="I750" s="3">
        <v>42118</v>
      </c>
      <c r="J750" s="3">
        <v>42117</v>
      </c>
      <c r="K750" s="3">
        <v>42177</v>
      </c>
      <c r="L750"/>
      <c r="N750"/>
      <c r="O750">
        <v>115</v>
      </c>
      <c r="P750">
        <v>275</v>
      </c>
      <c r="Q750" s="4">
        <v>31625</v>
      </c>
      <c r="R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 s="3">
        <v>42562</v>
      </c>
      <c r="AC750" t="s">
        <v>53</v>
      </c>
      <c r="AD750" t="s">
        <v>53</v>
      </c>
      <c r="AK750">
        <v>0</v>
      </c>
      <c r="AU750" s="3">
        <v>42452</v>
      </c>
      <c r="AV750" s="3">
        <v>42452</v>
      </c>
      <c r="AW750" t="s">
        <v>54</v>
      </c>
      <c r="AX750" t="str">
        <f t="shared" si="88"/>
        <v>FOR</v>
      </c>
      <c r="AY750" t="s">
        <v>55</v>
      </c>
    </row>
    <row r="751" spans="1:51" hidden="1">
      <c r="A751">
        <v>100695</v>
      </c>
      <c r="B751" t="s">
        <v>144</v>
      </c>
      <c r="C751" t="str">
        <f t="shared" si="89"/>
        <v>00721920155</v>
      </c>
      <c r="D751" t="str">
        <f t="shared" si="89"/>
        <v>00721920155</v>
      </c>
      <c r="E751" t="s">
        <v>52</v>
      </c>
      <c r="F751">
        <v>2015</v>
      </c>
      <c r="G751" t="str">
        <f>"          5840104822"</f>
        <v xml:space="preserve">          5840104822</v>
      </c>
      <c r="H751" s="3">
        <v>42115</v>
      </c>
      <c r="I751" s="3">
        <v>42118</v>
      </c>
      <c r="J751" s="3">
        <v>42117</v>
      </c>
      <c r="K751" s="3">
        <v>42177</v>
      </c>
      <c r="L751"/>
      <c r="N751"/>
      <c r="O751">
        <v>115</v>
      </c>
      <c r="P751">
        <v>275</v>
      </c>
      <c r="Q751" s="4">
        <v>31625</v>
      </c>
      <c r="R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0</v>
      </c>
      <c r="AB751" s="3">
        <v>42562</v>
      </c>
      <c r="AC751" t="s">
        <v>53</v>
      </c>
      <c r="AD751" t="s">
        <v>53</v>
      </c>
      <c r="AK751">
        <v>0</v>
      </c>
      <c r="AU751" s="3">
        <v>42452</v>
      </c>
      <c r="AV751" s="3">
        <v>42452</v>
      </c>
      <c r="AW751" t="s">
        <v>54</v>
      </c>
      <c r="AX751" t="str">
        <f t="shared" si="88"/>
        <v>FOR</v>
      </c>
      <c r="AY751" t="s">
        <v>55</v>
      </c>
    </row>
    <row r="752" spans="1:51" hidden="1">
      <c r="A752">
        <v>100695</v>
      </c>
      <c r="B752" t="s">
        <v>144</v>
      </c>
      <c r="C752" t="str">
        <f t="shared" si="89"/>
        <v>00721920155</v>
      </c>
      <c r="D752" t="str">
        <f t="shared" si="89"/>
        <v>00721920155</v>
      </c>
      <c r="E752" t="s">
        <v>52</v>
      </c>
      <c r="F752">
        <v>2015</v>
      </c>
      <c r="G752" t="str">
        <f>"          5840105352"</f>
        <v xml:space="preserve">          5840105352</v>
      </c>
      <c r="H752" s="3">
        <v>42123</v>
      </c>
      <c r="I752" s="3">
        <v>42131</v>
      </c>
      <c r="J752" s="3">
        <v>42130</v>
      </c>
      <c r="K752" s="3">
        <v>42190</v>
      </c>
      <c r="L752"/>
      <c r="N752"/>
      <c r="O752">
        <v>115</v>
      </c>
      <c r="P752">
        <v>262</v>
      </c>
      <c r="Q752" s="4">
        <v>30130</v>
      </c>
      <c r="R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 s="3">
        <v>42562</v>
      </c>
      <c r="AC752" t="s">
        <v>53</v>
      </c>
      <c r="AD752" t="s">
        <v>53</v>
      </c>
      <c r="AK752">
        <v>0</v>
      </c>
      <c r="AU752" s="3">
        <v>42452</v>
      </c>
      <c r="AV752" s="3">
        <v>42452</v>
      </c>
      <c r="AW752" t="s">
        <v>54</v>
      </c>
      <c r="AX752" t="str">
        <f t="shared" si="88"/>
        <v>FOR</v>
      </c>
      <c r="AY752" t="s">
        <v>55</v>
      </c>
    </row>
    <row r="753" spans="1:51" hidden="1">
      <c r="A753">
        <v>100695</v>
      </c>
      <c r="B753" t="s">
        <v>144</v>
      </c>
      <c r="C753" t="str">
        <f t="shared" si="89"/>
        <v>00721920155</v>
      </c>
      <c r="D753" t="str">
        <f t="shared" si="89"/>
        <v>00721920155</v>
      </c>
      <c r="E753" t="s">
        <v>52</v>
      </c>
      <c r="F753">
        <v>2015</v>
      </c>
      <c r="G753" t="str">
        <f>"          5840105356"</f>
        <v xml:space="preserve">          5840105356</v>
      </c>
      <c r="H753" s="3">
        <v>42123</v>
      </c>
      <c r="I753" s="3">
        <v>42131</v>
      </c>
      <c r="J753" s="3">
        <v>42130</v>
      </c>
      <c r="K753" s="3">
        <v>42190</v>
      </c>
      <c r="L753"/>
      <c r="N753"/>
      <c r="O753">
        <v>115</v>
      </c>
      <c r="P753">
        <v>262</v>
      </c>
      <c r="Q753" s="4">
        <v>30130</v>
      </c>
      <c r="R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0</v>
      </c>
      <c r="AB753" s="3">
        <v>42562</v>
      </c>
      <c r="AC753" t="s">
        <v>53</v>
      </c>
      <c r="AD753" t="s">
        <v>53</v>
      </c>
      <c r="AK753">
        <v>0</v>
      </c>
      <c r="AU753" s="3">
        <v>42452</v>
      </c>
      <c r="AV753" s="3">
        <v>42452</v>
      </c>
      <c r="AW753" t="s">
        <v>54</v>
      </c>
      <c r="AX753" t="str">
        <f t="shared" si="88"/>
        <v>FOR</v>
      </c>
      <c r="AY753" t="s">
        <v>55</v>
      </c>
    </row>
    <row r="754" spans="1:51" hidden="1">
      <c r="A754">
        <v>100695</v>
      </c>
      <c r="B754" t="s">
        <v>144</v>
      </c>
      <c r="C754" t="str">
        <f t="shared" si="89"/>
        <v>00721920155</v>
      </c>
      <c r="D754" t="str">
        <f t="shared" si="89"/>
        <v>00721920155</v>
      </c>
      <c r="E754" t="s">
        <v>52</v>
      </c>
      <c r="F754">
        <v>2015</v>
      </c>
      <c r="G754" t="str">
        <f>"          5840105366"</f>
        <v xml:space="preserve">          5840105366</v>
      </c>
      <c r="H754" s="3">
        <v>42123</v>
      </c>
      <c r="I754" s="3">
        <v>42131</v>
      </c>
      <c r="J754" s="3">
        <v>42130</v>
      </c>
      <c r="K754" s="3">
        <v>42190</v>
      </c>
      <c r="L754"/>
      <c r="N754"/>
      <c r="O754">
        <v>115</v>
      </c>
      <c r="P754">
        <v>262</v>
      </c>
      <c r="Q754" s="4">
        <v>30130</v>
      </c>
      <c r="R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0</v>
      </c>
      <c r="AB754" s="3">
        <v>42562</v>
      </c>
      <c r="AC754" t="s">
        <v>53</v>
      </c>
      <c r="AD754" t="s">
        <v>53</v>
      </c>
      <c r="AK754">
        <v>0</v>
      </c>
      <c r="AU754" s="3">
        <v>42452</v>
      </c>
      <c r="AV754" s="3">
        <v>42452</v>
      </c>
      <c r="AW754" t="s">
        <v>54</v>
      </c>
      <c r="AX754" t="str">
        <f t="shared" si="88"/>
        <v>FOR</v>
      </c>
      <c r="AY754" t="s">
        <v>55</v>
      </c>
    </row>
    <row r="755" spans="1:51" hidden="1">
      <c r="A755">
        <v>100695</v>
      </c>
      <c r="B755" t="s">
        <v>144</v>
      </c>
      <c r="C755" t="str">
        <f t="shared" si="89"/>
        <v>00721920155</v>
      </c>
      <c r="D755" t="str">
        <f t="shared" si="89"/>
        <v>00721920155</v>
      </c>
      <c r="E755" t="s">
        <v>52</v>
      </c>
      <c r="F755">
        <v>2015</v>
      </c>
      <c r="G755" t="str">
        <f>"          5840105369"</f>
        <v xml:space="preserve">          5840105369</v>
      </c>
      <c r="H755" s="3">
        <v>42123</v>
      </c>
      <c r="I755" s="3">
        <v>42131</v>
      </c>
      <c r="J755" s="3">
        <v>42130</v>
      </c>
      <c r="K755" s="3">
        <v>42190</v>
      </c>
      <c r="L755"/>
      <c r="N755"/>
      <c r="O755">
        <v>115</v>
      </c>
      <c r="P755">
        <v>262</v>
      </c>
      <c r="Q755" s="4">
        <v>30130</v>
      </c>
      <c r="R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 s="3">
        <v>42562</v>
      </c>
      <c r="AC755" t="s">
        <v>53</v>
      </c>
      <c r="AD755" t="s">
        <v>53</v>
      </c>
      <c r="AK755">
        <v>0</v>
      </c>
      <c r="AU755" s="3">
        <v>42452</v>
      </c>
      <c r="AV755" s="3">
        <v>42452</v>
      </c>
      <c r="AW755" t="s">
        <v>54</v>
      </c>
      <c r="AX755" t="str">
        <f t="shared" si="88"/>
        <v>FOR</v>
      </c>
      <c r="AY755" t="s">
        <v>55</v>
      </c>
    </row>
    <row r="756" spans="1:51" hidden="1">
      <c r="A756">
        <v>100695</v>
      </c>
      <c r="B756" t="s">
        <v>144</v>
      </c>
      <c r="C756" t="str">
        <f t="shared" si="89"/>
        <v>00721920155</v>
      </c>
      <c r="D756" t="str">
        <f t="shared" si="89"/>
        <v>00721920155</v>
      </c>
      <c r="E756" t="s">
        <v>52</v>
      </c>
      <c r="F756">
        <v>2015</v>
      </c>
      <c r="G756" t="str">
        <f>"          5840105370"</f>
        <v xml:space="preserve">          5840105370</v>
      </c>
      <c r="H756" s="3">
        <v>42123</v>
      </c>
      <c r="I756" s="3">
        <v>42131</v>
      </c>
      <c r="J756" s="3">
        <v>42130</v>
      </c>
      <c r="K756" s="3">
        <v>42190</v>
      </c>
      <c r="L756"/>
      <c r="N756"/>
      <c r="O756">
        <v>115</v>
      </c>
      <c r="P756">
        <v>262</v>
      </c>
      <c r="Q756" s="4">
        <v>30130</v>
      </c>
      <c r="R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 s="3">
        <v>42562</v>
      </c>
      <c r="AC756" t="s">
        <v>53</v>
      </c>
      <c r="AD756" t="s">
        <v>53</v>
      </c>
      <c r="AK756">
        <v>0</v>
      </c>
      <c r="AU756" s="3">
        <v>42452</v>
      </c>
      <c r="AV756" s="3">
        <v>42452</v>
      </c>
      <c r="AW756" t="s">
        <v>54</v>
      </c>
      <c r="AX756" t="str">
        <f t="shared" si="88"/>
        <v>FOR</v>
      </c>
      <c r="AY756" t="s">
        <v>55</v>
      </c>
    </row>
    <row r="757" spans="1:51" hidden="1">
      <c r="A757">
        <v>100695</v>
      </c>
      <c r="B757" t="s">
        <v>144</v>
      </c>
      <c r="C757" t="str">
        <f t="shared" si="89"/>
        <v>00721920155</v>
      </c>
      <c r="D757" t="str">
        <f t="shared" si="89"/>
        <v>00721920155</v>
      </c>
      <c r="E757" t="s">
        <v>52</v>
      </c>
      <c r="F757">
        <v>2015</v>
      </c>
      <c r="G757" t="str">
        <f>"          5840105586"</f>
        <v xml:space="preserve">          5840105586</v>
      </c>
      <c r="H757" s="3">
        <v>42129</v>
      </c>
      <c r="I757" s="3">
        <v>42131</v>
      </c>
      <c r="J757" s="3">
        <v>42130</v>
      </c>
      <c r="K757" s="3">
        <v>42190</v>
      </c>
      <c r="L757"/>
      <c r="N757"/>
      <c r="O757">
        <v>115</v>
      </c>
      <c r="P757">
        <v>262</v>
      </c>
      <c r="Q757" s="4">
        <v>30130</v>
      </c>
      <c r="R757">
        <v>0</v>
      </c>
      <c r="V757">
        <v>0</v>
      </c>
      <c r="W757">
        <v>0</v>
      </c>
      <c r="X757">
        <v>0</v>
      </c>
      <c r="Y757">
        <v>0</v>
      </c>
      <c r="Z757">
        <v>0</v>
      </c>
      <c r="AA757">
        <v>0</v>
      </c>
      <c r="AB757" s="3">
        <v>42562</v>
      </c>
      <c r="AC757" t="s">
        <v>53</v>
      </c>
      <c r="AD757" t="s">
        <v>53</v>
      </c>
      <c r="AK757">
        <v>0</v>
      </c>
      <c r="AU757" s="3">
        <v>42452</v>
      </c>
      <c r="AV757" s="3">
        <v>42452</v>
      </c>
      <c r="AW757" t="s">
        <v>54</v>
      </c>
      <c r="AX757" t="str">
        <f t="shared" si="88"/>
        <v>FOR</v>
      </c>
      <c r="AY757" t="s">
        <v>55</v>
      </c>
    </row>
    <row r="758" spans="1:51" hidden="1">
      <c r="A758">
        <v>100695</v>
      </c>
      <c r="B758" t="s">
        <v>144</v>
      </c>
      <c r="C758" t="str">
        <f t="shared" si="89"/>
        <v>00721920155</v>
      </c>
      <c r="D758" t="str">
        <f t="shared" si="89"/>
        <v>00721920155</v>
      </c>
      <c r="E758" t="s">
        <v>52</v>
      </c>
      <c r="F758">
        <v>2015</v>
      </c>
      <c r="G758" t="str">
        <f>"          5840105589"</f>
        <v xml:space="preserve">          5840105589</v>
      </c>
      <c r="H758" s="3">
        <v>42129</v>
      </c>
      <c r="I758" s="3">
        <v>42131</v>
      </c>
      <c r="J758" s="3">
        <v>42130</v>
      </c>
      <c r="K758" s="3">
        <v>42190</v>
      </c>
      <c r="L758"/>
      <c r="N758"/>
      <c r="O758">
        <v>115</v>
      </c>
      <c r="P758">
        <v>262</v>
      </c>
      <c r="Q758" s="4">
        <v>30130</v>
      </c>
      <c r="R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 s="3">
        <v>42562</v>
      </c>
      <c r="AC758" t="s">
        <v>53</v>
      </c>
      <c r="AD758" t="s">
        <v>53</v>
      </c>
      <c r="AK758">
        <v>0</v>
      </c>
      <c r="AU758" s="3">
        <v>42452</v>
      </c>
      <c r="AV758" s="3">
        <v>42452</v>
      </c>
      <c r="AW758" t="s">
        <v>54</v>
      </c>
      <c r="AX758" t="str">
        <f t="shared" si="88"/>
        <v>FOR</v>
      </c>
      <c r="AY758" t="s">
        <v>55</v>
      </c>
    </row>
    <row r="759" spans="1:51" hidden="1">
      <c r="A759">
        <v>100695</v>
      </c>
      <c r="B759" t="s">
        <v>144</v>
      </c>
      <c r="C759" t="str">
        <f t="shared" si="89"/>
        <v>00721920155</v>
      </c>
      <c r="D759" t="str">
        <f t="shared" si="89"/>
        <v>00721920155</v>
      </c>
      <c r="E759" t="s">
        <v>52</v>
      </c>
      <c r="F759">
        <v>2015</v>
      </c>
      <c r="G759" t="str">
        <f>"          5840105595"</f>
        <v xml:space="preserve">          5840105595</v>
      </c>
      <c r="H759" s="3">
        <v>42129</v>
      </c>
      <c r="I759" s="3">
        <v>42131</v>
      </c>
      <c r="J759" s="3">
        <v>42130</v>
      </c>
      <c r="K759" s="3">
        <v>42190</v>
      </c>
      <c r="L759"/>
      <c r="N759"/>
      <c r="O759">
        <v>115</v>
      </c>
      <c r="P759">
        <v>262</v>
      </c>
      <c r="Q759" s="4">
        <v>30130</v>
      </c>
      <c r="R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 s="3">
        <v>42562</v>
      </c>
      <c r="AC759" t="s">
        <v>53</v>
      </c>
      <c r="AD759" t="s">
        <v>53</v>
      </c>
      <c r="AK759">
        <v>0</v>
      </c>
      <c r="AU759" s="3">
        <v>42452</v>
      </c>
      <c r="AV759" s="3">
        <v>42452</v>
      </c>
      <c r="AW759" t="s">
        <v>54</v>
      </c>
      <c r="AX759" t="str">
        <f t="shared" si="88"/>
        <v>FOR</v>
      </c>
      <c r="AY759" t="s">
        <v>55</v>
      </c>
    </row>
    <row r="760" spans="1:51" hidden="1">
      <c r="A760">
        <v>100695</v>
      </c>
      <c r="B760" t="s">
        <v>144</v>
      </c>
      <c r="C760" t="str">
        <f t="shared" si="89"/>
        <v>00721920155</v>
      </c>
      <c r="D760" t="str">
        <f t="shared" si="89"/>
        <v>00721920155</v>
      </c>
      <c r="E760" t="s">
        <v>52</v>
      </c>
      <c r="F760">
        <v>2015</v>
      </c>
      <c r="G760" t="str">
        <f>"          5840105598"</f>
        <v xml:space="preserve">          5840105598</v>
      </c>
      <c r="H760" s="3">
        <v>42129</v>
      </c>
      <c r="I760" s="3">
        <v>42131</v>
      </c>
      <c r="J760" s="3">
        <v>42130</v>
      </c>
      <c r="K760" s="3">
        <v>42190</v>
      </c>
      <c r="L760"/>
      <c r="N760"/>
      <c r="O760">
        <v>115</v>
      </c>
      <c r="P760">
        <v>262</v>
      </c>
      <c r="Q760" s="4">
        <v>30130</v>
      </c>
      <c r="R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0</v>
      </c>
      <c r="AB760" s="3">
        <v>42562</v>
      </c>
      <c r="AC760" t="s">
        <v>53</v>
      </c>
      <c r="AD760" t="s">
        <v>53</v>
      </c>
      <c r="AK760">
        <v>0</v>
      </c>
      <c r="AU760" s="3">
        <v>42452</v>
      </c>
      <c r="AV760" s="3">
        <v>42452</v>
      </c>
      <c r="AW760" t="s">
        <v>54</v>
      </c>
      <c r="AX760" t="str">
        <f t="shared" si="88"/>
        <v>FOR</v>
      </c>
      <c r="AY760" t="s">
        <v>55</v>
      </c>
    </row>
    <row r="761" spans="1:51" hidden="1">
      <c r="A761">
        <v>100695</v>
      </c>
      <c r="B761" t="s">
        <v>144</v>
      </c>
      <c r="C761" t="str">
        <f t="shared" si="89"/>
        <v>00721920155</v>
      </c>
      <c r="D761" t="str">
        <f t="shared" si="89"/>
        <v>00721920155</v>
      </c>
      <c r="E761" t="s">
        <v>52</v>
      </c>
      <c r="F761">
        <v>2015</v>
      </c>
      <c r="G761" t="str">
        <f>"          5840105847"</f>
        <v xml:space="preserve">          5840105847</v>
      </c>
      <c r="H761" s="3">
        <v>42136</v>
      </c>
      <c r="I761" s="3">
        <v>42174</v>
      </c>
      <c r="J761" s="3">
        <v>42138</v>
      </c>
      <c r="K761" s="3">
        <v>42198</v>
      </c>
      <c r="L761"/>
      <c r="N761"/>
      <c r="O761">
        <v>115</v>
      </c>
      <c r="P761">
        <v>254</v>
      </c>
      <c r="Q761" s="4">
        <v>29210</v>
      </c>
      <c r="R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0</v>
      </c>
      <c r="AB761" s="3">
        <v>42562</v>
      </c>
      <c r="AC761" t="s">
        <v>53</v>
      </c>
      <c r="AD761" t="s">
        <v>53</v>
      </c>
      <c r="AK761">
        <v>0</v>
      </c>
      <c r="AU761" s="3">
        <v>42452</v>
      </c>
      <c r="AV761" s="3">
        <v>42452</v>
      </c>
      <c r="AW761" t="s">
        <v>54</v>
      </c>
      <c r="AX761" t="str">
        <f t="shared" si="88"/>
        <v>FOR</v>
      </c>
      <c r="AY761" t="s">
        <v>55</v>
      </c>
    </row>
    <row r="762" spans="1:51" hidden="1">
      <c r="A762">
        <v>100695</v>
      </c>
      <c r="B762" t="s">
        <v>144</v>
      </c>
      <c r="C762" t="str">
        <f t="shared" ref="C762:D781" si="90">"00721920155"</f>
        <v>00721920155</v>
      </c>
      <c r="D762" t="str">
        <f t="shared" si="90"/>
        <v>00721920155</v>
      </c>
      <c r="E762" t="s">
        <v>52</v>
      </c>
      <c r="F762">
        <v>2015</v>
      </c>
      <c r="G762" t="str">
        <f>"          5840105849"</f>
        <v xml:space="preserve">          5840105849</v>
      </c>
      <c r="H762" s="3">
        <v>42136</v>
      </c>
      <c r="I762" s="3">
        <v>42174</v>
      </c>
      <c r="J762" s="3">
        <v>42138</v>
      </c>
      <c r="K762" s="3">
        <v>42198</v>
      </c>
      <c r="L762"/>
      <c r="N762"/>
      <c r="O762">
        <v>115</v>
      </c>
      <c r="P762">
        <v>254</v>
      </c>
      <c r="Q762" s="4">
        <v>29210</v>
      </c>
      <c r="R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 s="3">
        <v>42562</v>
      </c>
      <c r="AC762" t="s">
        <v>53</v>
      </c>
      <c r="AD762" t="s">
        <v>53</v>
      </c>
      <c r="AK762">
        <v>0</v>
      </c>
      <c r="AU762" s="3">
        <v>42452</v>
      </c>
      <c r="AV762" s="3">
        <v>42452</v>
      </c>
      <c r="AW762" t="s">
        <v>54</v>
      </c>
      <c r="AX762" t="str">
        <f t="shared" si="88"/>
        <v>FOR</v>
      </c>
      <c r="AY762" t="s">
        <v>55</v>
      </c>
    </row>
    <row r="763" spans="1:51" hidden="1">
      <c r="A763">
        <v>100695</v>
      </c>
      <c r="B763" t="s">
        <v>144</v>
      </c>
      <c r="C763" t="str">
        <f t="shared" si="90"/>
        <v>00721920155</v>
      </c>
      <c r="D763" t="str">
        <f t="shared" si="90"/>
        <v>00721920155</v>
      </c>
      <c r="E763" t="s">
        <v>52</v>
      </c>
      <c r="F763">
        <v>2015</v>
      </c>
      <c r="G763" t="str">
        <f>"          5840105854"</f>
        <v xml:space="preserve">          5840105854</v>
      </c>
      <c r="H763" s="3">
        <v>42136</v>
      </c>
      <c r="I763" s="3">
        <v>42174</v>
      </c>
      <c r="J763" s="3">
        <v>42138</v>
      </c>
      <c r="K763" s="3">
        <v>42198</v>
      </c>
      <c r="L763"/>
      <c r="N763"/>
      <c r="O763">
        <v>115</v>
      </c>
      <c r="P763">
        <v>254</v>
      </c>
      <c r="Q763" s="4">
        <v>29210</v>
      </c>
      <c r="R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 s="3">
        <v>42562</v>
      </c>
      <c r="AC763" t="s">
        <v>53</v>
      </c>
      <c r="AD763" t="s">
        <v>53</v>
      </c>
      <c r="AK763">
        <v>0</v>
      </c>
      <c r="AU763" s="3">
        <v>42452</v>
      </c>
      <c r="AV763" s="3">
        <v>42452</v>
      </c>
      <c r="AW763" t="s">
        <v>54</v>
      </c>
      <c r="AX763" t="str">
        <f t="shared" si="88"/>
        <v>FOR</v>
      </c>
      <c r="AY763" t="s">
        <v>55</v>
      </c>
    </row>
    <row r="764" spans="1:51" hidden="1">
      <c r="A764">
        <v>100695</v>
      </c>
      <c r="B764" t="s">
        <v>144</v>
      </c>
      <c r="C764" t="str">
        <f t="shared" si="90"/>
        <v>00721920155</v>
      </c>
      <c r="D764" t="str">
        <f t="shared" si="90"/>
        <v>00721920155</v>
      </c>
      <c r="E764" t="s">
        <v>52</v>
      </c>
      <c r="F764">
        <v>2015</v>
      </c>
      <c r="G764" t="str">
        <f>"          5840105856"</f>
        <v xml:space="preserve">          5840105856</v>
      </c>
      <c r="H764" s="3">
        <v>42136</v>
      </c>
      <c r="I764" s="3">
        <v>42174</v>
      </c>
      <c r="J764" s="3">
        <v>42138</v>
      </c>
      <c r="K764" s="3">
        <v>42198</v>
      </c>
      <c r="L764"/>
      <c r="N764"/>
      <c r="O764">
        <v>115</v>
      </c>
      <c r="P764">
        <v>254</v>
      </c>
      <c r="Q764" s="4">
        <v>29210</v>
      </c>
      <c r="R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 s="3">
        <v>42562</v>
      </c>
      <c r="AC764" t="s">
        <v>53</v>
      </c>
      <c r="AD764" t="s">
        <v>53</v>
      </c>
      <c r="AK764">
        <v>0</v>
      </c>
      <c r="AU764" s="3">
        <v>42452</v>
      </c>
      <c r="AV764" s="3">
        <v>42452</v>
      </c>
      <c r="AW764" t="s">
        <v>54</v>
      </c>
      <c r="AX764" t="str">
        <f t="shared" si="88"/>
        <v>FOR</v>
      </c>
      <c r="AY764" t="s">
        <v>55</v>
      </c>
    </row>
    <row r="765" spans="1:51" hidden="1">
      <c r="A765">
        <v>100695</v>
      </c>
      <c r="B765" t="s">
        <v>144</v>
      </c>
      <c r="C765" t="str">
        <f t="shared" si="90"/>
        <v>00721920155</v>
      </c>
      <c r="D765" t="str">
        <f t="shared" si="90"/>
        <v>00721920155</v>
      </c>
      <c r="E765" t="s">
        <v>52</v>
      </c>
      <c r="F765">
        <v>2015</v>
      </c>
      <c r="G765" t="str">
        <f>"          5840106107"</f>
        <v xml:space="preserve">          5840106107</v>
      </c>
      <c r="H765" s="3">
        <v>42142</v>
      </c>
      <c r="I765" s="3">
        <v>42165</v>
      </c>
      <c r="J765" s="3">
        <v>42142</v>
      </c>
      <c r="K765" s="3">
        <v>42202</v>
      </c>
      <c r="L765"/>
      <c r="N765"/>
      <c r="O765" s="4">
        <v>6492.5</v>
      </c>
      <c r="P765">
        <v>251</v>
      </c>
      <c r="Q765" s="4">
        <v>1629617.5</v>
      </c>
      <c r="R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 s="3">
        <v>42562</v>
      </c>
      <c r="AC765" t="s">
        <v>53</v>
      </c>
      <c r="AD765" t="s">
        <v>53</v>
      </c>
      <c r="AK765">
        <v>0</v>
      </c>
      <c r="AU765" s="3">
        <v>42453</v>
      </c>
      <c r="AV765" s="3">
        <v>42453</v>
      </c>
      <c r="AW765" t="s">
        <v>54</v>
      </c>
      <c r="AX765" t="str">
        <f t="shared" si="88"/>
        <v>FOR</v>
      </c>
      <c r="AY765" t="s">
        <v>55</v>
      </c>
    </row>
    <row r="766" spans="1:51" hidden="1">
      <c r="A766">
        <v>100695</v>
      </c>
      <c r="B766" t="s">
        <v>144</v>
      </c>
      <c r="C766" t="str">
        <f t="shared" si="90"/>
        <v>00721920155</v>
      </c>
      <c r="D766" t="str">
        <f t="shared" si="90"/>
        <v>00721920155</v>
      </c>
      <c r="E766" t="s">
        <v>52</v>
      </c>
      <c r="F766">
        <v>2015</v>
      </c>
      <c r="G766" t="str">
        <f>"          5840106256"</f>
        <v xml:space="preserve">          5840106256</v>
      </c>
      <c r="H766" s="3">
        <v>42144</v>
      </c>
      <c r="I766" s="3">
        <v>42163</v>
      </c>
      <c r="J766" s="3">
        <v>42150</v>
      </c>
      <c r="K766" s="3">
        <v>42210</v>
      </c>
      <c r="L766"/>
      <c r="N766"/>
      <c r="O766" s="4">
        <v>1547</v>
      </c>
      <c r="P766">
        <v>243</v>
      </c>
      <c r="Q766" s="4">
        <v>375921</v>
      </c>
      <c r="R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 s="3">
        <v>42562</v>
      </c>
      <c r="AC766" t="s">
        <v>53</v>
      </c>
      <c r="AD766" t="s">
        <v>53</v>
      </c>
      <c r="AK766">
        <v>0</v>
      </c>
      <c r="AU766" s="3">
        <v>42453</v>
      </c>
      <c r="AV766" s="3">
        <v>42453</v>
      </c>
      <c r="AW766" t="s">
        <v>54</v>
      </c>
      <c r="AX766" t="str">
        <f t="shared" ref="AX766:AX797" si="91">"FOR"</f>
        <v>FOR</v>
      </c>
      <c r="AY766" t="s">
        <v>55</v>
      </c>
    </row>
    <row r="767" spans="1:51" hidden="1">
      <c r="A767">
        <v>100695</v>
      </c>
      <c r="B767" t="s">
        <v>144</v>
      </c>
      <c r="C767" t="str">
        <f t="shared" si="90"/>
        <v>00721920155</v>
      </c>
      <c r="D767" t="str">
        <f t="shared" si="90"/>
        <v>00721920155</v>
      </c>
      <c r="E767" t="s">
        <v>52</v>
      </c>
      <c r="F767">
        <v>2015</v>
      </c>
      <c r="G767" t="str">
        <f>"          5840106301"</f>
        <v xml:space="preserve">          5840106301</v>
      </c>
      <c r="H767" s="3">
        <v>42145</v>
      </c>
      <c r="I767" s="3">
        <v>42163</v>
      </c>
      <c r="J767" s="3">
        <v>42153</v>
      </c>
      <c r="K767" s="3">
        <v>42213</v>
      </c>
      <c r="L767"/>
      <c r="N767"/>
      <c r="O767">
        <v>115</v>
      </c>
      <c r="P767">
        <v>239</v>
      </c>
      <c r="Q767" s="4">
        <v>27485</v>
      </c>
      <c r="R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 s="3">
        <v>42562</v>
      </c>
      <c r="AC767" t="s">
        <v>53</v>
      </c>
      <c r="AD767" t="s">
        <v>53</v>
      </c>
      <c r="AK767">
        <v>0</v>
      </c>
      <c r="AU767" s="3">
        <v>42452</v>
      </c>
      <c r="AV767" s="3">
        <v>42452</v>
      </c>
      <c r="AW767" t="s">
        <v>54</v>
      </c>
      <c r="AX767" t="str">
        <f t="shared" si="91"/>
        <v>FOR</v>
      </c>
      <c r="AY767" t="s">
        <v>55</v>
      </c>
    </row>
    <row r="768" spans="1:51" hidden="1">
      <c r="A768">
        <v>100695</v>
      </c>
      <c r="B768" t="s">
        <v>144</v>
      </c>
      <c r="C768" t="str">
        <f t="shared" si="90"/>
        <v>00721920155</v>
      </c>
      <c r="D768" t="str">
        <f t="shared" si="90"/>
        <v>00721920155</v>
      </c>
      <c r="E768" t="s">
        <v>52</v>
      </c>
      <c r="F768">
        <v>2015</v>
      </c>
      <c r="G768" t="str">
        <f>"          5840106305"</f>
        <v xml:space="preserve">          5840106305</v>
      </c>
      <c r="H768" s="3">
        <v>42145</v>
      </c>
      <c r="I768" s="3">
        <v>42158</v>
      </c>
      <c r="J768" s="3">
        <v>42153</v>
      </c>
      <c r="K768" s="3">
        <v>42213</v>
      </c>
      <c r="L768"/>
      <c r="N768"/>
      <c r="O768">
        <v>115</v>
      </c>
      <c r="P768">
        <v>239</v>
      </c>
      <c r="Q768" s="4">
        <v>27485</v>
      </c>
      <c r="R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0</v>
      </c>
      <c r="AB768" s="3">
        <v>42562</v>
      </c>
      <c r="AC768" t="s">
        <v>53</v>
      </c>
      <c r="AD768" t="s">
        <v>53</v>
      </c>
      <c r="AK768">
        <v>0</v>
      </c>
      <c r="AU768" s="3">
        <v>42452</v>
      </c>
      <c r="AV768" s="3">
        <v>42452</v>
      </c>
      <c r="AW768" t="s">
        <v>54</v>
      </c>
      <c r="AX768" t="str">
        <f t="shared" si="91"/>
        <v>FOR</v>
      </c>
      <c r="AY768" t="s">
        <v>55</v>
      </c>
    </row>
    <row r="769" spans="1:51" hidden="1">
      <c r="A769">
        <v>100695</v>
      </c>
      <c r="B769" t="s">
        <v>144</v>
      </c>
      <c r="C769" t="str">
        <f t="shared" si="90"/>
        <v>00721920155</v>
      </c>
      <c r="D769" t="str">
        <f t="shared" si="90"/>
        <v>00721920155</v>
      </c>
      <c r="E769" t="s">
        <v>52</v>
      </c>
      <c r="F769">
        <v>2015</v>
      </c>
      <c r="G769" t="str">
        <f>"          5840106306"</f>
        <v xml:space="preserve">          5840106306</v>
      </c>
      <c r="H769" s="3">
        <v>42145</v>
      </c>
      <c r="I769" s="3">
        <v>42163</v>
      </c>
      <c r="J769" s="3">
        <v>42153</v>
      </c>
      <c r="K769" s="3">
        <v>42213</v>
      </c>
      <c r="L769"/>
      <c r="N769"/>
      <c r="O769">
        <v>115</v>
      </c>
      <c r="P769">
        <v>239</v>
      </c>
      <c r="Q769" s="4">
        <v>27485</v>
      </c>
      <c r="R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0</v>
      </c>
      <c r="AB769" s="3">
        <v>42562</v>
      </c>
      <c r="AC769" t="s">
        <v>53</v>
      </c>
      <c r="AD769" t="s">
        <v>53</v>
      </c>
      <c r="AK769">
        <v>0</v>
      </c>
      <c r="AU769" s="3">
        <v>42452</v>
      </c>
      <c r="AV769" s="3">
        <v>42452</v>
      </c>
      <c r="AW769" t="s">
        <v>54</v>
      </c>
      <c r="AX769" t="str">
        <f t="shared" si="91"/>
        <v>FOR</v>
      </c>
      <c r="AY769" t="s">
        <v>55</v>
      </c>
    </row>
    <row r="770" spans="1:51" hidden="1">
      <c r="A770">
        <v>100695</v>
      </c>
      <c r="B770" t="s">
        <v>144</v>
      </c>
      <c r="C770" t="str">
        <f t="shared" si="90"/>
        <v>00721920155</v>
      </c>
      <c r="D770" t="str">
        <f t="shared" si="90"/>
        <v>00721920155</v>
      </c>
      <c r="E770" t="s">
        <v>52</v>
      </c>
      <c r="F770">
        <v>2015</v>
      </c>
      <c r="G770" t="str">
        <f>"          5840106307"</f>
        <v xml:space="preserve">          5840106307</v>
      </c>
      <c r="H770" s="3">
        <v>42145</v>
      </c>
      <c r="I770" s="3">
        <v>42163</v>
      </c>
      <c r="J770" s="3">
        <v>42153</v>
      </c>
      <c r="K770" s="3">
        <v>42213</v>
      </c>
      <c r="L770"/>
      <c r="N770"/>
      <c r="O770">
        <v>115</v>
      </c>
      <c r="P770">
        <v>239</v>
      </c>
      <c r="Q770" s="4">
        <v>27485</v>
      </c>
      <c r="R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0</v>
      </c>
      <c r="AB770" s="3">
        <v>42562</v>
      </c>
      <c r="AC770" t="s">
        <v>53</v>
      </c>
      <c r="AD770" t="s">
        <v>53</v>
      </c>
      <c r="AK770">
        <v>0</v>
      </c>
      <c r="AU770" s="3">
        <v>42452</v>
      </c>
      <c r="AV770" s="3">
        <v>42452</v>
      </c>
      <c r="AW770" t="s">
        <v>54</v>
      </c>
      <c r="AX770" t="str">
        <f t="shared" si="91"/>
        <v>FOR</v>
      </c>
      <c r="AY770" t="s">
        <v>55</v>
      </c>
    </row>
    <row r="771" spans="1:51" hidden="1">
      <c r="A771">
        <v>100695</v>
      </c>
      <c r="B771" t="s">
        <v>144</v>
      </c>
      <c r="C771" t="str">
        <f t="shared" si="90"/>
        <v>00721920155</v>
      </c>
      <c r="D771" t="str">
        <f t="shared" si="90"/>
        <v>00721920155</v>
      </c>
      <c r="E771" t="s">
        <v>52</v>
      </c>
      <c r="F771">
        <v>2015</v>
      </c>
      <c r="G771" t="str">
        <f>"          5840106309"</f>
        <v xml:space="preserve">          5840106309</v>
      </c>
      <c r="H771" s="3">
        <v>42145</v>
      </c>
      <c r="I771" s="3">
        <v>42158</v>
      </c>
      <c r="J771" s="3">
        <v>42153</v>
      </c>
      <c r="K771" s="3">
        <v>42213</v>
      </c>
      <c r="L771"/>
      <c r="N771"/>
      <c r="O771">
        <v>115</v>
      </c>
      <c r="P771">
        <v>239</v>
      </c>
      <c r="Q771" s="4">
        <v>27485</v>
      </c>
      <c r="R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 s="3">
        <v>42562</v>
      </c>
      <c r="AC771" t="s">
        <v>53</v>
      </c>
      <c r="AD771" t="s">
        <v>53</v>
      </c>
      <c r="AK771">
        <v>0</v>
      </c>
      <c r="AU771" s="3">
        <v>42452</v>
      </c>
      <c r="AV771" s="3">
        <v>42452</v>
      </c>
      <c r="AW771" t="s">
        <v>54</v>
      </c>
      <c r="AX771" t="str">
        <f t="shared" si="91"/>
        <v>FOR</v>
      </c>
      <c r="AY771" t="s">
        <v>55</v>
      </c>
    </row>
    <row r="772" spans="1:51" hidden="1">
      <c r="A772">
        <v>100695</v>
      </c>
      <c r="B772" t="s">
        <v>144</v>
      </c>
      <c r="C772" t="str">
        <f t="shared" si="90"/>
        <v>00721920155</v>
      </c>
      <c r="D772" t="str">
        <f t="shared" si="90"/>
        <v>00721920155</v>
      </c>
      <c r="E772" t="s">
        <v>52</v>
      </c>
      <c r="F772">
        <v>2015</v>
      </c>
      <c r="G772" t="str">
        <f>"          5840106311"</f>
        <v xml:space="preserve">          5840106311</v>
      </c>
      <c r="H772" s="3">
        <v>42145</v>
      </c>
      <c r="I772" s="3">
        <v>42163</v>
      </c>
      <c r="J772" s="3">
        <v>42153</v>
      </c>
      <c r="K772" s="3">
        <v>42213</v>
      </c>
      <c r="L772"/>
      <c r="N772"/>
      <c r="O772">
        <v>115</v>
      </c>
      <c r="P772">
        <v>239</v>
      </c>
      <c r="Q772" s="4">
        <v>27485</v>
      </c>
      <c r="R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0</v>
      </c>
      <c r="AB772" s="3">
        <v>42562</v>
      </c>
      <c r="AC772" t="s">
        <v>53</v>
      </c>
      <c r="AD772" t="s">
        <v>53</v>
      </c>
      <c r="AK772">
        <v>0</v>
      </c>
      <c r="AU772" s="3">
        <v>42452</v>
      </c>
      <c r="AV772" s="3">
        <v>42452</v>
      </c>
      <c r="AW772" t="s">
        <v>54</v>
      </c>
      <c r="AX772" t="str">
        <f t="shared" si="91"/>
        <v>FOR</v>
      </c>
      <c r="AY772" t="s">
        <v>55</v>
      </c>
    </row>
    <row r="773" spans="1:51" hidden="1">
      <c r="A773">
        <v>100695</v>
      </c>
      <c r="B773" t="s">
        <v>144</v>
      </c>
      <c r="C773" t="str">
        <f t="shared" si="90"/>
        <v>00721920155</v>
      </c>
      <c r="D773" t="str">
        <f t="shared" si="90"/>
        <v>00721920155</v>
      </c>
      <c r="E773" t="s">
        <v>52</v>
      </c>
      <c r="F773">
        <v>2015</v>
      </c>
      <c r="G773" t="str">
        <f>"          5840106313"</f>
        <v xml:space="preserve">          5840106313</v>
      </c>
      <c r="H773" s="3">
        <v>42145</v>
      </c>
      <c r="I773" s="3">
        <v>42160</v>
      </c>
      <c r="J773" s="3">
        <v>42153</v>
      </c>
      <c r="K773" s="3">
        <v>42213</v>
      </c>
      <c r="L773"/>
      <c r="N773"/>
      <c r="O773">
        <v>115</v>
      </c>
      <c r="P773">
        <v>239</v>
      </c>
      <c r="Q773" s="4">
        <v>27485</v>
      </c>
      <c r="R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0</v>
      </c>
      <c r="AB773" s="3">
        <v>42562</v>
      </c>
      <c r="AC773" t="s">
        <v>53</v>
      </c>
      <c r="AD773" t="s">
        <v>53</v>
      </c>
      <c r="AK773">
        <v>0</v>
      </c>
      <c r="AU773" s="3">
        <v>42452</v>
      </c>
      <c r="AV773" s="3">
        <v>42452</v>
      </c>
      <c r="AW773" t="s">
        <v>54</v>
      </c>
      <c r="AX773" t="str">
        <f t="shared" si="91"/>
        <v>FOR</v>
      </c>
      <c r="AY773" t="s">
        <v>55</v>
      </c>
    </row>
    <row r="774" spans="1:51" hidden="1">
      <c r="A774">
        <v>100695</v>
      </c>
      <c r="B774" t="s">
        <v>144</v>
      </c>
      <c r="C774" t="str">
        <f t="shared" si="90"/>
        <v>00721920155</v>
      </c>
      <c r="D774" t="str">
        <f t="shared" si="90"/>
        <v>00721920155</v>
      </c>
      <c r="E774" t="s">
        <v>52</v>
      </c>
      <c r="F774">
        <v>2015</v>
      </c>
      <c r="G774" t="str">
        <f>"          5840106314"</f>
        <v xml:space="preserve">          5840106314</v>
      </c>
      <c r="H774" s="3">
        <v>42145</v>
      </c>
      <c r="I774" s="3">
        <v>42163</v>
      </c>
      <c r="J774" s="3">
        <v>42153</v>
      </c>
      <c r="K774" s="3">
        <v>42213</v>
      </c>
      <c r="L774"/>
      <c r="N774"/>
      <c r="O774">
        <v>115</v>
      </c>
      <c r="P774">
        <v>239</v>
      </c>
      <c r="Q774" s="4">
        <v>27485</v>
      </c>
      <c r="R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 s="3">
        <v>42562</v>
      </c>
      <c r="AC774" t="s">
        <v>53</v>
      </c>
      <c r="AD774" t="s">
        <v>53</v>
      </c>
      <c r="AK774">
        <v>0</v>
      </c>
      <c r="AU774" s="3">
        <v>42452</v>
      </c>
      <c r="AV774" s="3">
        <v>42452</v>
      </c>
      <c r="AW774" t="s">
        <v>54</v>
      </c>
      <c r="AX774" t="str">
        <f t="shared" si="91"/>
        <v>FOR</v>
      </c>
      <c r="AY774" t="s">
        <v>55</v>
      </c>
    </row>
    <row r="775" spans="1:51" hidden="1">
      <c r="A775">
        <v>100695</v>
      </c>
      <c r="B775" t="s">
        <v>144</v>
      </c>
      <c r="C775" t="str">
        <f t="shared" si="90"/>
        <v>00721920155</v>
      </c>
      <c r="D775" t="str">
        <f t="shared" si="90"/>
        <v>00721920155</v>
      </c>
      <c r="E775" t="s">
        <v>52</v>
      </c>
      <c r="F775">
        <v>2015</v>
      </c>
      <c r="G775" t="str">
        <f>"          5840106316"</f>
        <v xml:space="preserve">          5840106316</v>
      </c>
      <c r="H775" s="3">
        <v>42145</v>
      </c>
      <c r="I775" s="3">
        <v>42163</v>
      </c>
      <c r="J775" s="3">
        <v>42153</v>
      </c>
      <c r="K775" s="3">
        <v>42213</v>
      </c>
      <c r="L775"/>
      <c r="N775"/>
      <c r="O775">
        <v>115</v>
      </c>
      <c r="P775">
        <v>239</v>
      </c>
      <c r="Q775" s="4">
        <v>27485</v>
      </c>
      <c r="R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 s="3">
        <v>42562</v>
      </c>
      <c r="AC775" t="s">
        <v>53</v>
      </c>
      <c r="AD775" t="s">
        <v>53</v>
      </c>
      <c r="AK775">
        <v>0</v>
      </c>
      <c r="AU775" s="3">
        <v>42452</v>
      </c>
      <c r="AV775" s="3">
        <v>42452</v>
      </c>
      <c r="AW775" t="s">
        <v>54</v>
      </c>
      <c r="AX775" t="str">
        <f t="shared" si="91"/>
        <v>FOR</v>
      </c>
      <c r="AY775" t="s">
        <v>55</v>
      </c>
    </row>
    <row r="776" spans="1:51" hidden="1">
      <c r="A776">
        <v>100695</v>
      </c>
      <c r="B776" t="s">
        <v>144</v>
      </c>
      <c r="C776" t="str">
        <f t="shared" si="90"/>
        <v>00721920155</v>
      </c>
      <c r="D776" t="str">
        <f t="shared" si="90"/>
        <v>00721920155</v>
      </c>
      <c r="E776" t="s">
        <v>52</v>
      </c>
      <c r="F776">
        <v>2015</v>
      </c>
      <c r="G776" t="str">
        <f>"          5840106317"</f>
        <v xml:space="preserve">          5840106317</v>
      </c>
      <c r="H776" s="3">
        <v>42145</v>
      </c>
      <c r="I776" s="3">
        <v>42158</v>
      </c>
      <c r="J776" s="3">
        <v>42153</v>
      </c>
      <c r="K776" s="3">
        <v>42213</v>
      </c>
      <c r="L776"/>
      <c r="N776"/>
      <c r="O776">
        <v>115</v>
      </c>
      <c r="P776">
        <v>239</v>
      </c>
      <c r="Q776" s="4">
        <v>27485</v>
      </c>
      <c r="R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 s="3">
        <v>42562</v>
      </c>
      <c r="AC776" t="s">
        <v>53</v>
      </c>
      <c r="AD776" t="s">
        <v>53</v>
      </c>
      <c r="AK776">
        <v>0</v>
      </c>
      <c r="AU776" s="3">
        <v>42452</v>
      </c>
      <c r="AV776" s="3">
        <v>42452</v>
      </c>
      <c r="AW776" t="s">
        <v>54</v>
      </c>
      <c r="AX776" t="str">
        <f t="shared" si="91"/>
        <v>FOR</v>
      </c>
      <c r="AY776" t="s">
        <v>55</v>
      </c>
    </row>
    <row r="777" spans="1:51" hidden="1">
      <c r="A777">
        <v>100695</v>
      </c>
      <c r="B777" t="s">
        <v>144</v>
      </c>
      <c r="C777" t="str">
        <f t="shared" si="90"/>
        <v>00721920155</v>
      </c>
      <c r="D777" t="str">
        <f t="shared" si="90"/>
        <v>00721920155</v>
      </c>
      <c r="E777" t="s">
        <v>52</v>
      </c>
      <c r="F777">
        <v>2015</v>
      </c>
      <c r="G777" t="str">
        <f>"          5840106321"</f>
        <v xml:space="preserve">          5840106321</v>
      </c>
      <c r="H777" s="3">
        <v>42145</v>
      </c>
      <c r="I777" s="3">
        <v>42163</v>
      </c>
      <c r="J777" s="3">
        <v>42153</v>
      </c>
      <c r="K777" s="3">
        <v>42213</v>
      </c>
      <c r="L777"/>
      <c r="N777"/>
      <c r="O777">
        <v>115</v>
      </c>
      <c r="P777">
        <v>239</v>
      </c>
      <c r="Q777" s="4">
        <v>27485</v>
      </c>
      <c r="R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 s="3">
        <v>42562</v>
      </c>
      <c r="AC777" t="s">
        <v>53</v>
      </c>
      <c r="AD777" t="s">
        <v>53</v>
      </c>
      <c r="AK777">
        <v>0</v>
      </c>
      <c r="AU777" s="3">
        <v>42452</v>
      </c>
      <c r="AV777" s="3">
        <v>42452</v>
      </c>
      <c r="AW777" t="s">
        <v>54</v>
      </c>
      <c r="AX777" t="str">
        <f t="shared" si="91"/>
        <v>FOR</v>
      </c>
      <c r="AY777" t="s">
        <v>55</v>
      </c>
    </row>
    <row r="778" spans="1:51" hidden="1">
      <c r="A778">
        <v>100695</v>
      </c>
      <c r="B778" t="s">
        <v>144</v>
      </c>
      <c r="C778" t="str">
        <f t="shared" si="90"/>
        <v>00721920155</v>
      </c>
      <c r="D778" t="str">
        <f t="shared" si="90"/>
        <v>00721920155</v>
      </c>
      <c r="E778" t="s">
        <v>52</v>
      </c>
      <c r="F778">
        <v>2015</v>
      </c>
      <c r="G778" t="str">
        <f>"          5840106322"</f>
        <v xml:space="preserve">          5840106322</v>
      </c>
      <c r="H778" s="3">
        <v>42145</v>
      </c>
      <c r="I778" s="3">
        <v>42160</v>
      </c>
      <c r="J778" s="3">
        <v>42153</v>
      </c>
      <c r="K778" s="3">
        <v>42213</v>
      </c>
      <c r="L778"/>
      <c r="N778"/>
      <c r="O778">
        <v>115</v>
      </c>
      <c r="P778">
        <v>239</v>
      </c>
      <c r="Q778" s="4">
        <v>27485</v>
      </c>
      <c r="R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 s="3">
        <v>42562</v>
      </c>
      <c r="AC778" t="s">
        <v>53</v>
      </c>
      <c r="AD778" t="s">
        <v>53</v>
      </c>
      <c r="AK778">
        <v>0</v>
      </c>
      <c r="AU778" s="3">
        <v>42452</v>
      </c>
      <c r="AV778" s="3">
        <v>42452</v>
      </c>
      <c r="AW778" t="s">
        <v>54</v>
      </c>
      <c r="AX778" t="str">
        <f t="shared" si="91"/>
        <v>FOR</v>
      </c>
      <c r="AY778" t="s">
        <v>55</v>
      </c>
    </row>
    <row r="779" spans="1:51" hidden="1">
      <c r="A779">
        <v>100695</v>
      </c>
      <c r="B779" t="s">
        <v>144</v>
      </c>
      <c r="C779" t="str">
        <f t="shared" si="90"/>
        <v>00721920155</v>
      </c>
      <c r="D779" t="str">
        <f t="shared" si="90"/>
        <v>00721920155</v>
      </c>
      <c r="E779" t="s">
        <v>52</v>
      </c>
      <c r="F779">
        <v>2015</v>
      </c>
      <c r="G779" t="str">
        <f>"          5840106323"</f>
        <v xml:space="preserve">          5840106323</v>
      </c>
      <c r="H779" s="3">
        <v>42145</v>
      </c>
      <c r="I779" s="3">
        <v>42163</v>
      </c>
      <c r="J779" s="3">
        <v>42153</v>
      </c>
      <c r="K779" s="3">
        <v>42213</v>
      </c>
      <c r="L779"/>
      <c r="N779"/>
      <c r="O779">
        <v>115</v>
      </c>
      <c r="P779">
        <v>239</v>
      </c>
      <c r="Q779" s="4">
        <v>27485</v>
      </c>
      <c r="R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 s="3">
        <v>42562</v>
      </c>
      <c r="AC779" t="s">
        <v>53</v>
      </c>
      <c r="AD779" t="s">
        <v>53</v>
      </c>
      <c r="AK779">
        <v>0</v>
      </c>
      <c r="AU779" s="3">
        <v>42452</v>
      </c>
      <c r="AV779" s="3">
        <v>42452</v>
      </c>
      <c r="AW779" t="s">
        <v>54</v>
      </c>
      <c r="AX779" t="str">
        <f t="shared" si="91"/>
        <v>FOR</v>
      </c>
      <c r="AY779" t="s">
        <v>55</v>
      </c>
    </row>
    <row r="780" spans="1:51" hidden="1">
      <c r="A780">
        <v>100695</v>
      </c>
      <c r="B780" t="s">
        <v>144</v>
      </c>
      <c r="C780" t="str">
        <f t="shared" si="90"/>
        <v>00721920155</v>
      </c>
      <c r="D780" t="str">
        <f t="shared" si="90"/>
        <v>00721920155</v>
      </c>
      <c r="E780" t="s">
        <v>52</v>
      </c>
      <c r="F780">
        <v>2015</v>
      </c>
      <c r="G780" t="str">
        <f>"          5840106324"</f>
        <v xml:space="preserve">          5840106324</v>
      </c>
      <c r="H780" s="3">
        <v>42145</v>
      </c>
      <c r="I780" s="3">
        <v>42163</v>
      </c>
      <c r="J780" s="3">
        <v>42153</v>
      </c>
      <c r="K780" s="3">
        <v>42213</v>
      </c>
      <c r="L780"/>
      <c r="N780"/>
      <c r="O780">
        <v>115</v>
      </c>
      <c r="P780">
        <v>239</v>
      </c>
      <c r="Q780" s="4">
        <v>27485</v>
      </c>
      <c r="R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 s="3">
        <v>42562</v>
      </c>
      <c r="AC780" t="s">
        <v>53</v>
      </c>
      <c r="AD780" t="s">
        <v>53</v>
      </c>
      <c r="AK780">
        <v>0</v>
      </c>
      <c r="AU780" s="3">
        <v>42452</v>
      </c>
      <c r="AV780" s="3">
        <v>42452</v>
      </c>
      <c r="AW780" t="s">
        <v>54</v>
      </c>
      <c r="AX780" t="str">
        <f t="shared" si="91"/>
        <v>FOR</v>
      </c>
      <c r="AY780" t="s">
        <v>55</v>
      </c>
    </row>
    <row r="781" spans="1:51" hidden="1">
      <c r="A781">
        <v>100695</v>
      </c>
      <c r="B781" t="s">
        <v>144</v>
      </c>
      <c r="C781" t="str">
        <f t="shared" si="90"/>
        <v>00721920155</v>
      </c>
      <c r="D781" t="str">
        <f t="shared" si="90"/>
        <v>00721920155</v>
      </c>
      <c r="E781" t="s">
        <v>52</v>
      </c>
      <c r="F781">
        <v>2015</v>
      </c>
      <c r="G781" t="str">
        <f>"          5840106325"</f>
        <v xml:space="preserve">          5840106325</v>
      </c>
      <c r="H781" s="3">
        <v>42145</v>
      </c>
      <c r="I781" s="3">
        <v>42160</v>
      </c>
      <c r="J781" s="3">
        <v>42153</v>
      </c>
      <c r="K781" s="3">
        <v>42213</v>
      </c>
      <c r="L781"/>
      <c r="N781"/>
      <c r="O781">
        <v>115</v>
      </c>
      <c r="P781">
        <v>239</v>
      </c>
      <c r="Q781" s="4">
        <v>27485</v>
      </c>
      <c r="R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 s="3">
        <v>42562</v>
      </c>
      <c r="AC781" t="s">
        <v>53</v>
      </c>
      <c r="AD781" t="s">
        <v>53</v>
      </c>
      <c r="AK781">
        <v>0</v>
      </c>
      <c r="AU781" s="3">
        <v>42452</v>
      </c>
      <c r="AV781" s="3">
        <v>42452</v>
      </c>
      <c r="AW781" t="s">
        <v>54</v>
      </c>
      <c r="AX781" t="str">
        <f t="shared" si="91"/>
        <v>FOR</v>
      </c>
      <c r="AY781" t="s">
        <v>55</v>
      </c>
    </row>
    <row r="782" spans="1:51" hidden="1">
      <c r="A782">
        <v>100695</v>
      </c>
      <c r="B782" t="s">
        <v>144</v>
      </c>
      <c r="C782" t="str">
        <f t="shared" ref="C782:D801" si="92">"00721920155"</f>
        <v>00721920155</v>
      </c>
      <c r="D782" t="str">
        <f t="shared" si="92"/>
        <v>00721920155</v>
      </c>
      <c r="E782" t="s">
        <v>52</v>
      </c>
      <c r="F782">
        <v>2015</v>
      </c>
      <c r="G782" t="str">
        <f>"          5840106326"</f>
        <v xml:space="preserve">          5840106326</v>
      </c>
      <c r="H782" s="3">
        <v>42145</v>
      </c>
      <c r="I782" s="3">
        <v>42163</v>
      </c>
      <c r="J782" s="3">
        <v>42153</v>
      </c>
      <c r="K782" s="3">
        <v>42213</v>
      </c>
      <c r="L782"/>
      <c r="N782"/>
      <c r="O782">
        <v>115</v>
      </c>
      <c r="P782">
        <v>239</v>
      </c>
      <c r="Q782" s="4">
        <v>27485</v>
      </c>
      <c r="R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 s="3">
        <v>42562</v>
      </c>
      <c r="AC782" t="s">
        <v>53</v>
      </c>
      <c r="AD782" t="s">
        <v>53</v>
      </c>
      <c r="AK782">
        <v>0</v>
      </c>
      <c r="AU782" s="3">
        <v>42452</v>
      </c>
      <c r="AV782" s="3">
        <v>42452</v>
      </c>
      <c r="AW782" t="s">
        <v>54</v>
      </c>
      <c r="AX782" t="str">
        <f t="shared" si="91"/>
        <v>FOR</v>
      </c>
      <c r="AY782" t="s">
        <v>55</v>
      </c>
    </row>
    <row r="783" spans="1:51" hidden="1">
      <c r="A783">
        <v>100695</v>
      </c>
      <c r="B783" t="s">
        <v>144</v>
      </c>
      <c r="C783" t="str">
        <f t="shared" si="92"/>
        <v>00721920155</v>
      </c>
      <c r="D783" t="str">
        <f t="shared" si="92"/>
        <v>00721920155</v>
      </c>
      <c r="E783" t="s">
        <v>52</v>
      </c>
      <c r="F783">
        <v>2015</v>
      </c>
      <c r="G783" t="str">
        <f>"          5840106327"</f>
        <v xml:space="preserve">          5840106327</v>
      </c>
      <c r="H783" s="3">
        <v>42145</v>
      </c>
      <c r="I783" s="3">
        <v>42163</v>
      </c>
      <c r="J783" s="3">
        <v>42153</v>
      </c>
      <c r="K783" s="3">
        <v>42213</v>
      </c>
      <c r="L783"/>
      <c r="N783"/>
      <c r="O783">
        <v>115</v>
      </c>
      <c r="P783">
        <v>239</v>
      </c>
      <c r="Q783" s="4">
        <v>27485</v>
      </c>
      <c r="R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 s="3">
        <v>42562</v>
      </c>
      <c r="AC783" t="s">
        <v>53</v>
      </c>
      <c r="AD783" t="s">
        <v>53</v>
      </c>
      <c r="AK783">
        <v>0</v>
      </c>
      <c r="AU783" s="3">
        <v>42452</v>
      </c>
      <c r="AV783" s="3">
        <v>42452</v>
      </c>
      <c r="AW783" t="s">
        <v>54</v>
      </c>
      <c r="AX783" t="str">
        <f t="shared" si="91"/>
        <v>FOR</v>
      </c>
      <c r="AY783" t="s">
        <v>55</v>
      </c>
    </row>
    <row r="784" spans="1:51" hidden="1">
      <c r="A784">
        <v>100695</v>
      </c>
      <c r="B784" t="s">
        <v>144</v>
      </c>
      <c r="C784" t="str">
        <f t="shared" si="92"/>
        <v>00721920155</v>
      </c>
      <c r="D784" t="str">
        <f t="shared" si="92"/>
        <v>00721920155</v>
      </c>
      <c r="E784" t="s">
        <v>52</v>
      </c>
      <c r="F784">
        <v>2015</v>
      </c>
      <c r="G784" t="str">
        <f>"          5840106328"</f>
        <v xml:space="preserve">          5840106328</v>
      </c>
      <c r="H784" s="3">
        <v>42145</v>
      </c>
      <c r="I784" s="3">
        <v>42160</v>
      </c>
      <c r="J784" s="3">
        <v>42153</v>
      </c>
      <c r="K784" s="3">
        <v>42213</v>
      </c>
      <c r="L784"/>
      <c r="N784"/>
      <c r="O784">
        <v>115</v>
      </c>
      <c r="P784">
        <v>239</v>
      </c>
      <c r="Q784" s="4">
        <v>27485</v>
      </c>
      <c r="R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0</v>
      </c>
      <c r="AB784" s="3">
        <v>42562</v>
      </c>
      <c r="AC784" t="s">
        <v>53</v>
      </c>
      <c r="AD784" t="s">
        <v>53</v>
      </c>
      <c r="AK784">
        <v>0</v>
      </c>
      <c r="AU784" s="3">
        <v>42452</v>
      </c>
      <c r="AV784" s="3">
        <v>42452</v>
      </c>
      <c r="AW784" t="s">
        <v>54</v>
      </c>
      <c r="AX784" t="str">
        <f t="shared" si="91"/>
        <v>FOR</v>
      </c>
      <c r="AY784" t="s">
        <v>55</v>
      </c>
    </row>
    <row r="785" spans="1:51" hidden="1">
      <c r="A785">
        <v>100695</v>
      </c>
      <c r="B785" t="s">
        <v>144</v>
      </c>
      <c r="C785" t="str">
        <f t="shared" si="92"/>
        <v>00721920155</v>
      </c>
      <c r="D785" t="str">
        <f t="shared" si="92"/>
        <v>00721920155</v>
      </c>
      <c r="E785" t="s">
        <v>52</v>
      </c>
      <c r="F785">
        <v>2015</v>
      </c>
      <c r="G785" t="str">
        <f>"          5840106329"</f>
        <v xml:space="preserve">          5840106329</v>
      </c>
      <c r="H785" s="3">
        <v>42145</v>
      </c>
      <c r="I785" s="3">
        <v>42163</v>
      </c>
      <c r="J785" s="3">
        <v>42153</v>
      </c>
      <c r="K785" s="3">
        <v>42213</v>
      </c>
      <c r="L785"/>
      <c r="N785"/>
      <c r="O785">
        <v>115</v>
      </c>
      <c r="P785">
        <v>239</v>
      </c>
      <c r="Q785" s="4">
        <v>27485</v>
      </c>
      <c r="R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0</v>
      </c>
      <c r="AB785" s="3">
        <v>42562</v>
      </c>
      <c r="AC785" t="s">
        <v>53</v>
      </c>
      <c r="AD785" t="s">
        <v>53</v>
      </c>
      <c r="AK785">
        <v>0</v>
      </c>
      <c r="AU785" s="3">
        <v>42452</v>
      </c>
      <c r="AV785" s="3">
        <v>42452</v>
      </c>
      <c r="AW785" t="s">
        <v>54</v>
      </c>
      <c r="AX785" t="str">
        <f t="shared" si="91"/>
        <v>FOR</v>
      </c>
      <c r="AY785" t="s">
        <v>55</v>
      </c>
    </row>
    <row r="786" spans="1:51" hidden="1">
      <c r="A786">
        <v>100695</v>
      </c>
      <c r="B786" t="s">
        <v>144</v>
      </c>
      <c r="C786" t="str">
        <f t="shared" si="92"/>
        <v>00721920155</v>
      </c>
      <c r="D786" t="str">
        <f t="shared" si="92"/>
        <v>00721920155</v>
      </c>
      <c r="E786" t="s">
        <v>52</v>
      </c>
      <c r="F786">
        <v>2015</v>
      </c>
      <c r="G786" t="str">
        <f>"          5840106331"</f>
        <v xml:space="preserve">          5840106331</v>
      </c>
      <c r="H786" s="3">
        <v>42145</v>
      </c>
      <c r="I786" s="3">
        <v>42163</v>
      </c>
      <c r="J786" s="3">
        <v>42153</v>
      </c>
      <c r="K786" s="3">
        <v>42213</v>
      </c>
      <c r="L786"/>
      <c r="N786"/>
      <c r="O786">
        <v>115</v>
      </c>
      <c r="P786">
        <v>239</v>
      </c>
      <c r="Q786" s="4">
        <v>27485</v>
      </c>
      <c r="R786">
        <v>0</v>
      </c>
      <c r="V786">
        <v>0</v>
      </c>
      <c r="W786">
        <v>0</v>
      </c>
      <c r="X786">
        <v>0</v>
      </c>
      <c r="Y786">
        <v>0</v>
      </c>
      <c r="Z786">
        <v>0</v>
      </c>
      <c r="AA786">
        <v>0</v>
      </c>
      <c r="AB786" s="3">
        <v>42562</v>
      </c>
      <c r="AC786" t="s">
        <v>53</v>
      </c>
      <c r="AD786" t="s">
        <v>53</v>
      </c>
      <c r="AK786">
        <v>0</v>
      </c>
      <c r="AU786" s="3">
        <v>42452</v>
      </c>
      <c r="AV786" s="3">
        <v>42452</v>
      </c>
      <c r="AW786" t="s">
        <v>54</v>
      </c>
      <c r="AX786" t="str">
        <f t="shared" si="91"/>
        <v>FOR</v>
      </c>
      <c r="AY786" t="s">
        <v>55</v>
      </c>
    </row>
    <row r="787" spans="1:51" hidden="1">
      <c r="A787">
        <v>100695</v>
      </c>
      <c r="B787" t="s">
        <v>144</v>
      </c>
      <c r="C787" t="str">
        <f t="shared" si="92"/>
        <v>00721920155</v>
      </c>
      <c r="D787" t="str">
        <f t="shared" si="92"/>
        <v>00721920155</v>
      </c>
      <c r="E787" t="s">
        <v>52</v>
      </c>
      <c r="F787">
        <v>2015</v>
      </c>
      <c r="G787" t="str">
        <f>"          5840106332"</f>
        <v xml:space="preserve">          5840106332</v>
      </c>
      <c r="H787" s="3">
        <v>42145</v>
      </c>
      <c r="I787" s="3">
        <v>42160</v>
      </c>
      <c r="J787" s="3">
        <v>42153</v>
      </c>
      <c r="K787" s="3">
        <v>42213</v>
      </c>
      <c r="L787"/>
      <c r="N787"/>
      <c r="O787">
        <v>115</v>
      </c>
      <c r="P787">
        <v>239</v>
      </c>
      <c r="Q787" s="4">
        <v>27485</v>
      </c>
      <c r="R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 s="3">
        <v>42562</v>
      </c>
      <c r="AC787" t="s">
        <v>53</v>
      </c>
      <c r="AD787" t="s">
        <v>53</v>
      </c>
      <c r="AK787">
        <v>0</v>
      </c>
      <c r="AU787" s="3">
        <v>42452</v>
      </c>
      <c r="AV787" s="3">
        <v>42452</v>
      </c>
      <c r="AW787" t="s">
        <v>54</v>
      </c>
      <c r="AX787" t="str">
        <f t="shared" si="91"/>
        <v>FOR</v>
      </c>
      <c r="AY787" t="s">
        <v>55</v>
      </c>
    </row>
    <row r="788" spans="1:51" hidden="1">
      <c r="A788">
        <v>100695</v>
      </c>
      <c r="B788" t="s">
        <v>144</v>
      </c>
      <c r="C788" t="str">
        <f t="shared" si="92"/>
        <v>00721920155</v>
      </c>
      <c r="D788" t="str">
        <f t="shared" si="92"/>
        <v>00721920155</v>
      </c>
      <c r="E788" t="s">
        <v>52</v>
      </c>
      <c r="F788">
        <v>2015</v>
      </c>
      <c r="G788" t="str">
        <f>"          5840106491"</f>
        <v xml:space="preserve">          5840106491</v>
      </c>
      <c r="H788" s="3">
        <v>42149</v>
      </c>
      <c r="I788" s="3">
        <v>42160</v>
      </c>
      <c r="J788" s="3">
        <v>42153</v>
      </c>
      <c r="K788" s="3">
        <v>42213</v>
      </c>
      <c r="L788"/>
      <c r="N788"/>
      <c r="O788">
        <v>115</v>
      </c>
      <c r="P788">
        <v>239</v>
      </c>
      <c r="Q788" s="4">
        <v>27485</v>
      </c>
      <c r="R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0</v>
      </c>
      <c r="AB788" s="3">
        <v>42562</v>
      </c>
      <c r="AC788" t="s">
        <v>53</v>
      </c>
      <c r="AD788" t="s">
        <v>53</v>
      </c>
      <c r="AK788">
        <v>0</v>
      </c>
      <c r="AU788" s="3">
        <v>42452</v>
      </c>
      <c r="AV788" s="3">
        <v>42452</v>
      </c>
      <c r="AW788" t="s">
        <v>54</v>
      </c>
      <c r="AX788" t="str">
        <f t="shared" si="91"/>
        <v>FOR</v>
      </c>
      <c r="AY788" t="s">
        <v>55</v>
      </c>
    </row>
    <row r="789" spans="1:51">
      <c r="A789">
        <v>100695</v>
      </c>
      <c r="B789" t="s">
        <v>144</v>
      </c>
      <c r="C789" t="str">
        <f t="shared" si="92"/>
        <v>00721920155</v>
      </c>
      <c r="D789" t="str">
        <f t="shared" si="92"/>
        <v>00721920155</v>
      </c>
      <c r="E789" t="s">
        <v>52</v>
      </c>
      <c r="F789">
        <v>2015</v>
      </c>
      <c r="G789" t="str">
        <f>"          5840106999"</f>
        <v xml:space="preserve">          5840106999</v>
      </c>
      <c r="H789" s="3">
        <v>42159</v>
      </c>
      <c r="I789" s="3">
        <v>42164</v>
      </c>
      <c r="J789" s="3">
        <v>42163</v>
      </c>
      <c r="K789" s="3">
        <v>42223</v>
      </c>
      <c r="L789" s="1">
        <v>115</v>
      </c>
      <c r="M789">
        <v>304</v>
      </c>
      <c r="N789" s="5">
        <v>34960</v>
      </c>
      <c r="O789">
        <v>115</v>
      </c>
      <c r="P789">
        <v>304</v>
      </c>
      <c r="Q789" s="4">
        <v>34960</v>
      </c>
      <c r="R789">
        <v>4.5999999999999996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0</v>
      </c>
      <c r="AB789" s="3">
        <v>42562</v>
      </c>
      <c r="AC789" t="s">
        <v>53</v>
      </c>
      <c r="AD789" t="s">
        <v>53</v>
      </c>
      <c r="AK789">
        <v>4.5999999999999996</v>
      </c>
      <c r="AU789" s="3">
        <v>42527</v>
      </c>
      <c r="AV789" s="3">
        <v>42527</v>
      </c>
      <c r="AW789" t="s">
        <v>54</v>
      </c>
      <c r="AX789" t="str">
        <f t="shared" si="91"/>
        <v>FOR</v>
      </c>
      <c r="AY789" t="s">
        <v>55</v>
      </c>
    </row>
    <row r="790" spans="1:51">
      <c r="A790">
        <v>100695</v>
      </c>
      <c r="B790" t="s">
        <v>144</v>
      </c>
      <c r="C790" t="str">
        <f t="shared" si="92"/>
        <v>00721920155</v>
      </c>
      <c r="D790" t="str">
        <f t="shared" si="92"/>
        <v>00721920155</v>
      </c>
      <c r="E790" t="s">
        <v>52</v>
      </c>
      <c r="F790">
        <v>2015</v>
      </c>
      <c r="G790" t="str">
        <f>"          5840107000"</f>
        <v xml:space="preserve">          5840107000</v>
      </c>
      <c r="H790" s="3">
        <v>42159</v>
      </c>
      <c r="I790" s="3">
        <v>42164</v>
      </c>
      <c r="J790" s="3">
        <v>42163</v>
      </c>
      <c r="K790" s="3">
        <v>42223</v>
      </c>
      <c r="L790" s="1">
        <v>115</v>
      </c>
      <c r="M790">
        <v>304</v>
      </c>
      <c r="N790" s="5">
        <v>34960</v>
      </c>
      <c r="O790">
        <v>115</v>
      </c>
      <c r="P790">
        <v>304</v>
      </c>
      <c r="Q790" s="4">
        <v>34960</v>
      </c>
      <c r="R790">
        <v>4.5999999999999996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s="3">
        <v>42562</v>
      </c>
      <c r="AC790" t="s">
        <v>53</v>
      </c>
      <c r="AD790" t="s">
        <v>53</v>
      </c>
      <c r="AK790">
        <v>4.5999999999999996</v>
      </c>
      <c r="AU790" s="3">
        <v>42527</v>
      </c>
      <c r="AV790" s="3">
        <v>42527</v>
      </c>
      <c r="AW790" t="s">
        <v>54</v>
      </c>
      <c r="AX790" t="str">
        <f t="shared" si="91"/>
        <v>FOR</v>
      </c>
      <c r="AY790" t="s">
        <v>55</v>
      </c>
    </row>
    <row r="791" spans="1:51">
      <c r="A791">
        <v>100695</v>
      </c>
      <c r="B791" t="s">
        <v>144</v>
      </c>
      <c r="C791" t="str">
        <f t="shared" si="92"/>
        <v>00721920155</v>
      </c>
      <c r="D791" t="str">
        <f t="shared" si="92"/>
        <v>00721920155</v>
      </c>
      <c r="E791" t="s">
        <v>52</v>
      </c>
      <c r="F791">
        <v>2015</v>
      </c>
      <c r="G791" t="str">
        <f>"          5840107003"</f>
        <v xml:space="preserve">          5840107003</v>
      </c>
      <c r="H791" s="3">
        <v>42159</v>
      </c>
      <c r="I791" s="3">
        <v>42164</v>
      </c>
      <c r="J791" s="3">
        <v>42163</v>
      </c>
      <c r="K791" s="3">
        <v>42223</v>
      </c>
      <c r="L791" s="1">
        <v>115</v>
      </c>
      <c r="M791">
        <v>304</v>
      </c>
      <c r="N791" s="5">
        <v>34960</v>
      </c>
      <c r="O791">
        <v>115</v>
      </c>
      <c r="P791">
        <v>304</v>
      </c>
      <c r="Q791" s="4">
        <v>34960</v>
      </c>
      <c r="R791">
        <v>4.5999999999999996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0</v>
      </c>
      <c r="AB791" s="3">
        <v>42562</v>
      </c>
      <c r="AC791" t="s">
        <v>53</v>
      </c>
      <c r="AD791" t="s">
        <v>53</v>
      </c>
      <c r="AK791">
        <v>4.5999999999999996</v>
      </c>
      <c r="AU791" s="3">
        <v>42527</v>
      </c>
      <c r="AV791" s="3">
        <v>42527</v>
      </c>
      <c r="AW791" t="s">
        <v>54</v>
      </c>
      <c r="AX791" t="str">
        <f t="shared" si="91"/>
        <v>FOR</v>
      </c>
      <c r="AY791" t="s">
        <v>55</v>
      </c>
    </row>
    <row r="792" spans="1:51">
      <c r="A792">
        <v>100695</v>
      </c>
      <c r="B792" t="s">
        <v>144</v>
      </c>
      <c r="C792" t="str">
        <f t="shared" si="92"/>
        <v>00721920155</v>
      </c>
      <c r="D792" t="str">
        <f t="shared" si="92"/>
        <v>00721920155</v>
      </c>
      <c r="E792" t="s">
        <v>52</v>
      </c>
      <c r="F792">
        <v>2015</v>
      </c>
      <c r="G792" t="str">
        <f>"          5840107007"</f>
        <v xml:space="preserve">          5840107007</v>
      </c>
      <c r="H792" s="3">
        <v>42159</v>
      </c>
      <c r="I792" s="3">
        <v>42164</v>
      </c>
      <c r="J792" s="3">
        <v>42163</v>
      </c>
      <c r="K792" s="3">
        <v>42223</v>
      </c>
      <c r="L792" s="1">
        <v>115</v>
      </c>
      <c r="M792">
        <v>304</v>
      </c>
      <c r="N792" s="5">
        <v>34960</v>
      </c>
      <c r="O792">
        <v>115</v>
      </c>
      <c r="P792">
        <v>304</v>
      </c>
      <c r="Q792" s="4">
        <v>34960</v>
      </c>
      <c r="R792">
        <v>4.5999999999999996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0</v>
      </c>
      <c r="AB792" s="3">
        <v>42562</v>
      </c>
      <c r="AC792" t="s">
        <v>53</v>
      </c>
      <c r="AD792" t="s">
        <v>53</v>
      </c>
      <c r="AK792">
        <v>4.5999999999999996</v>
      </c>
      <c r="AU792" s="3">
        <v>42527</v>
      </c>
      <c r="AV792" s="3">
        <v>42527</v>
      </c>
      <c r="AW792" t="s">
        <v>54</v>
      </c>
      <c r="AX792" t="str">
        <f t="shared" si="91"/>
        <v>FOR</v>
      </c>
      <c r="AY792" t="s">
        <v>55</v>
      </c>
    </row>
    <row r="793" spans="1:51">
      <c r="A793">
        <v>100695</v>
      </c>
      <c r="B793" t="s">
        <v>144</v>
      </c>
      <c r="C793" t="str">
        <f t="shared" si="92"/>
        <v>00721920155</v>
      </c>
      <c r="D793" t="str">
        <f t="shared" si="92"/>
        <v>00721920155</v>
      </c>
      <c r="E793" t="s">
        <v>52</v>
      </c>
      <c r="F793">
        <v>2015</v>
      </c>
      <c r="G793" t="str">
        <f>"          5840107013"</f>
        <v xml:space="preserve">          5840107013</v>
      </c>
      <c r="H793" s="3">
        <v>42159</v>
      </c>
      <c r="I793" s="3">
        <v>42164</v>
      </c>
      <c r="J793" s="3">
        <v>42163</v>
      </c>
      <c r="K793" s="3">
        <v>42223</v>
      </c>
      <c r="L793" s="1">
        <v>115</v>
      </c>
      <c r="M793">
        <v>304</v>
      </c>
      <c r="N793" s="5">
        <v>34960</v>
      </c>
      <c r="O793">
        <v>115</v>
      </c>
      <c r="P793">
        <v>304</v>
      </c>
      <c r="Q793" s="4">
        <v>34960</v>
      </c>
      <c r="R793">
        <v>4.5999999999999996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 s="3">
        <v>42562</v>
      </c>
      <c r="AC793" t="s">
        <v>53</v>
      </c>
      <c r="AD793" t="s">
        <v>53</v>
      </c>
      <c r="AK793">
        <v>4.5999999999999996</v>
      </c>
      <c r="AU793" s="3">
        <v>42527</v>
      </c>
      <c r="AV793" s="3">
        <v>42527</v>
      </c>
      <c r="AW793" t="s">
        <v>54</v>
      </c>
      <c r="AX793" t="str">
        <f t="shared" si="91"/>
        <v>FOR</v>
      </c>
      <c r="AY793" t="s">
        <v>55</v>
      </c>
    </row>
    <row r="794" spans="1:51">
      <c r="A794">
        <v>100695</v>
      </c>
      <c r="B794" t="s">
        <v>144</v>
      </c>
      <c r="C794" t="str">
        <f t="shared" si="92"/>
        <v>00721920155</v>
      </c>
      <c r="D794" t="str">
        <f t="shared" si="92"/>
        <v>00721920155</v>
      </c>
      <c r="E794" t="s">
        <v>52</v>
      </c>
      <c r="F794">
        <v>2015</v>
      </c>
      <c r="G794" t="str">
        <f>"          5840107014"</f>
        <v xml:space="preserve">          5840107014</v>
      </c>
      <c r="H794" s="3">
        <v>42159</v>
      </c>
      <c r="I794" s="3">
        <v>42164</v>
      </c>
      <c r="J794" s="3">
        <v>42163</v>
      </c>
      <c r="K794" s="3">
        <v>42223</v>
      </c>
      <c r="L794" s="1">
        <v>115</v>
      </c>
      <c r="M794">
        <v>304</v>
      </c>
      <c r="N794" s="5">
        <v>34960</v>
      </c>
      <c r="O794">
        <v>115</v>
      </c>
      <c r="P794">
        <v>304</v>
      </c>
      <c r="Q794" s="4">
        <v>34960</v>
      </c>
      <c r="R794">
        <v>4.5999999999999996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 s="3">
        <v>42562</v>
      </c>
      <c r="AC794" t="s">
        <v>53</v>
      </c>
      <c r="AD794" t="s">
        <v>53</v>
      </c>
      <c r="AK794">
        <v>4.5999999999999996</v>
      </c>
      <c r="AU794" s="3">
        <v>42527</v>
      </c>
      <c r="AV794" s="3">
        <v>42527</v>
      </c>
      <c r="AW794" t="s">
        <v>54</v>
      </c>
      <c r="AX794" t="str">
        <f t="shared" si="91"/>
        <v>FOR</v>
      </c>
      <c r="AY794" t="s">
        <v>55</v>
      </c>
    </row>
    <row r="795" spans="1:51">
      <c r="A795">
        <v>100695</v>
      </c>
      <c r="B795" t="s">
        <v>144</v>
      </c>
      <c r="C795" t="str">
        <f t="shared" si="92"/>
        <v>00721920155</v>
      </c>
      <c r="D795" t="str">
        <f t="shared" si="92"/>
        <v>00721920155</v>
      </c>
      <c r="E795" t="s">
        <v>52</v>
      </c>
      <c r="F795">
        <v>2015</v>
      </c>
      <c r="G795" t="str">
        <f>"          5840107016"</f>
        <v xml:space="preserve">          5840107016</v>
      </c>
      <c r="H795" s="3">
        <v>42159</v>
      </c>
      <c r="I795" s="3">
        <v>42164</v>
      </c>
      <c r="J795" s="3">
        <v>42163</v>
      </c>
      <c r="K795" s="3">
        <v>42223</v>
      </c>
      <c r="L795" s="1">
        <v>115</v>
      </c>
      <c r="M795">
        <v>304</v>
      </c>
      <c r="N795" s="5">
        <v>34960</v>
      </c>
      <c r="O795">
        <v>115</v>
      </c>
      <c r="P795">
        <v>304</v>
      </c>
      <c r="Q795" s="4">
        <v>34960</v>
      </c>
      <c r="R795">
        <v>4.5999999999999996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0</v>
      </c>
      <c r="AB795" s="3">
        <v>42562</v>
      </c>
      <c r="AC795" t="s">
        <v>53</v>
      </c>
      <c r="AD795" t="s">
        <v>53</v>
      </c>
      <c r="AK795">
        <v>4.5999999999999996</v>
      </c>
      <c r="AU795" s="3">
        <v>42527</v>
      </c>
      <c r="AV795" s="3">
        <v>42527</v>
      </c>
      <c r="AW795" t="s">
        <v>54</v>
      </c>
      <c r="AX795" t="str">
        <f t="shared" si="91"/>
        <v>FOR</v>
      </c>
      <c r="AY795" t="s">
        <v>55</v>
      </c>
    </row>
    <row r="796" spans="1:51">
      <c r="A796">
        <v>100695</v>
      </c>
      <c r="B796" t="s">
        <v>144</v>
      </c>
      <c r="C796" t="str">
        <f t="shared" si="92"/>
        <v>00721920155</v>
      </c>
      <c r="D796" t="str">
        <f t="shared" si="92"/>
        <v>00721920155</v>
      </c>
      <c r="E796" t="s">
        <v>52</v>
      </c>
      <c r="F796">
        <v>2015</v>
      </c>
      <c r="G796" t="str">
        <f>"          5840107017"</f>
        <v xml:space="preserve">          5840107017</v>
      </c>
      <c r="H796" s="3">
        <v>42159</v>
      </c>
      <c r="I796" s="3">
        <v>42164</v>
      </c>
      <c r="J796" s="3">
        <v>42163</v>
      </c>
      <c r="K796" s="3">
        <v>42223</v>
      </c>
      <c r="L796" s="1">
        <v>115</v>
      </c>
      <c r="M796">
        <v>304</v>
      </c>
      <c r="N796" s="5">
        <v>34960</v>
      </c>
      <c r="O796">
        <v>115</v>
      </c>
      <c r="P796">
        <v>304</v>
      </c>
      <c r="Q796" s="4">
        <v>34960</v>
      </c>
      <c r="R796">
        <v>4.5999999999999996</v>
      </c>
      <c r="V796">
        <v>0</v>
      </c>
      <c r="W796">
        <v>0</v>
      </c>
      <c r="X796">
        <v>0</v>
      </c>
      <c r="Y796">
        <v>0</v>
      </c>
      <c r="Z796">
        <v>0</v>
      </c>
      <c r="AA796">
        <v>0</v>
      </c>
      <c r="AB796" s="3">
        <v>42562</v>
      </c>
      <c r="AC796" t="s">
        <v>53</v>
      </c>
      <c r="AD796" t="s">
        <v>53</v>
      </c>
      <c r="AK796">
        <v>4.5999999999999996</v>
      </c>
      <c r="AU796" s="3">
        <v>42527</v>
      </c>
      <c r="AV796" s="3">
        <v>42527</v>
      </c>
      <c r="AW796" t="s">
        <v>54</v>
      </c>
      <c r="AX796" t="str">
        <f t="shared" si="91"/>
        <v>FOR</v>
      </c>
      <c r="AY796" t="s">
        <v>55</v>
      </c>
    </row>
    <row r="797" spans="1:51">
      <c r="A797">
        <v>100695</v>
      </c>
      <c r="B797" t="s">
        <v>144</v>
      </c>
      <c r="C797" t="str">
        <f t="shared" si="92"/>
        <v>00721920155</v>
      </c>
      <c r="D797" t="str">
        <f t="shared" si="92"/>
        <v>00721920155</v>
      </c>
      <c r="E797" t="s">
        <v>52</v>
      </c>
      <c r="F797">
        <v>2015</v>
      </c>
      <c r="G797" t="str">
        <f>"          5840107018"</f>
        <v xml:space="preserve">          5840107018</v>
      </c>
      <c r="H797" s="3">
        <v>42159</v>
      </c>
      <c r="I797" s="3">
        <v>42164</v>
      </c>
      <c r="J797" s="3">
        <v>42163</v>
      </c>
      <c r="K797" s="3">
        <v>42223</v>
      </c>
      <c r="L797" s="1">
        <v>115</v>
      </c>
      <c r="M797">
        <v>304</v>
      </c>
      <c r="N797" s="5">
        <v>34960</v>
      </c>
      <c r="O797">
        <v>115</v>
      </c>
      <c r="P797">
        <v>304</v>
      </c>
      <c r="Q797" s="4">
        <v>34960</v>
      </c>
      <c r="R797">
        <v>4.5999999999999996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 s="3">
        <v>42562</v>
      </c>
      <c r="AC797" t="s">
        <v>53</v>
      </c>
      <c r="AD797" t="s">
        <v>53</v>
      </c>
      <c r="AK797">
        <v>4.5999999999999996</v>
      </c>
      <c r="AU797" s="3">
        <v>42527</v>
      </c>
      <c r="AV797" s="3">
        <v>42527</v>
      </c>
      <c r="AW797" t="s">
        <v>54</v>
      </c>
      <c r="AX797" t="str">
        <f t="shared" si="91"/>
        <v>FOR</v>
      </c>
      <c r="AY797" t="s">
        <v>55</v>
      </c>
    </row>
    <row r="798" spans="1:51">
      <c r="A798">
        <v>100695</v>
      </c>
      <c r="B798" t="s">
        <v>144</v>
      </c>
      <c r="C798" t="str">
        <f t="shared" si="92"/>
        <v>00721920155</v>
      </c>
      <c r="D798" t="str">
        <f t="shared" si="92"/>
        <v>00721920155</v>
      </c>
      <c r="E798" t="s">
        <v>52</v>
      </c>
      <c r="F798">
        <v>2015</v>
      </c>
      <c r="G798" t="str">
        <f>"          5840107291"</f>
        <v xml:space="preserve">          5840107291</v>
      </c>
      <c r="H798" s="3">
        <v>42167</v>
      </c>
      <c r="I798" s="3">
        <v>42171</v>
      </c>
      <c r="J798" s="3">
        <v>42170</v>
      </c>
      <c r="K798" s="3">
        <v>42230</v>
      </c>
      <c r="L798" s="1">
        <v>115</v>
      </c>
      <c r="M798">
        <v>297</v>
      </c>
      <c r="N798" s="5">
        <v>34155</v>
      </c>
      <c r="O798">
        <v>115</v>
      </c>
      <c r="P798">
        <v>297</v>
      </c>
      <c r="Q798" s="4">
        <v>34155</v>
      </c>
      <c r="R798">
        <v>4.5999999999999996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 s="3">
        <v>42562</v>
      </c>
      <c r="AC798" t="s">
        <v>53</v>
      </c>
      <c r="AD798" t="s">
        <v>53</v>
      </c>
      <c r="AK798">
        <v>4.5999999999999996</v>
      </c>
      <c r="AU798" s="3">
        <v>42527</v>
      </c>
      <c r="AV798" s="3">
        <v>42527</v>
      </c>
      <c r="AW798" t="s">
        <v>54</v>
      </c>
      <c r="AX798" t="str">
        <f t="shared" ref="AX798:AX829" si="93">"FOR"</f>
        <v>FOR</v>
      </c>
      <c r="AY798" t="s">
        <v>55</v>
      </c>
    </row>
    <row r="799" spans="1:51">
      <c r="A799">
        <v>100695</v>
      </c>
      <c r="B799" t="s">
        <v>144</v>
      </c>
      <c r="C799" t="str">
        <f t="shared" si="92"/>
        <v>00721920155</v>
      </c>
      <c r="D799" t="str">
        <f t="shared" si="92"/>
        <v>00721920155</v>
      </c>
      <c r="E799" t="s">
        <v>52</v>
      </c>
      <c r="F799">
        <v>2015</v>
      </c>
      <c r="G799" t="str">
        <f>"          5840107293"</f>
        <v xml:space="preserve">          5840107293</v>
      </c>
      <c r="H799" s="3">
        <v>42167</v>
      </c>
      <c r="I799" s="3">
        <v>42171</v>
      </c>
      <c r="J799" s="3">
        <v>42170</v>
      </c>
      <c r="K799" s="3">
        <v>42230</v>
      </c>
      <c r="L799" s="1">
        <v>115</v>
      </c>
      <c r="M799">
        <v>297</v>
      </c>
      <c r="N799" s="5">
        <v>34155</v>
      </c>
      <c r="O799">
        <v>115</v>
      </c>
      <c r="P799">
        <v>297</v>
      </c>
      <c r="Q799" s="4">
        <v>34155</v>
      </c>
      <c r="R799">
        <v>4.5999999999999996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0</v>
      </c>
      <c r="AB799" s="3">
        <v>42562</v>
      </c>
      <c r="AC799" t="s">
        <v>53</v>
      </c>
      <c r="AD799" t="s">
        <v>53</v>
      </c>
      <c r="AK799">
        <v>4.5999999999999996</v>
      </c>
      <c r="AU799" s="3">
        <v>42527</v>
      </c>
      <c r="AV799" s="3">
        <v>42527</v>
      </c>
      <c r="AW799" t="s">
        <v>54</v>
      </c>
      <c r="AX799" t="str">
        <f t="shared" si="93"/>
        <v>FOR</v>
      </c>
      <c r="AY799" t="s">
        <v>55</v>
      </c>
    </row>
    <row r="800" spans="1:51">
      <c r="A800">
        <v>100695</v>
      </c>
      <c r="B800" t="s">
        <v>144</v>
      </c>
      <c r="C800" t="str">
        <f t="shared" si="92"/>
        <v>00721920155</v>
      </c>
      <c r="D800" t="str">
        <f t="shared" si="92"/>
        <v>00721920155</v>
      </c>
      <c r="E800" t="s">
        <v>52</v>
      </c>
      <c r="F800">
        <v>2015</v>
      </c>
      <c r="G800" t="str">
        <f>"          5840107294"</f>
        <v xml:space="preserve">          5840107294</v>
      </c>
      <c r="H800" s="3">
        <v>42167</v>
      </c>
      <c r="I800" s="3">
        <v>42171</v>
      </c>
      <c r="J800" s="3">
        <v>42170</v>
      </c>
      <c r="K800" s="3">
        <v>42230</v>
      </c>
      <c r="L800" s="1">
        <v>115</v>
      </c>
      <c r="M800">
        <v>297</v>
      </c>
      <c r="N800" s="5">
        <v>34155</v>
      </c>
      <c r="O800">
        <v>115</v>
      </c>
      <c r="P800">
        <v>297</v>
      </c>
      <c r="Q800" s="4">
        <v>34155</v>
      </c>
      <c r="R800">
        <v>4.5999999999999996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 s="3">
        <v>42562</v>
      </c>
      <c r="AC800" t="s">
        <v>53</v>
      </c>
      <c r="AD800" t="s">
        <v>53</v>
      </c>
      <c r="AK800">
        <v>4.5999999999999996</v>
      </c>
      <c r="AU800" s="3">
        <v>42527</v>
      </c>
      <c r="AV800" s="3">
        <v>42527</v>
      </c>
      <c r="AW800" t="s">
        <v>54</v>
      </c>
      <c r="AX800" t="str">
        <f t="shared" si="93"/>
        <v>FOR</v>
      </c>
      <c r="AY800" t="s">
        <v>55</v>
      </c>
    </row>
    <row r="801" spans="1:51">
      <c r="A801">
        <v>100695</v>
      </c>
      <c r="B801" t="s">
        <v>144</v>
      </c>
      <c r="C801" t="str">
        <f t="shared" si="92"/>
        <v>00721920155</v>
      </c>
      <c r="D801" t="str">
        <f t="shared" si="92"/>
        <v>00721920155</v>
      </c>
      <c r="E801" t="s">
        <v>52</v>
      </c>
      <c r="F801">
        <v>2015</v>
      </c>
      <c r="G801" t="str">
        <f>"          5840107509"</f>
        <v xml:space="preserve">          5840107509</v>
      </c>
      <c r="H801" s="3">
        <v>42172</v>
      </c>
      <c r="I801" s="3">
        <v>42174</v>
      </c>
      <c r="J801" s="3">
        <v>42173</v>
      </c>
      <c r="K801" s="3">
        <v>42233</v>
      </c>
      <c r="L801" s="1">
        <v>115</v>
      </c>
      <c r="M801">
        <v>294</v>
      </c>
      <c r="N801" s="5">
        <v>33810</v>
      </c>
      <c r="O801">
        <v>115</v>
      </c>
      <c r="P801">
        <v>294</v>
      </c>
      <c r="Q801" s="4">
        <v>33810</v>
      </c>
      <c r="R801">
        <v>4.5999999999999996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 s="3">
        <v>42562</v>
      </c>
      <c r="AC801" t="s">
        <v>53</v>
      </c>
      <c r="AD801" t="s">
        <v>53</v>
      </c>
      <c r="AK801">
        <v>4.5999999999999996</v>
      </c>
      <c r="AU801" s="3">
        <v>42527</v>
      </c>
      <c r="AV801" s="3">
        <v>42527</v>
      </c>
      <c r="AW801" t="s">
        <v>54</v>
      </c>
      <c r="AX801" t="str">
        <f t="shared" si="93"/>
        <v>FOR</v>
      </c>
      <c r="AY801" t="s">
        <v>55</v>
      </c>
    </row>
    <row r="802" spans="1:51">
      <c r="A802">
        <v>100695</v>
      </c>
      <c r="B802" t="s">
        <v>144</v>
      </c>
      <c r="C802" t="str">
        <f t="shared" ref="C802:D818" si="94">"00721920155"</f>
        <v>00721920155</v>
      </c>
      <c r="D802" t="str">
        <f t="shared" si="94"/>
        <v>00721920155</v>
      </c>
      <c r="E802" t="s">
        <v>52</v>
      </c>
      <c r="F802">
        <v>2015</v>
      </c>
      <c r="G802" t="str">
        <f>"          5840107759"</f>
        <v xml:space="preserve">          5840107759</v>
      </c>
      <c r="H802" s="3">
        <v>42178</v>
      </c>
      <c r="I802" s="3">
        <v>42187</v>
      </c>
      <c r="J802" s="3">
        <v>42184</v>
      </c>
      <c r="K802" s="3">
        <v>42244</v>
      </c>
      <c r="L802" s="1">
        <v>115</v>
      </c>
      <c r="M802">
        <v>283</v>
      </c>
      <c r="N802" s="5">
        <v>32545</v>
      </c>
      <c r="O802">
        <v>115</v>
      </c>
      <c r="P802">
        <v>283</v>
      </c>
      <c r="Q802" s="4">
        <v>32545</v>
      </c>
      <c r="R802">
        <v>4.5999999999999996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 s="3">
        <v>42562</v>
      </c>
      <c r="AC802" t="s">
        <v>53</v>
      </c>
      <c r="AD802" t="s">
        <v>53</v>
      </c>
      <c r="AK802">
        <v>4.5999999999999996</v>
      </c>
      <c r="AU802" s="3">
        <v>42527</v>
      </c>
      <c r="AV802" s="3">
        <v>42527</v>
      </c>
      <c r="AW802" t="s">
        <v>54</v>
      </c>
      <c r="AX802" t="str">
        <f t="shared" si="93"/>
        <v>FOR</v>
      </c>
      <c r="AY802" t="s">
        <v>55</v>
      </c>
    </row>
    <row r="803" spans="1:51">
      <c r="A803">
        <v>100695</v>
      </c>
      <c r="B803" t="s">
        <v>144</v>
      </c>
      <c r="C803" t="str">
        <f t="shared" si="94"/>
        <v>00721920155</v>
      </c>
      <c r="D803" t="str">
        <f t="shared" si="94"/>
        <v>00721920155</v>
      </c>
      <c r="E803" t="s">
        <v>52</v>
      </c>
      <c r="F803">
        <v>2015</v>
      </c>
      <c r="G803" t="str">
        <f>"          5840107761"</f>
        <v xml:space="preserve">          5840107761</v>
      </c>
      <c r="H803" s="3">
        <v>42178</v>
      </c>
      <c r="I803" s="3">
        <v>42187</v>
      </c>
      <c r="J803" s="3">
        <v>42184</v>
      </c>
      <c r="K803" s="3">
        <v>42244</v>
      </c>
      <c r="L803" s="1">
        <v>115</v>
      </c>
      <c r="M803">
        <v>283</v>
      </c>
      <c r="N803" s="5">
        <v>32545</v>
      </c>
      <c r="O803">
        <v>115</v>
      </c>
      <c r="P803">
        <v>283</v>
      </c>
      <c r="Q803" s="4">
        <v>32545</v>
      </c>
      <c r="R803">
        <v>4.5999999999999996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 s="3">
        <v>42562</v>
      </c>
      <c r="AC803" t="s">
        <v>53</v>
      </c>
      <c r="AD803" t="s">
        <v>53</v>
      </c>
      <c r="AK803">
        <v>4.5999999999999996</v>
      </c>
      <c r="AU803" s="3">
        <v>42527</v>
      </c>
      <c r="AV803" s="3">
        <v>42527</v>
      </c>
      <c r="AW803" t="s">
        <v>54</v>
      </c>
      <c r="AX803" t="str">
        <f t="shared" si="93"/>
        <v>FOR</v>
      </c>
      <c r="AY803" t="s">
        <v>55</v>
      </c>
    </row>
    <row r="804" spans="1:51">
      <c r="A804">
        <v>100695</v>
      </c>
      <c r="B804" t="s">
        <v>144</v>
      </c>
      <c r="C804" t="str">
        <f t="shared" si="94"/>
        <v>00721920155</v>
      </c>
      <c r="D804" t="str">
        <f t="shared" si="94"/>
        <v>00721920155</v>
      </c>
      <c r="E804" t="s">
        <v>52</v>
      </c>
      <c r="F804">
        <v>2015</v>
      </c>
      <c r="G804" t="str">
        <f>"          5840107762"</f>
        <v xml:space="preserve">          5840107762</v>
      </c>
      <c r="H804" s="3">
        <v>42178</v>
      </c>
      <c r="I804" s="3">
        <v>42187</v>
      </c>
      <c r="J804" s="3">
        <v>42184</v>
      </c>
      <c r="K804" s="3">
        <v>42244</v>
      </c>
      <c r="L804" s="1">
        <v>115</v>
      </c>
      <c r="M804">
        <v>283</v>
      </c>
      <c r="N804" s="5">
        <v>32545</v>
      </c>
      <c r="O804">
        <v>115</v>
      </c>
      <c r="P804">
        <v>283</v>
      </c>
      <c r="Q804" s="4">
        <v>32545</v>
      </c>
      <c r="R804">
        <v>4.5999999999999996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 s="3">
        <v>42562</v>
      </c>
      <c r="AC804" t="s">
        <v>53</v>
      </c>
      <c r="AD804" t="s">
        <v>53</v>
      </c>
      <c r="AK804">
        <v>4.5999999999999996</v>
      </c>
      <c r="AU804" s="3">
        <v>42527</v>
      </c>
      <c r="AV804" s="3">
        <v>42527</v>
      </c>
      <c r="AW804" t="s">
        <v>54</v>
      </c>
      <c r="AX804" t="str">
        <f t="shared" si="93"/>
        <v>FOR</v>
      </c>
      <c r="AY804" t="s">
        <v>55</v>
      </c>
    </row>
    <row r="805" spans="1:51">
      <c r="A805">
        <v>100695</v>
      </c>
      <c r="B805" t="s">
        <v>144</v>
      </c>
      <c r="C805" t="str">
        <f t="shared" si="94"/>
        <v>00721920155</v>
      </c>
      <c r="D805" t="str">
        <f t="shared" si="94"/>
        <v>00721920155</v>
      </c>
      <c r="E805" t="s">
        <v>52</v>
      </c>
      <c r="F805">
        <v>2015</v>
      </c>
      <c r="G805" t="str">
        <f>"          5840107764"</f>
        <v xml:space="preserve">          5840107764</v>
      </c>
      <c r="H805" s="3">
        <v>42178</v>
      </c>
      <c r="I805" s="3">
        <v>42187</v>
      </c>
      <c r="J805" s="3">
        <v>42184</v>
      </c>
      <c r="K805" s="3">
        <v>42244</v>
      </c>
      <c r="L805" s="1">
        <v>115</v>
      </c>
      <c r="M805">
        <v>283</v>
      </c>
      <c r="N805" s="5">
        <v>32545</v>
      </c>
      <c r="O805">
        <v>115</v>
      </c>
      <c r="P805">
        <v>283</v>
      </c>
      <c r="Q805" s="4">
        <v>32545</v>
      </c>
      <c r="R805">
        <v>4.5999999999999996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 s="3">
        <v>42562</v>
      </c>
      <c r="AC805" t="s">
        <v>53</v>
      </c>
      <c r="AD805" t="s">
        <v>53</v>
      </c>
      <c r="AK805">
        <v>4.5999999999999996</v>
      </c>
      <c r="AU805" s="3">
        <v>42527</v>
      </c>
      <c r="AV805" s="3">
        <v>42527</v>
      </c>
      <c r="AW805" t="s">
        <v>54</v>
      </c>
      <c r="AX805" t="str">
        <f t="shared" si="93"/>
        <v>FOR</v>
      </c>
      <c r="AY805" t="s">
        <v>55</v>
      </c>
    </row>
    <row r="806" spans="1:51">
      <c r="A806">
        <v>100695</v>
      </c>
      <c r="B806" t="s">
        <v>144</v>
      </c>
      <c r="C806" t="str">
        <f t="shared" si="94"/>
        <v>00721920155</v>
      </c>
      <c r="D806" t="str">
        <f t="shared" si="94"/>
        <v>00721920155</v>
      </c>
      <c r="E806" t="s">
        <v>52</v>
      </c>
      <c r="F806">
        <v>2015</v>
      </c>
      <c r="G806" t="str">
        <f>"          5840107765"</f>
        <v xml:space="preserve">          5840107765</v>
      </c>
      <c r="H806" s="3">
        <v>42178</v>
      </c>
      <c r="I806" s="3">
        <v>42187</v>
      </c>
      <c r="J806" s="3">
        <v>42184</v>
      </c>
      <c r="K806" s="3">
        <v>42244</v>
      </c>
      <c r="L806" s="1">
        <v>115</v>
      </c>
      <c r="M806">
        <v>283</v>
      </c>
      <c r="N806" s="5">
        <v>32545</v>
      </c>
      <c r="O806">
        <v>115</v>
      </c>
      <c r="P806">
        <v>283</v>
      </c>
      <c r="Q806" s="4">
        <v>32545</v>
      </c>
      <c r="R806">
        <v>4.5999999999999996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0</v>
      </c>
      <c r="AB806" s="3">
        <v>42562</v>
      </c>
      <c r="AC806" t="s">
        <v>53</v>
      </c>
      <c r="AD806" t="s">
        <v>53</v>
      </c>
      <c r="AK806">
        <v>4.5999999999999996</v>
      </c>
      <c r="AU806" s="3">
        <v>42527</v>
      </c>
      <c r="AV806" s="3">
        <v>42527</v>
      </c>
      <c r="AW806" t="s">
        <v>54</v>
      </c>
      <c r="AX806" t="str">
        <f t="shared" si="93"/>
        <v>FOR</v>
      </c>
      <c r="AY806" t="s">
        <v>55</v>
      </c>
    </row>
    <row r="807" spans="1:51">
      <c r="A807">
        <v>100695</v>
      </c>
      <c r="B807" t="s">
        <v>144</v>
      </c>
      <c r="C807" t="str">
        <f t="shared" si="94"/>
        <v>00721920155</v>
      </c>
      <c r="D807" t="str">
        <f t="shared" si="94"/>
        <v>00721920155</v>
      </c>
      <c r="E807" t="s">
        <v>52</v>
      </c>
      <c r="F807">
        <v>2015</v>
      </c>
      <c r="G807" t="str">
        <f>"          5840107772"</f>
        <v xml:space="preserve">          5840107772</v>
      </c>
      <c r="H807" s="3">
        <v>42178</v>
      </c>
      <c r="I807" s="3">
        <v>42187</v>
      </c>
      <c r="J807" s="3">
        <v>42184</v>
      </c>
      <c r="K807" s="3">
        <v>42244</v>
      </c>
      <c r="L807" s="1">
        <v>115</v>
      </c>
      <c r="M807">
        <v>283</v>
      </c>
      <c r="N807" s="5">
        <v>32545</v>
      </c>
      <c r="O807">
        <v>115</v>
      </c>
      <c r="P807">
        <v>283</v>
      </c>
      <c r="Q807" s="4">
        <v>32545</v>
      </c>
      <c r="R807">
        <v>4.5999999999999996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 s="3">
        <v>42562</v>
      </c>
      <c r="AC807" t="s">
        <v>53</v>
      </c>
      <c r="AD807" t="s">
        <v>53</v>
      </c>
      <c r="AK807">
        <v>4.5999999999999996</v>
      </c>
      <c r="AU807" s="3">
        <v>42527</v>
      </c>
      <c r="AV807" s="3">
        <v>42527</v>
      </c>
      <c r="AW807" t="s">
        <v>54</v>
      </c>
      <c r="AX807" t="str">
        <f t="shared" si="93"/>
        <v>FOR</v>
      </c>
      <c r="AY807" t="s">
        <v>55</v>
      </c>
    </row>
    <row r="808" spans="1:51">
      <c r="A808">
        <v>100695</v>
      </c>
      <c r="B808" t="s">
        <v>144</v>
      </c>
      <c r="C808" t="str">
        <f t="shared" si="94"/>
        <v>00721920155</v>
      </c>
      <c r="D808" t="str">
        <f t="shared" si="94"/>
        <v>00721920155</v>
      </c>
      <c r="E808" t="s">
        <v>52</v>
      </c>
      <c r="F808">
        <v>2015</v>
      </c>
      <c r="G808" t="str">
        <f>"          5840107773"</f>
        <v xml:space="preserve">          5840107773</v>
      </c>
      <c r="H808" s="3">
        <v>42178</v>
      </c>
      <c r="I808" s="3">
        <v>42191</v>
      </c>
      <c r="J808" s="3">
        <v>42184</v>
      </c>
      <c r="K808" s="3">
        <v>42244</v>
      </c>
      <c r="L808" s="1">
        <v>115</v>
      </c>
      <c r="M808">
        <v>283</v>
      </c>
      <c r="N808" s="5">
        <v>32545</v>
      </c>
      <c r="O808">
        <v>115</v>
      </c>
      <c r="P808">
        <v>283</v>
      </c>
      <c r="Q808" s="4">
        <v>32545</v>
      </c>
      <c r="R808">
        <v>4.5999999999999996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 s="3">
        <v>42562</v>
      </c>
      <c r="AC808" t="s">
        <v>53</v>
      </c>
      <c r="AD808" t="s">
        <v>53</v>
      </c>
      <c r="AK808">
        <v>4.5999999999999996</v>
      </c>
      <c r="AU808" s="3">
        <v>42527</v>
      </c>
      <c r="AV808" s="3">
        <v>42527</v>
      </c>
      <c r="AW808" t="s">
        <v>54</v>
      </c>
      <c r="AX808" t="str">
        <f t="shared" si="93"/>
        <v>FOR</v>
      </c>
      <c r="AY808" t="s">
        <v>55</v>
      </c>
    </row>
    <row r="809" spans="1:51">
      <c r="A809">
        <v>100695</v>
      </c>
      <c r="B809" t="s">
        <v>144</v>
      </c>
      <c r="C809" t="str">
        <f t="shared" si="94"/>
        <v>00721920155</v>
      </c>
      <c r="D809" t="str">
        <f t="shared" si="94"/>
        <v>00721920155</v>
      </c>
      <c r="E809" t="s">
        <v>52</v>
      </c>
      <c r="F809">
        <v>2015</v>
      </c>
      <c r="G809" t="str">
        <f>"          5840107775"</f>
        <v xml:space="preserve">          5840107775</v>
      </c>
      <c r="H809" s="3">
        <v>42178</v>
      </c>
      <c r="I809" s="3">
        <v>42191</v>
      </c>
      <c r="J809" s="3">
        <v>42184</v>
      </c>
      <c r="K809" s="3">
        <v>42244</v>
      </c>
      <c r="L809" s="1">
        <v>115</v>
      </c>
      <c r="M809">
        <v>283</v>
      </c>
      <c r="N809" s="5">
        <v>32545</v>
      </c>
      <c r="O809">
        <v>115</v>
      </c>
      <c r="P809">
        <v>283</v>
      </c>
      <c r="Q809" s="4">
        <v>32545</v>
      </c>
      <c r="R809">
        <v>4.5999999999999996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 s="3">
        <v>42562</v>
      </c>
      <c r="AC809" t="s">
        <v>53</v>
      </c>
      <c r="AD809" t="s">
        <v>53</v>
      </c>
      <c r="AK809">
        <v>4.5999999999999996</v>
      </c>
      <c r="AU809" s="3">
        <v>42527</v>
      </c>
      <c r="AV809" s="3">
        <v>42527</v>
      </c>
      <c r="AW809" t="s">
        <v>54</v>
      </c>
      <c r="AX809" t="str">
        <f t="shared" si="93"/>
        <v>FOR</v>
      </c>
      <c r="AY809" t="s">
        <v>55</v>
      </c>
    </row>
    <row r="810" spans="1:51">
      <c r="A810">
        <v>100695</v>
      </c>
      <c r="B810" t="s">
        <v>144</v>
      </c>
      <c r="C810" t="str">
        <f t="shared" si="94"/>
        <v>00721920155</v>
      </c>
      <c r="D810" t="str">
        <f t="shared" si="94"/>
        <v>00721920155</v>
      </c>
      <c r="E810" t="s">
        <v>52</v>
      </c>
      <c r="F810">
        <v>2015</v>
      </c>
      <c r="G810" t="str">
        <f>"          5840107777"</f>
        <v xml:space="preserve">          5840107777</v>
      </c>
      <c r="H810" s="3">
        <v>42178</v>
      </c>
      <c r="I810" s="3">
        <v>42191</v>
      </c>
      <c r="J810" s="3">
        <v>42184</v>
      </c>
      <c r="K810" s="3">
        <v>42244</v>
      </c>
      <c r="L810" s="1">
        <v>115</v>
      </c>
      <c r="M810">
        <v>283</v>
      </c>
      <c r="N810" s="5">
        <v>32545</v>
      </c>
      <c r="O810">
        <v>115</v>
      </c>
      <c r="P810">
        <v>283</v>
      </c>
      <c r="Q810" s="4">
        <v>32545</v>
      </c>
      <c r="R810">
        <v>4.5999999999999996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0</v>
      </c>
      <c r="AB810" s="3">
        <v>42562</v>
      </c>
      <c r="AC810" t="s">
        <v>53</v>
      </c>
      <c r="AD810" t="s">
        <v>53</v>
      </c>
      <c r="AK810">
        <v>4.5999999999999996</v>
      </c>
      <c r="AU810" s="3">
        <v>42527</v>
      </c>
      <c r="AV810" s="3">
        <v>42527</v>
      </c>
      <c r="AW810" t="s">
        <v>54</v>
      </c>
      <c r="AX810" t="str">
        <f t="shared" si="93"/>
        <v>FOR</v>
      </c>
      <c r="AY810" t="s">
        <v>55</v>
      </c>
    </row>
    <row r="811" spans="1:51">
      <c r="A811">
        <v>100695</v>
      </c>
      <c r="B811" t="s">
        <v>144</v>
      </c>
      <c r="C811" t="str">
        <f t="shared" si="94"/>
        <v>00721920155</v>
      </c>
      <c r="D811" t="str">
        <f t="shared" si="94"/>
        <v>00721920155</v>
      </c>
      <c r="E811" t="s">
        <v>52</v>
      </c>
      <c r="F811">
        <v>2015</v>
      </c>
      <c r="G811" t="str">
        <f>"          5840107779"</f>
        <v xml:space="preserve">          5840107779</v>
      </c>
      <c r="H811" s="3">
        <v>42178</v>
      </c>
      <c r="I811" s="3">
        <v>42187</v>
      </c>
      <c r="J811" s="3">
        <v>42184</v>
      </c>
      <c r="K811" s="3">
        <v>42244</v>
      </c>
      <c r="L811" s="1">
        <v>115</v>
      </c>
      <c r="M811">
        <v>283</v>
      </c>
      <c r="N811" s="5">
        <v>32545</v>
      </c>
      <c r="O811">
        <v>115</v>
      </c>
      <c r="P811">
        <v>283</v>
      </c>
      <c r="Q811" s="4">
        <v>32545</v>
      </c>
      <c r="R811">
        <v>4.5999999999999996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0</v>
      </c>
      <c r="AB811" s="3">
        <v>42562</v>
      </c>
      <c r="AC811" t="s">
        <v>53</v>
      </c>
      <c r="AD811" t="s">
        <v>53</v>
      </c>
      <c r="AK811">
        <v>4.5999999999999996</v>
      </c>
      <c r="AU811" s="3">
        <v>42527</v>
      </c>
      <c r="AV811" s="3">
        <v>42527</v>
      </c>
      <c r="AW811" t="s">
        <v>54</v>
      </c>
      <c r="AX811" t="str">
        <f t="shared" si="93"/>
        <v>FOR</v>
      </c>
      <c r="AY811" t="s">
        <v>55</v>
      </c>
    </row>
    <row r="812" spans="1:51">
      <c r="A812">
        <v>100695</v>
      </c>
      <c r="B812" t="s">
        <v>144</v>
      </c>
      <c r="C812" t="str">
        <f t="shared" si="94"/>
        <v>00721920155</v>
      </c>
      <c r="D812" t="str">
        <f t="shared" si="94"/>
        <v>00721920155</v>
      </c>
      <c r="E812" t="s">
        <v>52</v>
      </c>
      <c r="F812">
        <v>2015</v>
      </c>
      <c r="G812" t="str">
        <f>"          5840107781"</f>
        <v xml:space="preserve">          5840107781</v>
      </c>
      <c r="H812" s="3">
        <v>42178</v>
      </c>
      <c r="I812" s="3">
        <v>42191</v>
      </c>
      <c r="J812" s="3">
        <v>42184</v>
      </c>
      <c r="K812" s="3">
        <v>42244</v>
      </c>
      <c r="L812" s="1">
        <v>115</v>
      </c>
      <c r="M812">
        <v>283</v>
      </c>
      <c r="N812" s="5">
        <v>32545</v>
      </c>
      <c r="O812">
        <v>115</v>
      </c>
      <c r="P812">
        <v>283</v>
      </c>
      <c r="Q812" s="4">
        <v>32545</v>
      </c>
      <c r="R812">
        <v>4.5999999999999996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0</v>
      </c>
      <c r="AB812" s="3">
        <v>42562</v>
      </c>
      <c r="AC812" t="s">
        <v>53</v>
      </c>
      <c r="AD812" t="s">
        <v>53</v>
      </c>
      <c r="AK812">
        <v>4.5999999999999996</v>
      </c>
      <c r="AU812" s="3">
        <v>42527</v>
      </c>
      <c r="AV812" s="3">
        <v>42527</v>
      </c>
      <c r="AW812" t="s">
        <v>54</v>
      </c>
      <c r="AX812" t="str">
        <f t="shared" si="93"/>
        <v>FOR</v>
      </c>
      <c r="AY812" t="s">
        <v>55</v>
      </c>
    </row>
    <row r="813" spans="1:51">
      <c r="A813">
        <v>100695</v>
      </c>
      <c r="B813" t="s">
        <v>144</v>
      </c>
      <c r="C813" t="str">
        <f t="shared" si="94"/>
        <v>00721920155</v>
      </c>
      <c r="D813" t="str">
        <f t="shared" si="94"/>
        <v>00721920155</v>
      </c>
      <c r="E813" t="s">
        <v>52</v>
      </c>
      <c r="F813">
        <v>2015</v>
      </c>
      <c r="G813" t="str">
        <f>"          5840107782"</f>
        <v xml:space="preserve">          5840107782</v>
      </c>
      <c r="H813" s="3">
        <v>42178</v>
      </c>
      <c r="I813" s="3">
        <v>42187</v>
      </c>
      <c r="J813" s="3">
        <v>42184</v>
      </c>
      <c r="K813" s="3">
        <v>42244</v>
      </c>
      <c r="L813" s="1">
        <v>115</v>
      </c>
      <c r="M813">
        <v>283</v>
      </c>
      <c r="N813" s="5">
        <v>32545</v>
      </c>
      <c r="O813">
        <v>115</v>
      </c>
      <c r="P813">
        <v>283</v>
      </c>
      <c r="Q813" s="4">
        <v>32545</v>
      </c>
      <c r="R813">
        <v>4.5999999999999996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0</v>
      </c>
      <c r="AB813" s="3">
        <v>42562</v>
      </c>
      <c r="AC813" t="s">
        <v>53</v>
      </c>
      <c r="AD813" t="s">
        <v>53</v>
      </c>
      <c r="AK813">
        <v>4.5999999999999996</v>
      </c>
      <c r="AU813" s="3">
        <v>42527</v>
      </c>
      <c r="AV813" s="3">
        <v>42527</v>
      </c>
      <c r="AW813" t="s">
        <v>54</v>
      </c>
      <c r="AX813" t="str">
        <f t="shared" si="93"/>
        <v>FOR</v>
      </c>
      <c r="AY813" t="s">
        <v>55</v>
      </c>
    </row>
    <row r="814" spans="1:51">
      <c r="A814">
        <v>100695</v>
      </c>
      <c r="B814" t="s">
        <v>144</v>
      </c>
      <c r="C814" t="str">
        <f t="shared" si="94"/>
        <v>00721920155</v>
      </c>
      <c r="D814" t="str">
        <f t="shared" si="94"/>
        <v>00721920155</v>
      </c>
      <c r="E814" t="s">
        <v>52</v>
      </c>
      <c r="F814">
        <v>2015</v>
      </c>
      <c r="G814" t="str">
        <f>"          5840107790"</f>
        <v xml:space="preserve">          5840107790</v>
      </c>
      <c r="H814" s="3">
        <v>42178</v>
      </c>
      <c r="I814" s="3">
        <v>42191</v>
      </c>
      <c r="J814" s="3">
        <v>42184</v>
      </c>
      <c r="K814" s="3">
        <v>42244</v>
      </c>
      <c r="L814" s="1">
        <v>115</v>
      </c>
      <c r="M814">
        <v>283</v>
      </c>
      <c r="N814" s="5">
        <v>32545</v>
      </c>
      <c r="O814">
        <v>115</v>
      </c>
      <c r="P814">
        <v>283</v>
      </c>
      <c r="Q814" s="4">
        <v>32545</v>
      </c>
      <c r="R814">
        <v>4.5999999999999996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 s="3">
        <v>42562</v>
      </c>
      <c r="AC814" t="s">
        <v>53</v>
      </c>
      <c r="AD814" t="s">
        <v>53</v>
      </c>
      <c r="AK814">
        <v>4.5999999999999996</v>
      </c>
      <c r="AU814" s="3">
        <v>42527</v>
      </c>
      <c r="AV814" s="3">
        <v>42527</v>
      </c>
      <c r="AW814" t="s">
        <v>54</v>
      </c>
      <c r="AX814" t="str">
        <f t="shared" si="93"/>
        <v>FOR</v>
      </c>
      <c r="AY814" t="s">
        <v>55</v>
      </c>
    </row>
    <row r="815" spans="1:51">
      <c r="A815">
        <v>100695</v>
      </c>
      <c r="B815" t="s">
        <v>144</v>
      </c>
      <c r="C815" t="str">
        <f t="shared" si="94"/>
        <v>00721920155</v>
      </c>
      <c r="D815" t="str">
        <f t="shared" si="94"/>
        <v>00721920155</v>
      </c>
      <c r="E815" t="s">
        <v>52</v>
      </c>
      <c r="F815">
        <v>2015</v>
      </c>
      <c r="G815" t="str">
        <f>"          5840107793"</f>
        <v xml:space="preserve">          5840107793</v>
      </c>
      <c r="H815" s="3">
        <v>42178</v>
      </c>
      <c r="I815" s="3">
        <v>42187</v>
      </c>
      <c r="J815" s="3">
        <v>42184</v>
      </c>
      <c r="K815" s="3">
        <v>42244</v>
      </c>
      <c r="L815" s="1">
        <v>115</v>
      </c>
      <c r="M815">
        <v>283</v>
      </c>
      <c r="N815" s="5">
        <v>32545</v>
      </c>
      <c r="O815">
        <v>115</v>
      </c>
      <c r="P815">
        <v>283</v>
      </c>
      <c r="Q815" s="4">
        <v>32545</v>
      </c>
      <c r="R815">
        <v>4.5999999999999996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0</v>
      </c>
      <c r="AB815" s="3">
        <v>42562</v>
      </c>
      <c r="AC815" t="s">
        <v>53</v>
      </c>
      <c r="AD815" t="s">
        <v>53</v>
      </c>
      <c r="AK815">
        <v>4.5999999999999996</v>
      </c>
      <c r="AU815" s="3">
        <v>42527</v>
      </c>
      <c r="AV815" s="3">
        <v>42527</v>
      </c>
      <c r="AW815" t="s">
        <v>54</v>
      </c>
      <c r="AX815" t="str">
        <f t="shared" si="93"/>
        <v>FOR</v>
      </c>
      <c r="AY815" t="s">
        <v>55</v>
      </c>
    </row>
    <row r="816" spans="1:51">
      <c r="A816">
        <v>100695</v>
      </c>
      <c r="B816" t="s">
        <v>144</v>
      </c>
      <c r="C816" t="str">
        <f t="shared" si="94"/>
        <v>00721920155</v>
      </c>
      <c r="D816" t="str">
        <f t="shared" si="94"/>
        <v>00721920155</v>
      </c>
      <c r="E816" t="s">
        <v>52</v>
      </c>
      <c r="F816">
        <v>2015</v>
      </c>
      <c r="G816" t="str">
        <f>"          5840107794"</f>
        <v xml:space="preserve">          5840107794</v>
      </c>
      <c r="H816" s="3">
        <v>42178</v>
      </c>
      <c r="I816" s="3">
        <v>42187</v>
      </c>
      <c r="J816" s="3">
        <v>42184</v>
      </c>
      <c r="K816" s="3">
        <v>42244</v>
      </c>
      <c r="L816" s="1">
        <v>115</v>
      </c>
      <c r="M816">
        <v>283</v>
      </c>
      <c r="N816" s="5">
        <v>32545</v>
      </c>
      <c r="O816">
        <v>115</v>
      </c>
      <c r="P816">
        <v>283</v>
      </c>
      <c r="Q816" s="4">
        <v>32545</v>
      </c>
      <c r="R816">
        <v>4.5999999999999996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0</v>
      </c>
      <c r="AB816" s="3">
        <v>42562</v>
      </c>
      <c r="AC816" t="s">
        <v>53</v>
      </c>
      <c r="AD816" t="s">
        <v>53</v>
      </c>
      <c r="AK816">
        <v>4.5999999999999996</v>
      </c>
      <c r="AU816" s="3">
        <v>42527</v>
      </c>
      <c r="AV816" s="3">
        <v>42527</v>
      </c>
      <c r="AW816" t="s">
        <v>54</v>
      </c>
      <c r="AX816" t="str">
        <f t="shared" si="93"/>
        <v>FOR</v>
      </c>
      <c r="AY816" t="s">
        <v>55</v>
      </c>
    </row>
    <row r="817" spans="1:51">
      <c r="A817">
        <v>100695</v>
      </c>
      <c r="B817" t="s">
        <v>144</v>
      </c>
      <c r="C817" t="str">
        <f t="shared" si="94"/>
        <v>00721920155</v>
      </c>
      <c r="D817" t="str">
        <f t="shared" si="94"/>
        <v>00721920155</v>
      </c>
      <c r="E817" t="s">
        <v>52</v>
      </c>
      <c r="F817">
        <v>2015</v>
      </c>
      <c r="G817" t="str">
        <f>"          5840107795"</f>
        <v xml:space="preserve">          5840107795</v>
      </c>
      <c r="H817" s="3">
        <v>42178</v>
      </c>
      <c r="I817" s="3">
        <v>42191</v>
      </c>
      <c r="J817" s="3">
        <v>42184</v>
      </c>
      <c r="K817" s="3">
        <v>42244</v>
      </c>
      <c r="L817" s="1">
        <v>115</v>
      </c>
      <c r="M817">
        <v>283</v>
      </c>
      <c r="N817" s="5">
        <v>32545</v>
      </c>
      <c r="O817">
        <v>115</v>
      </c>
      <c r="P817">
        <v>283</v>
      </c>
      <c r="Q817" s="4">
        <v>32545</v>
      </c>
      <c r="R817">
        <v>4.5999999999999996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 s="3">
        <v>42562</v>
      </c>
      <c r="AC817" t="s">
        <v>53</v>
      </c>
      <c r="AD817" t="s">
        <v>53</v>
      </c>
      <c r="AK817">
        <v>4.5999999999999996</v>
      </c>
      <c r="AU817" s="3">
        <v>42527</v>
      </c>
      <c r="AV817" s="3">
        <v>42527</v>
      </c>
      <c r="AW817" t="s">
        <v>54</v>
      </c>
      <c r="AX817" t="str">
        <f t="shared" si="93"/>
        <v>FOR</v>
      </c>
      <c r="AY817" t="s">
        <v>55</v>
      </c>
    </row>
    <row r="818" spans="1:51">
      <c r="A818">
        <v>100695</v>
      </c>
      <c r="B818" t="s">
        <v>144</v>
      </c>
      <c r="C818" t="str">
        <f t="shared" si="94"/>
        <v>00721920155</v>
      </c>
      <c r="D818" t="str">
        <f t="shared" si="94"/>
        <v>00721920155</v>
      </c>
      <c r="E818" t="s">
        <v>52</v>
      </c>
      <c r="F818">
        <v>2015</v>
      </c>
      <c r="G818" t="str">
        <f>"          5840107796"</f>
        <v xml:space="preserve">          5840107796</v>
      </c>
      <c r="H818" s="3">
        <v>42178</v>
      </c>
      <c r="I818" s="3">
        <v>42191</v>
      </c>
      <c r="J818" s="3">
        <v>42184</v>
      </c>
      <c r="K818" s="3">
        <v>42244</v>
      </c>
      <c r="L818" s="1">
        <v>115</v>
      </c>
      <c r="M818">
        <v>283</v>
      </c>
      <c r="N818" s="5">
        <v>32545</v>
      </c>
      <c r="O818">
        <v>115</v>
      </c>
      <c r="P818">
        <v>283</v>
      </c>
      <c r="Q818" s="4">
        <v>32545</v>
      </c>
      <c r="R818">
        <v>4.5999999999999996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 s="3">
        <v>42562</v>
      </c>
      <c r="AC818" t="s">
        <v>53</v>
      </c>
      <c r="AD818" t="s">
        <v>53</v>
      </c>
      <c r="AK818">
        <v>4.5999999999999996</v>
      </c>
      <c r="AU818" s="3">
        <v>42527</v>
      </c>
      <c r="AV818" s="3">
        <v>42527</v>
      </c>
      <c r="AW818" t="s">
        <v>54</v>
      </c>
      <c r="AX818" t="str">
        <f t="shared" si="93"/>
        <v>FOR</v>
      </c>
      <c r="AY818" t="s">
        <v>55</v>
      </c>
    </row>
    <row r="819" spans="1:51" hidden="1">
      <c r="A819">
        <v>100700</v>
      </c>
      <c r="B819" t="s">
        <v>145</v>
      </c>
      <c r="C819" t="str">
        <f t="shared" ref="C819:C850" si="95">"00766740625"</f>
        <v>00766740625</v>
      </c>
      <c r="D819" t="str">
        <f t="shared" ref="D819:D850" si="96">"STFGPP58D22A783F"</f>
        <v>STFGPP58D22A783F</v>
      </c>
      <c r="E819" t="s">
        <v>52</v>
      </c>
      <c r="F819">
        <v>2015</v>
      </c>
      <c r="G819" t="str">
        <f>"                  27"</f>
        <v xml:space="preserve">                  27</v>
      </c>
      <c r="H819" s="3">
        <v>42035</v>
      </c>
      <c r="I819" s="3">
        <v>42040</v>
      </c>
      <c r="J819" s="3">
        <v>42040</v>
      </c>
      <c r="K819" s="3">
        <v>42100</v>
      </c>
      <c r="L819"/>
      <c r="N819"/>
      <c r="O819">
        <v>591.36</v>
      </c>
      <c r="P819">
        <v>308</v>
      </c>
      <c r="Q819" s="4">
        <v>182138.88</v>
      </c>
      <c r="R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0</v>
      </c>
      <c r="AB819" s="3">
        <v>42562</v>
      </c>
      <c r="AC819" t="s">
        <v>53</v>
      </c>
      <c r="AD819" t="s">
        <v>53</v>
      </c>
      <c r="AK819">
        <v>0</v>
      </c>
      <c r="AU819" s="3">
        <v>42408</v>
      </c>
      <c r="AV819" s="3">
        <v>42408</v>
      </c>
      <c r="AW819" t="s">
        <v>54</v>
      </c>
      <c r="AX819" t="str">
        <f t="shared" si="93"/>
        <v>FOR</v>
      </c>
      <c r="AY819" t="s">
        <v>55</v>
      </c>
    </row>
    <row r="820" spans="1:51" hidden="1">
      <c r="A820">
        <v>100700</v>
      </c>
      <c r="B820" t="s">
        <v>145</v>
      </c>
      <c r="C820" t="str">
        <f t="shared" si="95"/>
        <v>00766740625</v>
      </c>
      <c r="D820" t="str">
        <f t="shared" si="96"/>
        <v>STFGPP58D22A783F</v>
      </c>
      <c r="E820" t="s">
        <v>52</v>
      </c>
      <c r="F820">
        <v>2015</v>
      </c>
      <c r="G820" t="str">
        <f>"                  28"</f>
        <v xml:space="preserve">                  28</v>
      </c>
      <c r="H820" s="3">
        <v>42037</v>
      </c>
      <c r="I820" s="3">
        <v>42040</v>
      </c>
      <c r="J820" s="3">
        <v>42040</v>
      </c>
      <c r="K820" s="3">
        <v>42100</v>
      </c>
      <c r="L820"/>
      <c r="N820"/>
      <c r="O820">
        <v>446.88</v>
      </c>
      <c r="P820">
        <v>308</v>
      </c>
      <c r="Q820" s="4">
        <v>137639.04000000001</v>
      </c>
      <c r="R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 s="3">
        <v>42562</v>
      </c>
      <c r="AC820" t="s">
        <v>53</v>
      </c>
      <c r="AD820" t="s">
        <v>53</v>
      </c>
      <c r="AK820">
        <v>0</v>
      </c>
      <c r="AU820" s="3">
        <v>42408</v>
      </c>
      <c r="AV820" s="3">
        <v>42408</v>
      </c>
      <c r="AW820" t="s">
        <v>54</v>
      </c>
      <c r="AX820" t="str">
        <f t="shared" si="93"/>
        <v>FOR</v>
      </c>
      <c r="AY820" t="s">
        <v>55</v>
      </c>
    </row>
    <row r="821" spans="1:51" hidden="1">
      <c r="A821">
        <v>100700</v>
      </c>
      <c r="B821" t="s">
        <v>145</v>
      </c>
      <c r="C821" t="str">
        <f t="shared" si="95"/>
        <v>00766740625</v>
      </c>
      <c r="D821" t="str">
        <f t="shared" si="96"/>
        <v>STFGPP58D22A783F</v>
      </c>
      <c r="E821" t="s">
        <v>52</v>
      </c>
      <c r="F821">
        <v>2015</v>
      </c>
      <c r="G821" t="str">
        <f>"                  29"</f>
        <v xml:space="preserve">                  29</v>
      </c>
      <c r="H821" s="3">
        <v>42037</v>
      </c>
      <c r="I821" s="3">
        <v>42040</v>
      </c>
      <c r="J821" s="3">
        <v>42040</v>
      </c>
      <c r="K821" s="3">
        <v>42100</v>
      </c>
      <c r="L821"/>
      <c r="N821"/>
      <c r="O821">
        <v>286.2</v>
      </c>
      <c r="P821">
        <v>308</v>
      </c>
      <c r="Q821" s="4">
        <v>88149.6</v>
      </c>
      <c r="R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 s="3">
        <v>42562</v>
      </c>
      <c r="AC821" t="s">
        <v>53</v>
      </c>
      <c r="AD821" t="s">
        <v>53</v>
      </c>
      <c r="AK821">
        <v>0</v>
      </c>
      <c r="AU821" s="3">
        <v>42408</v>
      </c>
      <c r="AV821" s="3">
        <v>42408</v>
      </c>
      <c r="AW821" t="s">
        <v>54</v>
      </c>
      <c r="AX821" t="str">
        <f t="shared" si="93"/>
        <v>FOR</v>
      </c>
      <c r="AY821" t="s">
        <v>55</v>
      </c>
    </row>
    <row r="822" spans="1:51" hidden="1">
      <c r="A822">
        <v>100700</v>
      </c>
      <c r="B822" t="s">
        <v>145</v>
      </c>
      <c r="C822" t="str">
        <f t="shared" si="95"/>
        <v>00766740625</v>
      </c>
      <c r="D822" t="str">
        <f t="shared" si="96"/>
        <v>STFGPP58D22A783F</v>
      </c>
      <c r="E822" t="s">
        <v>52</v>
      </c>
      <c r="F822">
        <v>2015</v>
      </c>
      <c r="G822" t="str">
        <f>"                  54"</f>
        <v xml:space="preserve">                  54</v>
      </c>
      <c r="H822" s="3">
        <v>42058</v>
      </c>
      <c r="I822" s="3">
        <v>42059</v>
      </c>
      <c r="J822" s="3">
        <v>42059</v>
      </c>
      <c r="K822" s="3">
        <v>42119</v>
      </c>
      <c r="L822"/>
      <c r="N822"/>
      <c r="O822">
        <v>332.64</v>
      </c>
      <c r="P822">
        <v>289</v>
      </c>
      <c r="Q822" s="4">
        <v>96132.96</v>
      </c>
      <c r="R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 s="3">
        <v>42562</v>
      </c>
      <c r="AC822" t="s">
        <v>53</v>
      </c>
      <c r="AD822" t="s">
        <v>53</v>
      </c>
      <c r="AK822">
        <v>0</v>
      </c>
      <c r="AU822" s="3">
        <v>42408</v>
      </c>
      <c r="AV822" s="3">
        <v>42408</v>
      </c>
      <c r="AW822" t="s">
        <v>54</v>
      </c>
      <c r="AX822" t="str">
        <f t="shared" si="93"/>
        <v>FOR</v>
      </c>
      <c r="AY822" t="s">
        <v>55</v>
      </c>
    </row>
    <row r="823" spans="1:51" hidden="1">
      <c r="A823">
        <v>100700</v>
      </c>
      <c r="B823" t="s">
        <v>145</v>
      </c>
      <c r="C823" t="str">
        <f t="shared" si="95"/>
        <v>00766740625</v>
      </c>
      <c r="D823" t="str">
        <f t="shared" si="96"/>
        <v>STFGPP58D22A783F</v>
      </c>
      <c r="E823" t="s">
        <v>52</v>
      </c>
      <c r="F823">
        <v>2015</v>
      </c>
      <c r="G823" t="str">
        <f>"                  65"</f>
        <v xml:space="preserve">                  65</v>
      </c>
      <c r="H823" s="3">
        <v>42062</v>
      </c>
      <c r="I823" s="3">
        <v>42067</v>
      </c>
      <c r="J823" s="3">
        <v>42067</v>
      </c>
      <c r="K823" s="3">
        <v>42127</v>
      </c>
      <c r="L823"/>
      <c r="N823"/>
      <c r="O823">
        <v>112</v>
      </c>
      <c r="P823">
        <v>281</v>
      </c>
      <c r="Q823" s="4">
        <v>31472</v>
      </c>
      <c r="R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0</v>
      </c>
      <c r="AB823" s="3">
        <v>42562</v>
      </c>
      <c r="AC823" t="s">
        <v>53</v>
      </c>
      <c r="AD823" t="s">
        <v>53</v>
      </c>
      <c r="AK823">
        <v>0</v>
      </c>
      <c r="AU823" s="3">
        <v>42408</v>
      </c>
      <c r="AV823" s="3">
        <v>42408</v>
      </c>
      <c r="AW823" t="s">
        <v>54</v>
      </c>
      <c r="AX823" t="str">
        <f t="shared" si="93"/>
        <v>FOR</v>
      </c>
      <c r="AY823" t="s">
        <v>55</v>
      </c>
    </row>
    <row r="824" spans="1:51" hidden="1">
      <c r="A824">
        <v>100700</v>
      </c>
      <c r="B824" t="s">
        <v>145</v>
      </c>
      <c r="C824" t="str">
        <f t="shared" si="95"/>
        <v>00766740625</v>
      </c>
      <c r="D824" t="str">
        <f t="shared" si="96"/>
        <v>STFGPP58D22A783F</v>
      </c>
      <c r="E824" t="s">
        <v>52</v>
      </c>
      <c r="F824">
        <v>2015</v>
      </c>
      <c r="G824" t="str">
        <f>"                  66"</f>
        <v xml:space="preserve">                  66</v>
      </c>
      <c r="H824" s="3">
        <v>42062</v>
      </c>
      <c r="I824" s="3">
        <v>42067</v>
      </c>
      <c r="J824" s="3">
        <v>42067</v>
      </c>
      <c r="K824" s="3">
        <v>42127</v>
      </c>
      <c r="L824"/>
      <c r="N824"/>
      <c r="O824">
        <v>286.2</v>
      </c>
      <c r="P824">
        <v>281</v>
      </c>
      <c r="Q824" s="4">
        <v>80422.2</v>
      </c>
      <c r="R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 s="3">
        <v>42562</v>
      </c>
      <c r="AC824" t="s">
        <v>53</v>
      </c>
      <c r="AD824" t="s">
        <v>53</v>
      </c>
      <c r="AK824">
        <v>0</v>
      </c>
      <c r="AU824" s="3">
        <v>42408</v>
      </c>
      <c r="AV824" s="3">
        <v>42408</v>
      </c>
      <c r="AW824" t="s">
        <v>54</v>
      </c>
      <c r="AX824" t="str">
        <f t="shared" si="93"/>
        <v>FOR</v>
      </c>
      <c r="AY824" t="s">
        <v>55</v>
      </c>
    </row>
    <row r="825" spans="1:51" hidden="1">
      <c r="A825">
        <v>100700</v>
      </c>
      <c r="B825" t="s">
        <v>145</v>
      </c>
      <c r="C825" t="str">
        <f t="shared" si="95"/>
        <v>00766740625</v>
      </c>
      <c r="D825" t="str">
        <f t="shared" si="96"/>
        <v>STFGPP58D22A783F</v>
      </c>
      <c r="E825" t="s">
        <v>52</v>
      </c>
      <c r="F825">
        <v>2015</v>
      </c>
      <c r="G825" t="str">
        <f>"                  67"</f>
        <v xml:space="preserve">                  67</v>
      </c>
      <c r="H825" s="3">
        <v>42062</v>
      </c>
      <c r="I825" s="3">
        <v>42067</v>
      </c>
      <c r="J825" s="3">
        <v>42067</v>
      </c>
      <c r="K825" s="3">
        <v>42127</v>
      </c>
      <c r="L825"/>
      <c r="N825"/>
      <c r="O825">
        <v>444.32</v>
      </c>
      <c r="P825">
        <v>281</v>
      </c>
      <c r="Q825" s="4">
        <v>124853.92</v>
      </c>
      <c r="R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0</v>
      </c>
      <c r="AB825" s="3">
        <v>42562</v>
      </c>
      <c r="AC825" t="s">
        <v>53</v>
      </c>
      <c r="AD825" t="s">
        <v>53</v>
      </c>
      <c r="AK825">
        <v>0</v>
      </c>
      <c r="AU825" s="3">
        <v>42408</v>
      </c>
      <c r="AV825" s="3">
        <v>42408</v>
      </c>
      <c r="AW825" t="s">
        <v>54</v>
      </c>
      <c r="AX825" t="str">
        <f t="shared" si="93"/>
        <v>FOR</v>
      </c>
      <c r="AY825" t="s">
        <v>55</v>
      </c>
    </row>
    <row r="826" spans="1:51" hidden="1">
      <c r="A826">
        <v>100700</v>
      </c>
      <c r="B826" t="s">
        <v>145</v>
      </c>
      <c r="C826" t="str">
        <f t="shared" si="95"/>
        <v>00766740625</v>
      </c>
      <c r="D826" t="str">
        <f t="shared" si="96"/>
        <v>STFGPP58D22A783F</v>
      </c>
      <c r="E826" t="s">
        <v>52</v>
      </c>
      <c r="F826">
        <v>2015</v>
      </c>
      <c r="G826" t="str">
        <f>"                  68"</f>
        <v xml:space="preserve">                  68</v>
      </c>
      <c r="H826" s="3">
        <v>42063</v>
      </c>
      <c r="I826" s="3">
        <v>42067</v>
      </c>
      <c r="J826" s="3">
        <v>42067</v>
      </c>
      <c r="K826" s="3">
        <v>42127</v>
      </c>
      <c r="L826"/>
      <c r="N826"/>
      <c r="O826">
        <v>54</v>
      </c>
      <c r="P826">
        <v>281</v>
      </c>
      <c r="Q826" s="4">
        <v>15174</v>
      </c>
      <c r="R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 s="3">
        <v>42562</v>
      </c>
      <c r="AC826" t="s">
        <v>53</v>
      </c>
      <c r="AD826" t="s">
        <v>53</v>
      </c>
      <c r="AK826">
        <v>0</v>
      </c>
      <c r="AU826" s="3">
        <v>42408</v>
      </c>
      <c r="AV826" s="3">
        <v>42408</v>
      </c>
      <c r="AW826" t="s">
        <v>54</v>
      </c>
      <c r="AX826" t="str">
        <f t="shared" si="93"/>
        <v>FOR</v>
      </c>
      <c r="AY826" t="s">
        <v>55</v>
      </c>
    </row>
    <row r="827" spans="1:51" hidden="1">
      <c r="A827">
        <v>100700</v>
      </c>
      <c r="B827" t="s">
        <v>145</v>
      </c>
      <c r="C827" t="str">
        <f t="shared" si="95"/>
        <v>00766740625</v>
      </c>
      <c r="D827" t="str">
        <f t="shared" si="96"/>
        <v>STFGPP58D22A783F</v>
      </c>
      <c r="E827" t="s">
        <v>52</v>
      </c>
      <c r="F827">
        <v>2015</v>
      </c>
      <c r="G827" t="str">
        <f>"                  69"</f>
        <v xml:space="preserve">                  69</v>
      </c>
      <c r="H827" s="3">
        <v>42063</v>
      </c>
      <c r="I827" s="3">
        <v>42067</v>
      </c>
      <c r="J827" s="3">
        <v>42067</v>
      </c>
      <c r="K827" s="3">
        <v>42127</v>
      </c>
      <c r="L827"/>
      <c r="N827"/>
      <c r="O827">
        <v>249.48</v>
      </c>
      <c r="P827">
        <v>281</v>
      </c>
      <c r="Q827" s="4">
        <v>70103.88</v>
      </c>
      <c r="R827">
        <v>0</v>
      </c>
      <c r="V827">
        <v>0</v>
      </c>
      <c r="W827">
        <v>0</v>
      </c>
      <c r="X827">
        <v>0</v>
      </c>
      <c r="Y827">
        <v>0</v>
      </c>
      <c r="Z827">
        <v>0</v>
      </c>
      <c r="AA827">
        <v>0</v>
      </c>
      <c r="AB827" s="3">
        <v>42562</v>
      </c>
      <c r="AC827" t="s">
        <v>53</v>
      </c>
      <c r="AD827" t="s">
        <v>53</v>
      </c>
      <c r="AK827">
        <v>0</v>
      </c>
      <c r="AU827" s="3">
        <v>42408</v>
      </c>
      <c r="AV827" s="3">
        <v>42408</v>
      </c>
      <c r="AW827" t="s">
        <v>54</v>
      </c>
      <c r="AX827" t="str">
        <f t="shared" si="93"/>
        <v>FOR</v>
      </c>
      <c r="AY827" t="s">
        <v>55</v>
      </c>
    </row>
    <row r="828" spans="1:51" hidden="1">
      <c r="A828">
        <v>100700</v>
      </c>
      <c r="B828" t="s">
        <v>145</v>
      </c>
      <c r="C828" t="str">
        <f t="shared" si="95"/>
        <v>00766740625</v>
      </c>
      <c r="D828" t="str">
        <f t="shared" si="96"/>
        <v>STFGPP58D22A783F</v>
      </c>
      <c r="E828" t="s">
        <v>52</v>
      </c>
      <c r="F828">
        <v>2015</v>
      </c>
      <c r="G828" t="str">
        <f>"                  70"</f>
        <v xml:space="preserve">                  70</v>
      </c>
      <c r="H828" s="3">
        <v>42063</v>
      </c>
      <c r="I828" s="3">
        <v>42067</v>
      </c>
      <c r="J828" s="3">
        <v>42067</v>
      </c>
      <c r="K828" s="3">
        <v>42127</v>
      </c>
      <c r="L828"/>
      <c r="N828"/>
      <c r="O828">
        <v>39.6</v>
      </c>
      <c r="P828">
        <v>281</v>
      </c>
      <c r="Q828" s="4">
        <v>11127.6</v>
      </c>
      <c r="R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 s="3">
        <v>42562</v>
      </c>
      <c r="AC828" t="s">
        <v>53</v>
      </c>
      <c r="AD828" t="s">
        <v>53</v>
      </c>
      <c r="AK828">
        <v>0</v>
      </c>
      <c r="AU828" s="3">
        <v>42408</v>
      </c>
      <c r="AV828" s="3">
        <v>42408</v>
      </c>
      <c r="AW828" t="s">
        <v>54</v>
      </c>
      <c r="AX828" t="str">
        <f t="shared" si="93"/>
        <v>FOR</v>
      </c>
      <c r="AY828" t="s">
        <v>55</v>
      </c>
    </row>
    <row r="829" spans="1:51" hidden="1">
      <c r="A829">
        <v>100700</v>
      </c>
      <c r="B829" t="s">
        <v>145</v>
      </c>
      <c r="C829" t="str">
        <f t="shared" si="95"/>
        <v>00766740625</v>
      </c>
      <c r="D829" t="str">
        <f t="shared" si="96"/>
        <v>STFGPP58D22A783F</v>
      </c>
      <c r="E829" t="s">
        <v>52</v>
      </c>
      <c r="F829">
        <v>2015</v>
      </c>
      <c r="G829" t="str">
        <f>"                  95"</f>
        <v xml:space="preserve">                  95</v>
      </c>
      <c r="H829" s="3">
        <v>42080</v>
      </c>
      <c r="I829" s="3">
        <v>42081</v>
      </c>
      <c r="J829" s="3">
        <v>42081</v>
      </c>
      <c r="K829" s="3">
        <v>42141</v>
      </c>
      <c r="L829"/>
      <c r="N829"/>
      <c r="O829">
        <v>308</v>
      </c>
      <c r="P829">
        <v>274</v>
      </c>
      <c r="Q829" s="4">
        <v>84392</v>
      </c>
      <c r="R829">
        <v>0</v>
      </c>
      <c r="V829">
        <v>0</v>
      </c>
      <c r="W829">
        <v>0</v>
      </c>
      <c r="X829">
        <v>0</v>
      </c>
      <c r="Y829">
        <v>0</v>
      </c>
      <c r="Z829">
        <v>0</v>
      </c>
      <c r="AA829">
        <v>0</v>
      </c>
      <c r="AB829" s="3">
        <v>42562</v>
      </c>
      <c r="AC829" t="s">
        <v>53</v>
      </c>
      <c r="AD829" t="s">
        <v>53</v>
      </c>
      <c r="AK829">
        <v>0</v>
      </c>
      <c r="AU829" s="3">
        <v>42415</v>
      </c>
      <c r="AV829" s="3">
        <v>42415</v>
      </c>
      <c r="AW829" t="s">
        <v>54</v>
      </c>
      <c r="AX829" t="str">
        <f t="shared" si="93"/>
        <v>FOR</v>
      </c>
      <c r="AY829" t="s">
        <v>55</v>
      </c>
    </row>
    <row r="830" spans="1:51" hidden="1">
      <c r="A830">
        <v>100700</v>
      </c>
      <c r="B830" t="s">
        <v>145</v>
      </c>
      <c r="C830" t="str">
        <f t="shared" si="95"/>
        <v>00766740625</v>
      </c>
      <c r="D830" t="str">
        <f t="shared" si="96"/>
        <v>STFGPP58D22A783F</v>
      </c>
      <c r="E830" t="s">
        <v>52</v>
      </c>
      <c r="F830">
        <v>2015</v>
      </c>
      <c r="G830" t="str">
        <f>"                  96"</f>
        <v xml:space="preserve">                  96</v>
      </c>
      <c r="H830" s="3">
        <v>42080</v>
      </c>
      <c r="I830" s="3">
        <v>42081</v>
      </c>
      <c r="J830" s="3">
        <v>42081</v>
      </c>
      <c r="K830" s="3">
        <v>42141</v>
      </c>
      <c r="L830"/>
      <c r="N830"/>
      <c r="O830">
        <v>58.5</v>
      </c>
      <c r="P830">
        <v>274</v>
      </c>
      <c r="Q830" s="4">
        <v>16029</v>
      </c>
      <c r="R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0</v>
      </c>
      <c r="AB830" s="3">
        <v>42562</v>
      </c>
      <c r="AC830" t="s">
        <v>53</v>
      </c>
      <c r="AD830" t="s">
        <v>53</v>
      </c>
      <c r="AK830">
        <v>0</v>
      </c>
      <c r="AU830" s="3">
        <v>42415</v>
      </c>
      <c r="AV830" s="3">
        <v>42415</v>
      </c>
      <c r="AW830" t="s">
        <v>54</v>
      </c>
      <c r="AX830" t="str">
        <f t="shared" ref="AX830:AX861" si="97">"FOR"</f>
        <v>FOR</v>
      </c>
      <c r="AY830" t="s">
        <v>55</v>
      </c>
    </row>
    <row r="831" spans="1:51" hidden="1">
      <c r="A831">
        <v>100700</v>
      </c>
      <c r="B831" t="s">
        <v>145</v>
      </c>
      <c r="C831" t="str">
        <f t="shared" si="95"/>
        <v>00766740625</v>
      </c>
      <c r="D831" t="str">
        <f t="shared" si="96"/>
        <v>STFGPP58D22A783F</v>
      </c>
      <c r="E831" t="s">
        <v>52</v>
      </c>
      <c r="F831">
        <v>2015</v>
      </c>
      <c r="G831" t="str">
        <f>"                 103"</f>
        <v xml:space="preserve">                 103</v>
      </c>
      <c r="H831" s="3">
        <v>42087</v>
      </c>
      <c r="I831" s="3">
        <v>42089</v>
      </c>
      <c r="J831" s="3">
        <v>42089</v>
      </c>
      <c r="K831" s="3">
        <v>42149</v>
      </c>
      <c r="L831"/>
      <c r="N831"/>
      <c r="O831">
        <v>100</v>
      </c>
      <c r="P831">
        <v>259</v>
      </c>
      <c r="Q831" s="4">
        <v>25900</v>
      </c>
      <c r="R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 s="3">
        <v>42562</v>
      </c>
      <c r="AC831" t="s">
        <v>53</v>
      </c>
      <c r="AD831" t="s">
        <v>53</v>
      </c>
      <c r="AK831">
        <v>0</v>
      </c>
      <c r="AU831" s="3">
        <v>42408</v>
      </c>
      <c r="AV831" s="3">
        <v>42408</v>
      </c>
      <c r="AW831" t="s">
        <v>54</v>
      </c>
      <c r="AX831" t="str">
        <f t="shared" si="97"/>
        <v>FOR</v>
      </c>
      <c r="AY831" t="s">
        <v>55</v>
      </c>
    </row>
    <row r="832" spans="1:51" hidden="1">
      <c r="A832">
        <v>100700</v>
      </c>
      <c r="B832" t="s">
        <v>145</v>
      </c>
      <c r="C832" t="str">
        <f t="shared" si="95"/>
        <v>00766740625</v>
      </c>
      <c r="D832" t="str">
        <f t="shared" si="96"/>
        <v>STFGPP58D22A783F</v>
      </c>
      <c r="E832" t="s">
        <v>52</v>
      </c>
      <c r="F832">
        <v>2015</v>
      </c>
      <c r="G832" t="str">
        <f>"                 104"</f>
        <v xml:space="preserve">                 104</v>
      </c>
      <c r="H832" s="3">
        <v>42087</v>
      </c>
      <c r="I832" s="3">
        <v>42089</v>
      </c>
      <c r="J832" s="3">
        <v>42089</v>
      </c>
      <c r="K832" s="3">
        <v>42149</v>
      </c>
      <c r="L832"/>
      <c r="N832"/>
      <c r="O832">
        <v>30</v>
      </c>
      <c r="P832">
        <v>259</v>
      </c>
      <c r="Q832" s="4">
        <v>7770</v>
      </c>
      <c r="R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 s="3">
        <v>42562</v>
      </c>
      <c r="AC832" t="s">
        <v>53</v>
      </c>
      <c r="AD832" t="s">
        <v>53</v>
      </c>
      <c r="AK832">
        <v>0</v>
      </c>
      <c r="AU832" s="3">
        <v>42408</v>
      </c>
      <c r="AV832" s="3">
        <v>42408</v>
      </c>
      <c r="AW832" t="s">
        <v>54</v>
      </c>
      <c r="AX832" t="str">
        <f t="shared" si="97"/>
        <v>FOR</v>
      </c>
      <c r="AY832" t="s">
        <v>55</v>
      </c>
    </row>
    <row r="833" spans="1:51" hidden="1">
      <c r="A833">
        <v>100700</v>
      </c>
      <c r="B833" t="s">
        <v>145</v>
      </c>
      <c r="C833" t="str">
        <f t="shared" si="95"/>
        <v>00766740625</v>
      </c>
      <c r="D833" t="str">
        <f t="shared" si="96"/>
        <v>STFGPP58D22A783F</v>
      </c>
      <c r="E833" t="s">
        <v>52</v>
      </c>
      <c r="F833">
        <v>2015</v>
      </c>
      <c r="G833" t="str">
        <f>"                 113"</f>
        <v xml:space="preserve">                 113</v>
      </c>
      <c r="H833" s="3">
        <v>42093</v>
      </c>
      <c r="I833" s="3">
        <v>42094</v>
      </c>
      <c r="J833" s="3">
        <v>42094</v>
      </c>
      <c r="K833" s="3">
        <v>42154</v>
      </c>
      <c r="L833"/>
      <c r="N833"/>
      <c r="O833">
        <v>462</v>
      </c>
      <c r="P833">
        <v>261</v>
      </c>
      <c r="Q833" s="4">
        <v>120582</v>
      </c>
      <c r="R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0</v>
      </c>
      <c r="AB833" s="3">
        <v>42562</v>
      </c>
      <c r="AC833" t="s">
        <v>53</v>
      </c>
      <c r="AD833" t="s">
        <v>53</v>
      </c>
      <c r="AK833">
        <v>0</v>
      </c>
      <c r="AU833" s="3">
        <v>42415</v>
      </c>
      <c r="AV833" s="3">
        <v>42415</v>
      </c>
      <c r="AW833" t="s">
        <v>54</v>
      </c>
      <c r="AX833" t="str">
        <f t="shared" si="97"/>
        <v>FOR</v>
      </c>
      <c r="AY833" t="s">
        <v>55</v>
      </c>
    </row>
    <row r="834" spans="1:51" hidden="1">
      <c r="A834">
        <v>100700</v>
      </c>
      <c r="B834" t="s">
        <v>145</v>
      </c>
      <c r="C834" t="str">
        <f t="shared" si="95"/>
        <v>00766740625</v>
      </c>
      <c r="D834" t="str">
        <f t="shared" si="96"/>
        <v>STFGPP58D22A783F</v>
      </c>
      <c r="E834" t="s">
        <v>52</v>
      </c>
      <c r="F834">
        <v>2015</v>
      </c>
      <c r="G834" t="str">
        <f>"                 114"</f>
        <v xml:space="preserve">                 114</v>
      </c>
      <c r="H834" s="3">
        <v>42093</v>
      </c>
      <c r="I834" s="3">
        <v>42094</v>
      </c>
      <c r="J834" s="3">
        <v>42094</v>
      </c>
      <c r="K834" s="3">
        <v>42154</v>
      </c>
      <c r="L834"/>
      <c r="N834"/>
      <c r="O834">
        <v>9.9</v>
      </c>
      <c r="P834">
        <v>261</v>
      </c>
      <c r="Q834" s="4">
        <v>2583.9</v>
      </c>
      <c r="R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 s="3">
        <v>42562</v>
      </c>
      <c r="AC834" t="s">
        <v>53</v>
      </c>
      <c r="AD834" t="s">
        <v>53</v>
      </c>
      <c r="AK834">
        <v>0</v>
      </c>
      <c r="AU834" s="3">
        <v>42415</v>
      </c>
      <c r="AV834" s="3">
        <v>42415</v>
      </c>
      <c r="AW834" t="s">
        <v>54</v>
      </c>
      <c r="AX834" t="str">
        <f t="shared" si="97"/>
        <v>FOR</v>
      </c>
      <c r="AY834" t="s">
        <v>55</v>
      </c>
    </row>
    <row r="835" spans="1:51" hidden="1">
      <c r="A835">
        <v>100700</v>
      </c>
      <c r="B835" t="s">
        <v>145</v>
      </c>
      <c r="C835" t="str">
        <f t="shared" si="95"/>
        <v>00766740625</v>
      </c>
      <c r="D835" t="str">
        <f t="shared" si="96"/>
        <v>STFGPP58D22A783F</v>
      </c>
      <c r="E835" t="s">
        <v>52</v>
      </c>
      <c r="F835">
        <v>2015</v>
      </c>
      <c r="G835" t="str">
        <f>"                 115"</f>
        <v xml:space="preserve">                 115</v>
      </c>
      <c r="H835" s="3">
        <v>42093</v>
      </c>
      <c r="I835" s="3">
        <v>42094</v>
      </c>
      <c r="J835" s="3">
        <v>42094</v>
      </c>
      <c r="K835" s="3">
        <v>42154</v>
      </c>
      <c r="L835"/>
      <c r="N835"/>
      <c r="O835">
        <v>381.6</v>
      </c>
      <c r="P835">
        <v>261</v>
      </c>
      <c r="Q835" s="4">
        <v>99597.6</v>
      </c>
      <c r="R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0</v>
      </c>
      <c r="AB835" s="3">
        <v>42562</v>
      </c>
      <c r="AC835" t="s">
        <v>53</v>
      </c>
      <c r="AD835" t="s">
        <v>53</v>
      </c>
      <c r="AK835">
        <v>0</v>
      </c>
      <c r="AU835" s="3">
        <v>42415</v>
      </c>
      <c r="AV835" s="3">
        <v>42415</v>
      </c>
      <c r="AW835" t="s">
        <v>54</v>
      </c>
      <c r="AX835" t="str">
        <f t="shared" si="97"/>
        <v>FOR</v>
      </c>
      <c r="AY835" t="s">
        <v>55</v>
      </c>
    </row>
    <row r="836" spans="1:51" hidden="1">
      <c r="A836">
        <v>100700</v>
      </c>
      <c r="B836" t="s">
        <v>145</v>
      </c>
      <c r="C836" t="str">
        <f t="shared" si="95"/>
        <v>00766740625</v>
      </c>
      <c r="D836" t="str">
        <f t="shared" si="96"/>
        <v>STFGPP58D22A783F</v>
      </c>
      <c r="E836" t="s">
        <v>52</v>
      </c>
      <c r="F836">
        <v>2015</v>
      </c>
      <c r="G836" t="str">
        <f>"                 116"</f>
        <v xml:space="preserve">                 116</v>
      </c>
      <c r="H836" s="3">
        <v>42093</v>
      </c>
      <c r="I836" s="3">
        <v>42094</v>
      </c>
      <c r="J836" s="3">
        <v>42094</v>
      </c>
      <c r="K836" s="3">
        <v>42154</v>
      </c>
      <c r="L836"/>
      <c r="N836"/>
      <c r="O836">
        <v>460.56</v>
      </c>
      <c r="P836">
        <v>261</v>
      </c>
      <c r="Q836" s="4">
        <v>120206.16</v>
      </c>
      <c r="R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0</v>
      </c>
      <c r="AB836" s="3">
        <v>42562</v>
      </c>
      <c r="AC836" t="s">
        <v>53</v>
      </c>
      <c r="AD836" t="s">
        <v>53</v>
      </c>
      <c r="AK836">
        <v>0</v>
      </c>
      <c r="AU836" s="3">
        <v>42415</v>
      </c>
      <c r="AV836" s="3">
        <v>42415</v>
      </c>
      <c r="AW836" t="s">
        <v>54</v>
      </c>
      <c r="AX836" t="str">
        <f t="shared" si="97"/>
        <v>FOR</v>
      </c>
      <c r="AY836" t="s">
        <v>55</v>
      </c>
    </row>
    <row r="837" spans="1:51" hidden="1">
      <c r="A837">
        <v>100700</v>
      </c>
      <c r="B837" t="s">
        <v>145</v>
      </c>
      <c r="C837" t="str">
        <f t="shared" si="95"/>
        <v>00766740625</v>
      </c>
      <c r="D837" t="str">
        <f t="shared" si="96"/>
        <v>STFGPP58D22A783F</v>
      </c>
      <c r="E837" t="s">
        <v>52</v>
      </c>
      <c r="F837">
        <v>2015</v>
      </c>
      <c r="G837" t="str">
        <f>"              135/EL"</f>
        <v xml:space="preserve">              135/EL</v>
      </c>
      <c r="H837" s="3">
        <v>42117</v>
      </c>
      <c r="I837" s="3">
        <v>42142</v>
      </c>
      <c r="J837" s="3">
        <v>42137</v>
      </c>
      <c r="K837" s="3">
        <v>42197</v>
      </c>
      <c r="L837"/>
      <c r="N837"/>
      <c r="O837">
        <v>100</v>
      </c>
      <c r="P837">
        <v>219</v>
      </c>
      <c r="Q837" s="4">
        <v>21900</v>
      </c>
      <c r="R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0</v>
      </c>
      <c r="AB837" s="3">
        <v>42562</v>
      </c>
      <c r="AC837" t="s">
        <v>53</v>
      </c>
      <c r="AD837" t="s">
        <v>53</v>
      </c>
      <c r="AK837">
        <v>0</v>
      </c>
      <c r="AU837" s="3">
        <v>42416</v>
      </c>
      <c r="AV837" s="3">
        <v>42416</v>
      </c>
      <c r="AW837" t="s">
        <v>54</v>
      </c>
      <c r="AX837" t="str">
        <f t="shared" si="97"/>
        <v>FOR</v>
      </c>
      <c r="AY837" t="s">
        <v>55</v>
      </c>
    </row>
    <row r="838" spans="1:51" hidden="1">
      <c r="A838">
        <v>100700</v>
      </c>
      <c r="B838" t="s">
        <v>145</v>
      </c>
      <c r="C838" t="str">
        <f t="shared" si="95"/>
        <v>00766740625</v>
      </c>
      <c r="D838" t="str">
        <f t="shared" si="96"/>
        <v>STFGPP58D22A783F</v>
      </c>
      <c r="E838" t="s">
        <v>52</v>
      </c>
      <c r="F838">
        <v>2015</v>
      </c>
      <c r="G838" t="str">
        <f>"              136/EL"</f>
        <v xml:space="preserve">              136/EL</v>
      </c>
      <c r="H838" s="3">
        <v>42117</v>
      </c>
      <c r="I838" s="3">
        <v>42123</v>
      </c>
      <c r="J838" s="3">
        <v>42123</v>
      </c>
      <c r="K838" s="3">
        <v>42183</v>
      </c>
      <c r="L838"/>
      <c r="N838"/>
      <c r="O838">
        <v>89.6</v>
      </c>
      <c r="P838">
        <v>248</v>
      </c>
      <c r="Q838" s="4">
        <v>22220.799999999999</v>
      </c>
      <c r="R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 s="3">
        <v>42562</v>
      </c>
      <c r="AC838" t="s">
        <v>53</v>
      </c>
      <c r="AD838" t="s">
        <v>53</v>
      </c>
      <c r="AK838">
        <v>0</v>
      </c>
      <c r="AU838" s="3">
        <v>42431</v>
      </c>
      <c r="AV838" s="3">
        <v>42431</v>
      </c>
      <c r="AW838" t="s">
        <v>54</v>
      </c>
      <c r="AX838" t="str">
        <f t="shared" si="97"/>
        <v>FOR</v>
      </c>
      <c r="AY838" t="s">
        <v>55</v>
      </c>
    </row>
    <row r="839" spans="1:51" hidden="1">
      <c r="A839">
        <v>100700</v>
      </c>
      <c r="B839" t="s">
        <v>145</v>
      </c>
      <c r="C839" t="str">
        <f t="shared" si="95"/>
        <v>00766740625</v>
      </c>
      <c r="D839" t="str">
        <f t="shared" si="96"/>
        <v>STFGPP58D22A783F</v>
      </c>
      <c r="E839" t="s">
        <v>52</v>
      </c>
      <c r="F839">
        <v>2015</v>
      </c>
      <c r="G839" t="str">
        <f>"              137/EL"</f>
        <v xml:space="preserve">              137/EL</v>
      </c>
      <c r="H839" s="3">
        <v>42117</v>
      </c>
      <c r="I839" s="3">
        <v>42123</v>
      </c>
      <c r="J839" s="3">
        <v>42123</v>
      </c>
      <c r="K839" s="3">
        <v>42183</v>
      </c>
      <c r="L839"/>
      <c r="N839"/>
      <c r="O839">
        <v>90</v>
      </c>
      <c r="P839">
        <v>248</v>
      </c>
      <c r="Q839" s="4">
        <v>22320</v>
      </c>
      <c r="R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 s="3">
        <v>42562</v>
      </c>
      <c r="AC839" t="s">
        <v>53</v>
      </c>
      <c r="AD839" t="s">
        <v>53</v>
      </c>
      <c r="AK839">
        <v>0</v>
      </c>
      <c r="AU839" s="3">
        <v>42431</v>
      </c>
      <c r="AV839" s="3">
        <v>42431</v>
      </c>
      <c r="AW839" t="s">
        <v>54</v>
      </c>
      <c r="AX839" t="str">
        <f t="shared" si="97"/>
        <v>FOR</v>
      </c>
      <c r="AY839" t="s">
        <v>55</v>
      </c>
    </row>
    <row r="840" spans="1:51" hidden="1">
      <c r="A840">
        <v>100700</v>
      </c>
      <c r="B840" t="s">
        <v>145</v>
      </c>
      <c r="C840" t="str">
        <f t="shared" si="95"/>
        <v>00766740625</v>
      </c>
      <c r="D840" t="str">
        <f t="shared" si="96"/>
        <v>STFGPP58D22A783F</v>
      </c>
      <c r="E840" t="s">
        <v>52</v>
      </c>
      <c r="F840">
        <v>2015</v>
      </c>
      <c r="G840" t="str">
        <f>"              138/EL"</f>
        <v xml:space="preserve">              138/EL</v>
      </c>
      <c r="H840" s="3">
        <v>42137</v>
      </c>
      <c r="I840" s="3">
        <v>42318</v>
      </c>
      <c r="J840" s="3">
        <v>42317</v>
      </c>
      <c r="K840" s="3">
        <v>42377</v>
      </c>
      <c r="L840"/>
      <c r="N840"/>
      <c r="O840">
        <v>212.52</v>
      </c>
      <c r="P840">
        <v>75</v>
      </c>
      <c r="Q840" s="4">
        <v>15939</v>
      </c>
      <c r="R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 s="3">
        <v>42562</v>
      </c>
      <c r="AC840" t="s">
        <v>53</v>
      </c>
      <c r="AD840" t="s">
        <v>53</v>
      </c>
      <c r="AK840">
        <v>0</v>
      </c>
      <c r="AU840" s="3">
        <v>42452</v>
      </c>
      <c r="AV840" s="3">
        <v>42452</v>
      </c>
      <c r="AW840" t="s">
        <v>54</v>
      </c>
      <c r="AX840" t="str">
        <f t="shared" si="97"/>
        <v>FOR</v>
      </c>
      <c r="AY840" t="s">
        <v>55</v>
      </c>
    </row>
    <row r="841" spans="1:51" hidden="1">
      <c r="A841">
        <v>100700</v>
      </c>
      <c r="B841" t="s">
        <v>145</v>
      </c>
      <c r="C841" t="str">
        <f t="shared" si="95"/>
        <v>00766740625</v>
      </c>
      <c r="D841" t="str">
        <f t="shared" si="96"/>
        <v>STFGPP58D22A783F</v>
      </c>
      <c r="E841" t="s">
        <v>52</v>
      </c>
      <c r="F841">
        <v>2015</v>
      </c>
      <c r="G841" t="str">
        <f>"              149/EL"</f>
        <v xml:space="preserve">              149/EL</v>
      </c>
      <c r="H841" s="3">
        <v>42124</v>
      </c>
      <c r="I841" s="3">
        <v>42160</v>
      </c>
      <c r="J841" s="3">
        <v>42149</v>
      </c>
      <c r="K841" s="3">
        <v>42209</v>
      </c>
      <c r="L841"/>
      <c r="N841"/>
      <c r="O841">
        <v>304.92</v>
      </c>
      <c r="P841">
        <v>222</v>
      </c>
      <c r="Q841" s="4">
        <v>67692.240000000005</v>
      </c>
      <c r="R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 s="3">
        <v>42562</v>
      </c>
      <c r="AC841" t="s">
        <v>53</v>
      </c>
      <c r="AD841" t="s">
        <v>53</v>
      </c>
      <c r="AK841">
        <v>0</v>
      </c>
      <c r="AU841" s="3">
        <v>42431</v>
      </c>
      <c r="AV841" s="3">
        <v>42431</v>
      </c>
      <c r="AW841" t="s">
        <v>54</v>
      </c>
      <c r="AX841" t="str">
        <f t="shared" si="97"/>
        <v>FOR</v>
      </c>
      <c r="AY841" t="s">
        <v>55</v>
      </c>
    </row>
    <row r="842" spans="1:51" hidden="1">
      <c r="A842">
        <v>100700</v>
      </c>
      <c r="B842" t="s">
        <v>145</v>
      </c>
      <c r="C842" t="str">
        <f t="shared" si="95"/>
        <v>00766740625</v>
      </c>
      <c r="D842" t="str">
        <f t="shared" si="96"/>
        <v>STFGPP58D22A783F</v>
      </c>
      <c r="E842" t="s">
        <v>52</v>
      </c>
      <c r="F842">
        <v>2015</v>
      </c>
      <c r="G842" t="str">
        <f>"              150/EL"</f>
        <v xml:space="preserve">              150/EL</v>
      </c>
      <c r="H842" s="3">
        <v>42124</v>
      </c>
      <c r="I842" s="3">
        <v>42164</v>
      </c>
      <c r="J842" s="3">
        <v>42151</v>
      </c>
      <c r="K842" s="3">
        <v>42211</v>
      </c>
      <c r="L842"/>
      <c r="N842"/>
      <c r="O842">
        <v>395.76</v>
      </c>
      <c r="P842">
        <v>220</v>
      </c>
      <c r="Q842" s="4">
        <v>87067.199999999997</v>
      </c>
      <c r="R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0</v>
      </c>
      <c r="AB842" s="3">
        <v>42562</v>
      </c>
      <c r="AC842" t="s">
        <v>53</v>
      </c>
      <c r="AD842" t="s">
        <v>53</v>
      </c>
      <c r="AK842">
        <v>0</v>
      </c>
      <c r="AU842" s="3">
        <v>42431</v>
      </c>
      <c r="AV842" s="3">
        <v>42431</v>
      </c>
      <c r="AW842" t="s">
        <v>54</v>
      </c>
      <c r="AX842" t="str">
        <f t="shared" si="97"/>
        <v>FOR</v>
      </c>
      <c r="AY842" t="s">
        <v>55</v>
      </c>
    </row>
    <row r="843" spans="1:51" hidden="1">
      <c r="A843">
        <v>100700</v>
      </c>
      <c r="B843" t="s">
        <v>145</v>
      </c>
      <c r="C843" t="str">
        <f t="shared" si="95"/>
        <v>00766740625</v>
      </c>
      <c r="D843" t="str">
        <f t="shared" si="96"/>
        <v>STFGPP58D22A783F</v>
      </c>
      <c r="E843" t="s">
        <v>52</v>
      </c>
      <c r="F843">
        <v>2015</v>
      </c>
      <c r="G843" t="str">
        <f>"              151/EL"</f>
        <v xml:space="preserve">              151/EL</v>
      </c>
      <c r="H843" s="3">
        <v>42124</v>
      </c>
      <c r="I843" s="3">
        <v>42164</v>
      </c>
      <c r="J843" s="3">
        <v>42151</v>
      </c>
      <c r="K843" s="3">
        <v>42211</v>
      </c>
      <c r="L843"/>
      <c r="N843"/>
      <c r="O843">
        <v>286.2</v>
      </c>
      <c r="P843">
        <v>220</v>
      </c>
      <c r="Q843" s="4">
        <v>62964</v>
      </c>
      <c r="R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0</v>
      </c>
      <c r="AB843" s="3">
        <v>42562</v>
      </c>
      <c r="AC843" t="s">
        <v>53</v>
      </c>
      <c r="AD843" t="s">
        <v>53</v>
      </c>
      <c r="AK843">
        <v>0</v>
      </c>
      <c r="AU843" s="3">
        <v>42431</v>
      </c>
      <c r="AV843" s="3">
        <v>42431</v>
      </c>
      <c r="AW843" t="s">
        <v>54</v>
      </c>
      <c r="AX843" t="str">
        <f t="shared" si="97"/>
        <v>FOR</v>
      </c>
      <c r="AY843" t="s">
        <v>55</v>
      </c>
    </row>
    <row r="844" spans="1:51" hidden="1">
      <c r="A844">
        <v>100700</v>
      </c>
      <c r="B844" t="s">
        <v>145</v>
      </c>
      <c r="C844" t="str">
        <f t="shared" si="95"/>
        <v>00766740625</v>
      </c>
      <c r="D844" t="str">
        <f t="shared" si="96"/>
        <v>STFGPP58D22A783F</v>
      </c>
      <c r="E844" t="s">
        <v>52</v>
      </c>
      <c r="F844">
        <v>2015</v>
      </c>
      <c r="G844" t="str">
        <f>"              193/EL"</f>
        <v xml:space="preserve">              193/EL</v>
      </c>
      <c r="H844" s="3">
        <v>42153</v>
      </c>
      <c r="I844" s="3">
        <v>42324</v>
      </c>
      <c r="J844" s="3">
        <v>42321</v>
      </c>
      <c r="K844" s="3">
        <v>42381</v>
      </c>
      <c r="L844"/>
      <c r="N844"/>
      <c r="O844">
        <v>112</v>
      </c>
      <c r="P844">
        <v>71</v>
      </c>
      <c r="Q844" s="4">
        <v>7952</v>
      </c>
      <c r="R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0</v>
      </c>
      <c r="AB844" s="3">
        <v>42562</v>
      </c>
      <c r="AC844" t="s">
        <v>53</v>
      </c>
      <c r="AD844" t="s">
        <v>53</v>
      </c>
      <c r="AK844">
        <v>0</v>
      </c>
      <c r="AU844" s="3">
        <v>42452</v>
      </c>
      <c r="AV844" s="3">
        <v>42452</v>
      </c>
      <c r="AW844" t="s">
        <v>54</v>
      </c>
      <c r="AX844" t="str">
        <f t="shared" si="97"/>
        <v>FOR</v>
      </c>
      <c r="AY844" t="s">
        <v>55</v>
      </c>
    </row>
    <row r="845" spans="1:51" hidden="1">
      <c r="A845">
        <v>100700</v>
      </c>
      <c r="B845" t="s">
        <v>145</v>
      </c>
      <c r="C845" t="str">
        <f t="shared" si="95"/>
        <v>00766740625</v>
      </c>
      <c r="D845" t="str">
        <f t="shared" si="96"/>
        <v>STFGPP58D22A783F</v>
      </c>
      <c r="E845" t="s">
        <v>52</v>
      </c>
      <c r="F845">
        <v>2015</v>
      </c>
      <c r="G845" t="str">
        <f>"              194/EL"</f>
        <v xml:space="preserve">              194/EL</v>
      </c>
      <c r="H845" s="3">
        <v>42153</v>
      </c>
      <c r="I845" s="3">
        <v>42324</v>
      </c>
      <c r="J845" s="3">
        <v>42321</v>
      </c>
      <c r="K845" s="3">
        <v>42381</v>
      </c>
      <c r="L845"/>
      <c r="N845"/>
      <c r="O845">
        <v>507.68</v>
      </c>
      <c r="P845">
        <v>71</v>
      </c>
      <c r="Q845" s="4">
        <v>36045.279999999999</v>
      </c>
      <c r="R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 s="3">
        <v>42562</v>
      </c>
      <c r="AC845" t="s">
        <v>53</v>
      </c>
      <c r="AD845" t="s">
        <v>53</v>
      </c>
      <c r="AK845">
        <v>0</v>
      </c>
      <c r="AU845" s="3">
        <v>42452</v>
      </c>
      <c r="AV845" s="3">
        <v>42452</v>
      </c>
      <c r="AW845" t="s">
        <v>54</v>
      </c>
      <c r="AX845" t="str">
        <f t="shared" si="97"/>
        <v>FOR</v>
      </c>
      <c r="AY845" t="s">
        <v>55</v>
      </c>
    </row>
    <row r="846" spans="1:51" hidden="1">
      <c r="A846">
        <v>100700</v>
      </c>
      <c r="B846" t="s">
        <v>145</v>
      </c>
      <c r="C846" t="str">
        <f t="shared" si="95"/>
        <v>00766740625</v>
      </c>
      <c r="D846" t="str">
        <f t="shared" si="96"/>
        <v>STFGPP58D22A783F</v>
      </c>
      <c r="E846" t="s">
        <v>52</v>
      </c>
      <c r="F846">
        <v>2015</v>
      </c>
      <c r="G846" t="str">
        <f>"              195/EL"</f>
        <v xml:space="preserve">              195/EL</v>
      </c>
      <c r="H846" s="3">
        <v>42153</v>
      </c>
      <c r="I846" s="3">
        <v>42324</v>
      </c>
      <c r="J846" s="3">
        <v>42321</v>
      </c>
      <c r="K846" s="3">
        <v>42381</v>
      </c>
      <c r="L846"/>
      <c r="N846"/>
      <c r="O846">
        <v>572.88</v>
      </c>
      <c r="P846">
        <v>71</v>
      </c>
      <c r="Q846" s="4">
        <v>40674.480000000003</v>
      </c>
      <c r="R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0</v>
      </c>
      <c r="AB846" s="3">
        <v>42562</v>
      </c>
      <c r="AC846" t="s">
        <v>53</v>
      </c>
      <c r="AD846" t="s">
        <v>53</v>
      </c>
      <c r="AK846">
        <v>0</v>
      </c>
      <c r="AU846" s="3">
        <v>42452</v>
      </c>
      <c r="AV846" s="3">
        <v>42452</v>
      </c>
      <c r="AW846" t="s">
        <v>54</v>
      </c>
      <c r="AX846" t="str">
        <f t="shared" si="97"/>
        <v>FOR</v>
      </c>
      <c r="AY846" t="s">
        <v>55</v>
      </c>
    </row>
    <row r="847" spans="1:51" hidden="1">
      <c r="A847">
        <v>100700</v>
      </c>
      <c r="B847" t="s">
        <v>145</v>
      </c>
      <c r="C847" t="str">
        <f t="shared" si="95"/>
        <v>00766740625</v>
      </c>
      <c r="D847" t="str">
        <f t="shared" si="96"/>
        <v>STFGPP58D22A783F</v>
      </c>
      <c r="E847" t="s">
        <v>52</v>
      </c>
      <c r="F847">
        <v>2015</v>
      </c>
      <c r="G847" t="str">
        <f>"              196/EL"</f>
        <v xml:space="preserve">              196/EL</v>
      </c>
      <c r="H847" s="3">
        <v>42153</v>
      </c>
      <c r="I847" s="3">
        <v>42324</v>
      </c>
      <c r="J847" s="3">
        <v>42321</v>
      </c>
      <c r="K847" s="3">
        <v>42381</v>
      </c>
      <c r="L847"/>
      <c r="N847"/>
      <c r="O847">
        <v>286.2</v>
      </c>
      <c r="P847">
        <v>71</v>
      </c>
      <c r="Q847" s="4">
        <v>20320.2</v>
      </c>
      <c r="R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0</v>
      </c>
      <c r="AB847" s="3">
        <v>42562</v>
      </c>
      <c r="AC847" t="s">
        <v>53</v>
      </c>
      <c r="AD847" t="s">
        <v>53</v>
      </c>
      <c r="AK847">
        <v>0</v>
      </c>
      <c r="AU847" s="3">
        <v>42452</v>
      </c>
      <c r="AV847" s="3">
        <v>42452</v>
      </c>
      <c r="AW847" t="s">
        <v>54</v>
      </c>
      <c r="AX847" t="str">
        <f t="shared" si="97"/>
        <v>FOR</v>
      </c>
      <c r="AY847" t="s">
        <v>55</v>
      </c>
    </row>
    <row r="848" spans="1:51" hidden="1">
      <c r="A848">
        <v>100700</v>
      </c>
      <c r="B848" t="s">
        <v>145</v>
      </c>
      <c r="C848" t="str">
        <f t="shared" si="95"/>
        <v>00766740625</v>
      </c>
      <c r="D848" t="str">
        <f t="shared" si="96"/>
        <v>STFGPP58D22A783F</v>
      </c>
      <c r="E848" t="s">
        <v>52</v>
      </c>
      <c r="F848">
        <v>2015</v>
      </c>
      <c r="G848" t="str">
        <f>"              328/EL"</f>
        <v xml:space="preserve">              328/EL</v>
      </c>
      <c r="H848" s="3">
        <v>42236</v>
      </c>
      <c r="I848" s="3">
        <v>42286</v>
      </c>
      <c r="J848" s="3">
        <v>42284</v>
      </c>
      <c r="K848" s="3">
        <v>42344</v>
      </c>
      <c r="L848"/>
      <c r="N848"/>
      <c r="O848">
        <v>700</v>
      </c>
      <c r="P848">
        <v>59</v>
      </c>
      <c r="Q848" s="4">
        <v>41300</v>
      </c>
      <c r="R848">
        <v>154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 s="3">
        <v>42562</v>
      </c>
      <c r="AC848" t="s">
        <v>53</v>
      </c>
      <c r="AD848" t="s">
        <v>53</v>
      </c>
      <c r="AK848">
        <v>154</v>
      </c>
      <c r="AU848" s="3">
        <v>42403</v>
      </c>
      <c r="AV848" s="3">
        <v>42403</v>
      </c>
      <c r="AW848" t="s">
        <v>54</v>
      </c>
      <c r="AX848" t="str">
        <f t="shared" si="97"/>
        <v>FOR</v>
      </c>
      <c r="AY848" t="s">
        <v>55</v>
      </c>
    </row>
    <row r="849" spans="1:51" hidden="1">
      <c r="A849">
        <v>100700</v>
      </c>
      <c r="B849" t="s">
        <v>145</v>
      </c>
      <c r="C849" t="str">
        <f t="shared" si="95"/>
        <v>00766740625</v>
      </c>
      <c r="D849" t="str">
        <f t="shared" si="96"/>
        <v>STFGPP58D22A783F</v>
      </c>
      <c r="E849" t="s">
        <v>52</v>
      </c>
      <c r="F849">
        <v>2015</v>
      </c>
      <c r="G849" t="str">
        <f>"              329/EL"</f>
        <v xml:space="preserve">              329/EL</v>
      </c>
      <c r="H849" s="3">
        <v>42236</v>
      </c>
      <c r="I849" s="3">
        <v>42326</v>
      </c>
      <c r="J849" s="3">
        <v>42325</v>
      </c>
      <c r="K849" s="3">
        <v>42385</v>
      </c>
      <c r="L849"/>
      <c r="N849"/>
      <c r="O849">
        <v>350</v>
      </c>
      <c r="P849">
        <v>18</v>
      </c>
      <c r="Q849" s="4">
        <v>6300</v>
      </c>
      <c r="R849">
        <v>77</v>
      </c>
      <c r="V849">
        <v>0</v>
      </c>
      <c r="W849">
        <v>0</v>
      </c>
      <c r="X849">
        <v>0</v>
      </c>
      <c r="Y849">
        <v>0</v>
      </c>
      <c r="Z849">
        <v>0</v>
      </c>
      <c r="AA849">
        <v>0</v>
      </c>
      <c r="AB849" s="3">
        <v>42562</v>
      </c>
      <c r="AC849" t="s">
        <v>53</v>
      </c>
      <c r="AD849" t="s">
        <v>53</v>
      </c>
      <c r="AJ849">
        <v>77</v>
      </c>
      <c r="AK849">
        <v>0</v>
      </c>
      <c r="AU849" s="3">
        <v>42403</v>
      </c>
      <c r="AV849" s="3">
        <v>42403</v>
      </c>
      <c r="AW849" t="s">
        <v>54</v>
      </c>
      <c r="AX849" t="str">
        <f t="shared" si="97"/>
        <v>FOR</v>
      </c>
      <c r="AY849" t="s">
        <v>55</v>
      </c>
    </row>
    <row r="850" spans="1:51" hidden="1">
      <c r="A850">
        <v>100700</v>
      </c>
      <c r="B850" t="s">
        <v>145</v>
      </c>
      <c r="C850" t="str">
        <f t="shared" si="95"/>
        <v>00766740625</v>
      </c>
      <c r="D850" t="str">
        <f t="shared" si="96"/>
        <v>STFGPP58D22A783F</v>
      </c>
      <c r="E850" t="s">
        <v>52</v>
      </c>
      <c r="F850">
        <v>2015</v>
      </c>
      <c r="G850" t="str">
        <f>"              330/EL"</f>
        <v xml:space="preserve">              330/EL</v>
      </c>
      <c r="H850" s="3">
        <v>42236</v>
      </c>
      <c r="I850" s="3">
        <v>42326</v>
      </c>
      <c r="J850" s="3">
        <v>42325</v>
      </c>
      <c r="K850" s="3">
        <v>42385</v>
      </c>
      <c r="L850"/>
      <c r="N850"/>
      <c r="O850">
        <v>720</v>
      </c>
      <c r="P850">
        <v>18</v>
      </c>
      <c r="Q850" s="4">
        <v>12960</v>
      </c>
      <c r="R850">
        <v>158.4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0</v>
      </c>
      <c r="AB850" s="3">
        <v>42562</v>
      </c>
      <c r="AC850" t="s">
        <v>53</v>
      </c>
      <c r="AD850" t="s">
        <v>53</v>
      </c>
      <c r="AJ850">
        <v>158.4</v>
      </c>
      <c r="AK850">
        <v>0</v>
      </c>
      <c r="AU850" s="3">
        <v>42403</v>
      </c>
      <c r="AV850" s="3">
        <v>42403</v>
      </c>
      <c r="AW850" t="s">
        <v>54</v>
      </c>
      <c r="AX850" t="str">
        <f t="shared" si="97"/>
        <v>FOR</v>
      </c>
      <c r="AY850" t="s">
        <v>55</v>
      </c>
    </row>
    <row r="851" spans="1:51" hidden="1">
      <c r="A851">
        <v>100703</v>
      </c>
      <c r="B851" t="s">
        <v>146</v>
      </c>
      <c r="C851" t="str">
        <f t="shared" ref="C851:D856" si="98">"05501420961"</f>
        <v>05501420961</v>
      </c>
      <c r="D851" t="str">
        <f t="shared" si="98"/>
        <v>05501420961</v>
      </c>
      <c r="E851" t="s">
        <v>52</v>
      </c>
      <c r="F851">
        <v>2014</v>
      </c>
      <c r="G851" t="str">
        <f>"             8117977"</f>
        <v xml:space="preserve">             8117977</v>
      </c>
      <c r="H851" s="3">
        <v>41982</v>
      </c>
      <c r="I851" s="3">
        <v>42080</v>
      </c>
      <c r="J851" s="3">
        <v>42080</v>
      </c>
      <c r="K851" s="3">
        <v>42140</v>
      </c>
      <c r="L851"/>
      <c r="N851"/>
      <c r="O851" s="4">
        <v>6063.75</v>
      </c>
      <c r="P851">
        <v>263</v>
      </c>
      <c r="Q851" s="4">
        <v>1594766.25</v>
      </c>
      <c r="R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0</v>
      </c>
      <c r="AB851" s="3">
        <v>42562</v>
      </c>
      <c r="AC851" t="s">
        <v>53</v>
      </c>
      <c r="AD851" t="s">
        <v>53</v>
      </c>
      <c r="AK851">
        <v>0</v>
      </c>
      <c r="AU851" s="3">
        <v>42403</v>
      </c>
      <c r="AV851" s="3">
        <v>42403</v>
      </c>
      <c r="AW851" t="s">
        <v>54</v>
      </c>
      <c r="AX851" t="str">
        <f t="shared" si="97"/>
        <v>FOR</v>
      </c>
      <c r="AY851" t="s">
        <v>55</v>
      </c>
    </row>
    <row r="852" spans="1:51" hidden="1">
      <c r="A852">
        <v>100703</v>
      </c>
      <c r="B852" t="s">
        <v>146</v>
      </c>
      <c r="C852" t="str">
        <f t="shared" si="98"/>
        <v>05501420961</v>
      </c>
      <c r="D852" t="str">
        <f t="shared" si="98"/>
        <v>05501420961</v>
      </c>
      <c r="E852" t="s">
        <v>52</v>
      </c>
      <c r="F852">
        <v>2015</v>
      </c>
      <c r="G852" t="str">
        <f>"          1508102655"</f>
        <v xml:space="preserve">          1508102655</v>
      </c>
      <c r="H852" s="3">
        <v>42051</v>
      </c>
      <c r="I852" s="3">
        <v>42073</v>
      </c>
      <c r="J852" s="3">
        <v>42073</v>
      </c>
      <c r="K852" s="3">
        <v>42133</v>
      </c>
      <c r="L852"/>
      <c r="N852"/>
      <c r="O852" s="4">
        <v>7823</v>
      </c>
      <c r="P852">
        <v>270</v>
      </c>
      <c r="Q852" s="4">
        <v>2112210</v>
      </c>
      <c r="R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 s="3">
        <v>42562</v>
      </c>
      <c r="AC852" t="s">
        <v>53</v>
      </c>
      <c r="AD852" t="s">
        <v>53</v>
      </c>
      <c r="AK852">
        <v>0</v>
      </c>
      <c r="AU852" s="3">
        <v>42403</v>
      </c>
      <c r="AV852" s="3">
        <v>42403</v>
      </c>
      <c r="AW852" t="s">
        <v>54</v>
      </c>
      <c r="AX852" t="str">
        <f t="shared" si="97"/>
        <v>FOR</v>
      </c>
      <c r="AY852" t="s">
        <v>55</v>
      </c>
    </row>
    <row r="853" spans="1:51" hidden="1">
      <c r="A853">
        <v>100703</v>
      </c>
      <c r="B853" t="s">
        <v>146</v>
      </c>
      <c r="C853" t="str">
        <f t="shared" si="98"/>
        <v>05501420961</v>
      </c>
      <c r="D853" t="str">
        <f t="shared" si="98"/>
        <v>05501420961</v>
      </c>
      <c r="E853" t="s">
        <v>52</v>
      </c>
      <c r="F853">
        <v>2015</v>
      </c>
      <c r="G853" t="str">
        <f>"          1508104575"</f>
        <v xml:space="preserve">          1508104575</v>
      </c>
      <c r="H853" s="3">
        <v>42086</v>
      </c>
      <c r="I853" s="3">
        <v>42097</v>
      </c>
      <c r="J853" s="3">
        <v>42097</v>
      </c>
      <c r="K853" s="3">
        <v>42157</v>
      </c>
      <c r="L853"/>
      <c r="N853"/>
      <c r="O853" s="4">
        <v>1470</v>
      </c>
      <c r="P853">
        <v>246</v>
      </c>
      <c r="Q853" s="4">
        <v>361620</v>
      </c>
      <c r="R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0</v>
      </c>
      <c r="AB853" s="3">
        <v>42562</v>
      </c>
      <c r="AC853" t="s">
        <v>53</v>
      </c>
      <c r="AD853" t="s">
        <v>53</v>
      </c>
      <c r="AK853">
        <v>0</v>
      </c>
      <c r="AU853" s="3">
        <v>42403</v>
      </c>
      <c r="AV853" s="3">
        <v>42403</v>
      </c>
      <c r="AW853" t="s">
        <v>54</v>
      </c>
      <c r="AX853" t="str">
        <f t="shared" si="97"/>
        <v>FOR</v>
      </c>
      <c r="AY853" t="s">
        <v>55</v>
      </c>
    </row>
    <row r="854" spans="1:51" hidden="1">
      <c r="A854">
        <v>100703</v>
      </c>
      <c r="B854" t="s">
        <v>146</v>
      </c>
      <c r="C854" t="str">
        <f t="shared" si="98"/>
        <v>05501420961</v>
      </c>
      <c r="D854" t="str">
        <f t="shared" si="98"/>
        <v>05501420961</v>
      </c>
      <c r="E854" t="s">
        <v>52</v>
      </c>
      <c r="F854">
        <v>2015</v>
      </c>
      <c r="G854" t="str">
        <f>"          1508107002"</f>
        <v xml:space="preserve">          1508107002</v>
      </c>
      <c r="H854" s="3">
        <v>42131</v>
      </c>
      <c r="I854" s="3">
        <v>42135</v>
      </c>
      <c r="J854" s="3">
        <v>42133</v>
      </c>
      <c r="K854" s="3">
        <v>42193</v>
      </c>
      <c r="L854"/>
      <c r="N854"/>
      <c r="O854" s="4">
        <v>3782.7</v>
      </c>
      <c r="P854">
        <v>259</v>
      </c>
      <c r="Q854" s="4">
        <v>979719.3</v>
      </c>
      <c r="R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 s="3">
        <v>42562</v>
      </c>
      <c r="AC854" t="s">
        <v>53</v>
      </c>
      <c r="AD854" t="s">
        <v>53</v>
      </c>
      <c r="AK854">
        <v>0</v>
      </c>
      <c r="AU854" s="3">
        <v>42452</v>
      </c>
      <c r="AV854" s="3">
        <v>42452</v>
      </c>
      <c r="AW854" t="s">
        <v>54</v>
      </c>
      <c r="AX854" t="str">
        <f t="shared" si="97"/>
        <v>FOR</v>
      </c>
      <c r="AY854" t="s">
        <v>55</v>
      </c>
    </row>
    <row r="855" spans="1:51" hidden="1">
      <c r="A855">
        <v>100703</v>
      </c>
      <c r="B855" t="s">
        <v>146</v>
      </c>
      <c r="C855" t="str">
        <f t="shared" si="98"/>
        <v>05501420961</v>
      </c>
      <c r="D855" t="str">
        <f t="shared" si="98"/>
        <v>05501420961</v>
      </c>
      <c r="E855" t="s">
        <v>52</v>
      </c>
      <c r="F855">
        <v>2015</v>
      </c>
      <c r="G855" t="str">
        <f>"          1508108092"</f>
        <v xml:space="preserve">          1508108092</v>
      </c>
      <c r="H855" s="3">
        <v>42152</v>
      </c>
      <c r="I855" s="3">
        <v>42163</v>
      </c>
      <c r="J855" s="3">
        <v>42160</v>
      </c>
      <c r="K855" s="3">
        <v>42220</v>
      </c>
      <c r="L855"/>
      <c r="N855"/>
      <c r="O855" s="4">
        <v>2450</v>
      </c>
      <c r="P855">
        <v>232</v>
      </c>
      <c r="Q855" s="4">
        <v>568400</v>
      </c>
      <c r="R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0</v>
      </c>
      <c r="AB855" s="3">
        <v>42562</v>
      </c>
      <c r="AC855" t="s">
        <v>53</v>
      </c>
      <c r="AD855" t="s">
        <v>53</v>
      </c>
      <c r="AK855">
        <v>0</v>
      </c>
      <c r="AU855" s="3">
        <v>42452</v>
      </c>
      <c r="AV855" s="3">
        <v>42452</v>
      </c>
      <c r="AW855" t="s">
        <v>54</v>
      </c>
      <c r="AX855" t="str">
        <f t="shared" si="97"/>
        <v>FOR</v>
      </c>
      <c r="AY855" t="s">
        <v>55</v>
      </c>
    </row>
    <row r="856" spans="1:51">
      <c r="A856">
        <v>100703</v>
      </c>
      <c r="B856" t="s">
        <v>146</v>
      </c>
      <c r="C856" t="str">
        <f t="shared" si="98"/>
        <v>05501420961</v>
      </c>
      <c r="D856" t="str">
        <f t="shared" si="98"/>
        <v>05501420961</v>
      </c>
      <c r="E856" t="s">
        <v>52</v>
      </c>
      <c r="F856">
        <v>2015</v>
      </c>
      <c r="G856" t="str">
        <f>"          1508109394"</f>
        <v xml:space="preserve">          1508109394</v>
      </c>
      <c r="H856" s="3">
        <v>42178</v>
      </c>
      <c r="I856" s="3">
        <v>42181</v>
      </c>
      <c r="J856" s="3">
        <v>42181</v>
      </c>
      <c r="K856" s="3">
        <v>42241</v>
      </c>
      <c r="L856" s="5">
        <v>1799.5</v>
      </c>
      <c r="M856">
        <v>286</v>
      </c>
      <c r="N856" s="5">
        <v>514657</v>
      </c>
      <c r="O856" s="4">
        <v>1799.5</v>
      </c>
      <c r="P856">
        <v>286</v>
      </c>
      <c r="Q856" s="4">
        <v>514657</v>
      </c>
      <c r="R856">
        <v>179.95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0</v>
      </c>
      <c r="AB856" s="3">
        <v>42562</v>
      </c>
      <c r="AC856" t="s">
        <v>53</v>
      </c>
      <c r="AD856" t="s">
        <v>53</v>
      </c>
      <c r="AK856">
        <v>179.95</v>
      </c>
      <c r="AU856" s="3">
        <v>42527</v>
      </c>
      <c r="AV856" s="3">
        <v>42527</v>
      </c>
      <c r="AW856" t="s">
        <v>54</v>
      </c>
      <c r="AX856" t="str">
        <f t="shared" si="97"/>
        <v>FOR</v>
      </c>
      <c r="AY856" t="s">
        <v>55</v>
      </c>
    </row>
    <row r="857" spans="1:51" hidden="1">
      <c r="A857">
        <v>100707</v>
      </c>
      <c r="B857" t="s">
        <v>147</v>
      </c>
      <c r="C857" t="str">
        <f t="shared" ref="C857:D864" si="99">"04553030638"</f>
        <v>04553030638</v>
      </c>
      <c r="D857" t="str">
        <f t="shared" si="99"/>
        <v>04553030638</v>
      </c>
      <c r="E857" t="s">
        <v>52</v>
      </c>
      <c r="F857">
        <v>2015</v>
      </c>
      <c r="G857" t="str">
        <f>"            084/2015"</f>
        <v xml:space="preserve">            084/2015</v>
      </c>
      <c r="H857" s="3">
        <v>42094</v>
      </c>
      <c r="I857" s="3">
        <v>42165</v>
      </c>
      <c r="J857" s="3">
        <v>42143</v>
      </c>
      <c r="K857" s="3">
        <v>42203</v>
      </c>
      <c r="L857"/>
      <c r="N857"/>
      <c r="O857">
        <v>654.29999999999995</v>
      </c>
      <c r="P857">
        <v>200</v>
      </c>
      <c r="Q857" s="4">
        <v>130860</v>
      </c>
      <c r="R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 s="3">
        <v>42562</v>
      </c>
      <c r="AC857" t="s">
        <v>53</v>
      </c>
      <c r="AD857" t="s">
        <v>53</v>
      </c>
      <c r="AK857">
        <v>0</v>
      </c>
      <c r="AU857" s="3">
        <v>42403</v>
      </c>
      <c r="AV857" s="3">
        <v>42403</v>
      </c>
      <c r="AW857" t="s">
        <v>54</v>
      </c>
      <c r="AX857" t="str">
        <f t="shared" si="97"/>
        <v>FOR</v>
      </c>
      <c r="AY857" t="s">
        <v>55</v>
      </c>
    </row>
    <row r="858" spans="1:51" hidden="1">
      <c r="A858">
        <v>100707</v>
      </c>
      <c r="B858" t="s">
        <v>147</v>
      </c>
      <c r="C858" t="str">
        <f t="shared" si="99"/>
        <v>04553030638</v>
      </c>
      <c r="D858" t="str">
        <f t="shared" si="99"/>
        <v>04553030638</v>
      </c>
      <c r="E858" t="s">
        <v>52</v>
      </c>
      <c r="F858">
        <v>2015</v>
      </c>
      <c r="G858" t="str">
        <f>"            110/2015"</f>
        <v xml:space="preserve">            110/2015</v>
      </c>
      <c r="H858" s="3">
        <v>42094</v>
      </c>
      <c r="I858" s="3">
        <v>42165</v>
      </c>
      <c r="J858" s="3">
        <v>42143</v>
      </c>
      <c r="K858" s="3">
        <v>42203</v>
      </c>
      <c r="L858"/>
      <c r="N858"/>
      <c r="O858" s="4">
        <v>13000</v>
      </c>
      <c r="P858">
        <v>200</v>
      </c>
      <c r="Q858" s="4">
        <v>2600000</v>
      </c>
      <c r="R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 s="3">
        <v>42562</v>
      </c>
      <c r="AC858" t="s">
        <v>53</v>
      </c>
      <c r="AD858" t="s">
        <v>53</v>
      </c>
      <c r="AK858">
        <v>0</v>
      </c>
      <c r="AU858" s="3">
        <v>42403</v>
      </c>
      <c r="AV858" s="3">
        <v>42403</v>
      </c>
      <c r="AW858" t="s">
        <v>54</v>
      </c>
      <c r="AX858" t="str">
        <f t="shared" si="97"/>
        <v>FOR</v>
      </c>
      <c r="AY858" t="s">
        <v>55</v>
      </c>
    </row>
    <row r="859" spans="1:51" hidden="1">
      <c r="A859">
        <v>100707</v>
      </c>
      <c r="B859" t="s">
        <v>147</v>
      </c>
      <c r="C859" t="str">
        <f t="shared" si="99"/>
        <v>04553030638</v>
      </c>
      <c r="D859" t="str">
        <f t="shared" si="99"/>
        <v>04553030638</v>
      </c>
      <c r="E859" t="s">
        <v>52</v>
      </c>
      <c r="F859">
        <v>2015</v>
      </c>
      <c r="G859" t="str">
        <f>"            128/2015"</f>
        <v xml:space="preserve">            128/2015</v>
      </c>
      <c r="H859" s="3">
        <v>42123</v>
      </c>
      <c r="I859" s="3">
        <v>42165</v>
      </c>
      <c r="J859" s="3">
        <v>42145</v>
      </c>
      <c r="K859" s="3">
        <v>42205</v>
      </c>
      <c r="L859"/>
      <c r="N859"/>
      <c r="O859" s="4">
        <v>1334</v>
      </c>
      <c r="P859">
        <v>211</v>
      </c>
      <c r="Q859" s="4">
        <v>281474</v>
      </c>
      <c r="R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 s="3">
        <v>42562</v>
      </c>
      <c r="AC859" t="s">
        <v>53</v>
      </c>
      <c r="AD859" t="s">
        <v>53</v>
      </c>
      <c r="AK859">
        <v>0</v>
      </c>
      <c r="AU859" s="3">
        <v>42416</v>
      </c>
      <c r="AV859" s="3">
        <v>42416</v>
      </c>
      <c r="AW859" t="s">
        <v>54</v>
      </c>
      <c r="AX859" t="str">
        <f t="shared" si="97"/>
        <v>FOR</v>
      </c>
      <c r="AY859" t="s">
        <v>55</v>
      </c>
    </row>
    <row r="860" spans="1:51" hidden="1">
      <c r="A860">
        <v>100707</v>
      </c>
      <c r="B860" t="s">
        <v>147</v>
      </c>
      <c r="C860" t="str">
        <f t="shared" si="99"/>
        <v>04553030638</v>
      </c>
      <c r="D860" t="str">
        <f t="shared" si="99"/>
        <v>04553030638</v>
      </c>
      <c r="E860" t="s">
        <v>52</v>
      </c>
      <c r="F860">
        <v>2015</v>
      </c>
      <c r="G860" t="str">
        <f>"            165/2015"</f>
        <v xml:space="preserve">            165/2015</v>
      </c>
      <c r="H860" s="3">
        <v>42153</v>
      </c>
      <c r="I860" s="3">
        <v>42202</v>
      </c>
      <c r="J860" s="3">
        <v>42201</v>
      </c>
      <c r="K860" s="3">
        <v>42261</v>
      </c>
      <c r="L860"/>
      <c r="N860"/>
      <c r="O860" s="4">
        <v>1293</v>
      </c>
      <c r="P860">
        <v>192</v>
      </c>
      <c r="Q860" s="4">
        <v>248256</v>
      </c>
      <c r="R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 s="3">
        <v>42562</v>
      </c>
      <c r="AC860" t="s">
        <v>53</v>
      </c>
      <c r="AD860" t="s">
        <v>53</v>
      </c>
      <c r="AK860">
        <v>0</v>
      </c>
      <c r="AU860" s="3">
        <v>42453</v>
      </c>
      <c r="AV860" s="3">
        <v>42453</v>
      </c>
      <c r="AW860" t="s">
        <v>54</v>
      </c>
      <c r="AX860" t="str">
        <f t="shared" si="97"/>
        <v>FOR</v>
      </c>
      <c r="AY860" t="s">
        <v>55</v>
      </c>
    </row>
    <row r="861" spans="1:51">
      <c r="A861">
        <v>100707</v>
      </c>
      <c r="B861" t="s">
        <v>147</v>
      </c>
      <c r="C861" t="str">
        <f t="shared" si="99"/>
        <v>04553030638</v>
      </c>
      <c r="D861" t="str">
        <f t="shared" si="99"/>
        <v>04553030638</v>
      </c>
      <c r="E861" t="s">
        <v>52</v>
      </c>
      <c r="F861">
        <v>2015</v>
      </c>
      <c r="G861" t="str">
        <f>"            166/2015"</f>
        <v xml:space="preserve">            166/2015</v>
      </c>
      <c r="H861" s="3">
        <v>42153</v>
      </c>
      <c r="I861" s="3">
        <v>42202</v>
      </c>
      <c r="J861" s="3">
        <v>42201</v>
      </c>
      <c r="K861" s="3">
        <v>42261</v>
      </c>
      <c r="L861" s="5">
        <v>4394.37</v>
      </c>
      <c r="M861">
        <v>231</v>
      </c>
      <c r="N861" s="5">
        <v>1015099.47</v>
      </c>
      <c r="O861" s="4">
        <v>4394.37</v>
      </c>
      <c r="P861">
        <v>231</v>
      </c>
      <c r="Q861" s="4">
        <v>1015099.47</v>
      </c>
      <c r="R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 s="3">
        <v>42562</v>
      </c>
      <c r="AC861" t="s">
        <v>53</v>
      </c>
      <c r="AD861" t="s">
        <v>53</v>
      </c>
      <c r="AK861">
        <v>0</v>
      </c>
      <c r="AU861" s="3">
        <v>42492</v>
      </c>
      <c r="AV861" s="3">
        <v>42492</v>
      </c>
      <c r="AW861" t="s">
        <v>54</v>
      </c>
      <c r="AX861" t="str">
        <f t="shared" si="97"/>
        <v>FOR</v>
      </c>
      <c r="AY861" t="s">
        <v>55</v>
      </c>
    </row>
    <row r="862" spans="1:51">
      <c r="A862">
        <v>100707</v>
      </c>
      <c r="B862" t="s">
        <v>147</v>
      </c>
      <c r="C862" t="str">
        <f t="shared" si="99"/>
        <v>04553030638</v>
      </c>
      <c r="D862" t="str">
        <f t="shared" si="99"/>
        <v>04553030638</v>
      </c>
      <c r="E862" t="s">
        <v>52</v>
      </c>
      <c r="F862">
        <v>2015</v>
      </c>
      <c r="G862" t="str">
        <f>"            189/2015"</f>
        <v xml:space="preserve">            189/2015</v>
      </c>
      <c r="H862" s="3">
        <v>42179</v>
      </c>
      <c r="I862" s="3">
        <v>42202</v>
      </c>
      <c r="J862" s="3">
        <v>42200</v>
      </c>
      <c r="K862" s="3">
        <v>42260</v>
      </c>
      <c r="L862" s="1">
        <v>457</v>
      </c>
      <c r="M862">
        <v>232</v>
      </c>
      <c r="N862" s="5">
        <v>106024</v>
      </c>
      <c r="O862">
        <v>457</v>
      </c>
      <c r="P862">
        <v>232</v>
      </c>
      <c r="Q862" s="4">
        <v>106024</v>
      </c>
      <c r="R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0</v>
      </c>
      <c r="AB862" s="3">
        <v>42562</v>
      </c>
      <c r="AC862" t="s">
        <v>53</v>
      </c>
      <c r="AD862" t="s">
        <v>53</v>
      </c>
      <c r="AK862">
        <v>0</v>
      </c>
      <c r="AU862" s="3">
        <v>42492</v>
      </c>
      <c r="AV862" s="3">
        <v>42492</v>
      </c>
      <c r="AW862" t="s">
        <v>54</v>
      </c>
      <c r="AX862" t="str">
        <f t="shared" ref="AX862:AX877" si="100">"FOR"</f>
        <v>FOR</v>
      </c>
      <c r="AY862" t="s">
        <v>55</v>
      </c>
    </row>
    <row r="863" spans="1:51">
      <c r="A863">
        <v>100707</v>
      </c>
      <c r="B863" t="s">
        <v>147</v>
      </c>
      <c r="C863" t="str">
        <f t="shared" si="99"/>
        <v>04553030638</v>
      </c>
      <c r="D863" t="str">
        <f t="shared" si="99"/>
        <v>04553030638</v>
      </c>
      <c r="E863" t="s">
        <v>52</v>
      </c>
      <c r="F863">
        <v>2015</v>
      </c>
      <c r="G863" t="str">
        <f>"            190/2015"</f>
        <v xml:space="preserve">            190/2015</v>
      </c>
      <c r="H863" s="3">
        <v>42179</v>
      </c>
      <c r="I863" s="3">
        <v>42202</v>
      </c>
      <c r="J863" s="3">
        <v>42200</v>
      </c>
      <c r="K863" s="3">
        <v>42260</v>
      </c>
      <c r="L863" s="1">
        <v>803</v>
      </c>
      <c r="M863">
        <v>232</v>
      </c>
      <c r="N863" s="5">
        <v>186296</v>
      </c>
      <c r="O863">
        <v>803</v>
      </c>
      <c r="P863">
        <v>232</v>
      </c>
      <c r="Q863" s="4">
        <v>186296</v>
      </c>
      <c r="R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 s="3">
        <v>42562</v>
      </c>
      <c r="AC863" t="s">
        <v>53</v>
      </c>
      <c r="AD863" t="s">
        <v>53</v>
      </c>
      <c r="AK863">
        <v>0</v>
      </c>
      <c r="AU863" s="3">
        <v>42492</v>
      </c>
      <c r="AV863" s="3">
        <v>42492</v>
      </c>
      <c r="AW863" t="s">
        <v>54</v>
      </c>
      <c r="AX863" t="str">
        <f t="shared" si="100"/>
        <v>FOR</v>
      </c>
      <c r="AY863" t="s">
        <v>55</v>
      </c>
    </row>
    <row r="864" spans="1:51">
      <c r="A864">
        <v>100707</v>
      </c>
      <c r="B864" t="s">
        <v>147</v>
      </c>
      <c r="C864" t="str">
        <f t="shared" si="99"/>
        <v>04553030638</v>
      </c>
      <c r="D864" t="str">
        <f t="shared" si="99"/>
        <v>04553030638</v>
      </c>
      <c r="E864" t="s">
        <v>52</v>
      </c>
      <c r="F864">
        <v>2015</v>
      </c>
      <c r="G864" t="str">
        <f>"            214/2015"</f>
        <v xml:space="preserve">            214/2015</v>
      </c>
      <c r="H864" s="3">
        <v>42185</v>
      </c>
      <c r="I864" s="3">
        <v>42202</v>
      </c>
      <c r="J864" s="3">
        <v>42200</v>
      </c>
      <c r="K864" s="3">
        <v>42260</v>
      </c>
      <c r="L864" s="5">
        <v>13000</v>
      </c>
      <c r="M864">
        <v>232</v>
      </c>
      <c r="N864" s="5">
        <v>3016000</v>
      </c>
      <c r="O864" s="4">
        <v>13000</v>
      </c>
      <c r="P864">
        <v>232</v>
      </c>
      <c r="Q864" s="4">
        <v>3016000</v>
      </c>
      <c r="R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0</v>
      </c>
      <c r="AB864" s="3">
        <v>42562</v>
      </c>
      <c r="AC864" t="s">
        <v>53</v>
      </c>
      <c r="AD864" t="s">
        <v>53</v>
      </c>
      <c r="AK864">
        <v>0</v>
      </c>
      <c r="AU864" s="3">
        <v>42492</v>
      </c>
      <c r="AV864" s="3">
        <v>42492</v>
      </c>
      <c r="AW864" t="s">
        <v>54</v>
      </c>
      <c r="AX864" t="str">
        <f t="shared" si="100"/>
        <v>FOR</v>
      </c>
      <c r="AY864" t="s">
        <v>55</v>
      </c>
    </row>
    <row r="865" spans="1:51">
      <c r="A865">
        <v>100712</v>
      </c>
      <c r="B865" t="s">
        <v>148</v>
      </c>
      <c r="C865" t="str">
        <f t="shared" ref="C865:C873" si="101">"01698911003"</f>
        <v>01698911003</v>
      </c>
      <c r="D865" t="str">
        <f t="shared" ref="D865:D873" si="102">"07149930583"</f>
        <v>07149930583</v>
      </c>
      <c r="E865" t="s">
        <v>52</v>
      </c>
      <c r="F865">
        <v>2013</v>
      </c>
      <c r="G865" t="str">
        <f>"            13003015"</f>
        <v xml:space="preserve">            13003015</v>
      </c>
      <c r="H865" s="3">
        <v>41302</v>
      </c>
      <c r="I865" s="3">
        <v>41306</v>
      </c>
      <c r="J865" s="3">
        <v>41306</v>
      </c>
      <c r="K865" s="3">
        <v>41396</v>
      </c>
      <c r="L865" s="5">
        <v>52073.26</v>
      </c>
      <c r="M865">
        <v>1139</v>
      </c>
      <c r="N865" s="5">
        <v>59311443.140000001</v>
      </c>
      <c r="O865" s="4">
        <v>52073.26</v>
      </c>
      <c r="P865">
        <v>1139</v>
      </c>
      <c r="Q865" s="4">
        <v>59311443.140000001</v>
      </c>
      <c r="R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 s="3">
        <v>42562</v>
      </c>
      <c r="AC865" t="s">
        <v>53</v>
      </c>
      <c r="AD865" t="s">
        <v>53</v>
      </c>
      <c r="AK865">
        <v>0</v>
      </c>
      <c r="AU865" s="3">
        <v>42535</v>
      </c>
      <c r="AV865" s="3">
        <v>42535</v>
      </c>
      <c r="AW865" t="s">
        <v>54</v>
      </c>
      <c r="AX865" t="str">
        <f t="shared" si="100"/>
        <v>FOR</v>
      </c>
      <c r="AY865" t="s">
        <v>55</v>
      </c>
    </row>
    <row r="866" spans="1:51">
      <c r="A866">
        <v>100712</v>
      </c>
      <c r="B866" t="s">
        <v>148</v>
      </c>
      <c r="C866" t="str">
        <f t="shared" si="101"/>
        <v>01698911003</v>
      </c>
      <c r="D866" t="str">
        <f t="shared" si="102"/>
        <v>07149930583</v>
      </c>
      <c r="E866" t="s">
        <v>52</v>
      </c>
      <c r="F866">
        <v>2013</v>
      </c>
      <c r="G866" t="str">
        <f>"            13003016"</f>
        <v xml:space="preserve">            13003016</v>
      </c>
      <c r="H866" s="3">
        <v>41302</v>
      </c>
      <c r="I866" s="3">
        <v>41306</v>
      </c>
      <c r="J866" s="3">
        <v>41306</v>
      </c>
      <c r="K866" s="3">
        <v>41396</v>
      </c>
      <c r="L866" s="5">
        <v>10629.11</v>
      </c>
      <c r="M866">
        <v>1139</v>
      </c>
      <c r="N866" s="5">
        <v>12106556.289999999</v>
      </c>
      <c r="O866" s="4">
        <v>10629.11</v>
      </c>
      <c r="P866">
        <v>1139</v>
      </c>
      <c r="Q866" s="4">
        <v>12106556.289999999</v>
      </c>
      <c r="R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0</v>
      </c>
      <c r="AB866" s="3">
        <v>42562</v>
      </c>
      <c r="AC866" t="s">
        <v>53</v>
      </c>
      <c r="AD866" t="s">
        <v>53</v>
      </c>
      <c r="AK866">
        <v>0</v>
      </c>
      <c r="AU866" s="3">
        <v>42535</v>
      </c>
      <c r="AV866" s="3">
        <v>42535</v>
      </c>
      <c r="AW866" t="s">
        <v>54</v>
      </c>
      <c r="AX866" t="str">
        <f t="shared" si="100"/>
        <v>FOR</v>
      </c>
      <c r="AY866" t="s">
        <v>55</v>
      </c>
    </row>
    <row r="867" spans="1:51">
      <c r="A867">
        <v>100712</v>
      </c>
      <c r="B867" t="s">
        <v>148</v>
      </c>
      <c r="C867" t="str">
        <f t="shared" si="101"/>
        <v>01698911003</v>
      </c>
      <c r="D867" t="str">
        <f t="shared" si="102"/>
        <v>07149930583</v>
      </c>
      <c r="E867" t="s">
        <v>52</v>
      </c>
      <c r="F867">
        <v>2013</v>
      </c>
      <c r="G867" t="str">
        <f>"            13003017"</f>
        <v xml:space="preserve">            13003017</v>
      </c>
      <c r="H867" s="3">
        <v>41302</v>
      </c>
      <c r="I867" s="3">
        <v>41306</v>
      </c>
      <c r="J867" s="3">
        <v>41306</v>
      </c>
      <c r="K867" s="3">
        <v>41396</v>
      </c>
      <c r="L867" s="5">
        <v>3558.54</v>
      </c>
      <c r="M867">
        <v>1139</v>
      </c>
      <c r="N867" s="5">
        <v>4053177.06</v>
      </c>
      <c r="O867" s="4">
        <v>3558.54</v>
      </c>
      <c r="P867">
        <v>1139</v>
      </c>
      <c r="Q867" s="4">
        <v>4053177.06</v>
      </c>
      <c r="R867">
        <v>0</v>
      </c>
      <c r="V867">
        <v>0</v>
      </c>
      <c r="W867">
        <v>0</v>
      </c>
      <c r="X867">
        <v>0</v>
      </c>
      <c r="Y867">
        <v>0</v>
      </c>
      <c r="Z867">
        <v>0</v>
      </c>
      <c r="AA867">
        <v>0</v>
      </c>
      <c r="AB867" s="3">
        <v>42562</v>
      </c>
      <c r="AC867" t="s">
        <v>53</v>
      </c>
      <c r="AD867" t="s">
        <v>53</v>
      </c>
      <c r="AK867">
        <v>0</v>
      </c>
      <c r="AU867" s="3">
        <v>42535</v>
      </c>
      <c r="AV867" s="3">
        <v>42535</v>
      </c>
      <c r="AW867" t="s">
        <v>54</v>
      </c>
      <c r="AX867" t="str">
        <f t="shared" si="100"/>
        <v>FOR</v>
      </c>
      <c r="AY867" t="s">
        <v>55</v>
      </c>
    </row>
    <row r="868" spans="1:51">
      <c r="A868">
        <v>100712</v>
      </c>
      <c r="B868" t="s">
        <v>148</v>
      </c>
      <c r="C868" t="str">
        <f t="shared" si="101"/>
        <v>01698911003</v>
      </c>
      <c r="D868" t="str">
        <f t="shared" si="102"/>
        <v>07149930583</v>
      </c>
      <c r="E868" t="s">
        <v>52</v>
      </c>
      <c r="F868">
        <v>2013</v>
      </c>
      <c r="G868" t="str">
        <f>"            13008233"</f>
        <v xml:space="preserve">            13008233</v>
      </c>
      <c r="H868" s="3">
        <v>41337</v>
      </c>
      <c r="I868" s="3">
        <v>41341</v>
      </c>
      <c r="J868" s="3">
        <v>41341</v>
      </c>
      <c r="K868" s="3">
        <v>41431</v>
      </c>
      <c r="L868" s="5">
        <v>5186.8100000000004</v>
      </c>
      <c r="M868">
        <v>1104</v>
      </c>
      <c r="N868" s="5">
        <v>5726238.2400000002</v>
      </c>
      <c r="O868" s="4">
        <v>5186.8100000000004</v>
      </c>
      <c r="P868">
        <v>1104</v>
      </c>
      <c r="Q868" s="4">
        <v>5726238.2400000002</v>
      </c>
      <c r="R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 s="3">
        <v>42562</v>
      </c>
      <c r="AC868" t="s">
        <v>53</v>
      </c>
      <c r="AD868" t="s">
        <v>53</v>
      </c>
      <c r="AK868">
        <v>0</v>
      </c>
      <c r="AU868" s="3">
        <v>42535</v>
      </c>
      <c r="AV868" s="3">
        <v>42535</v>
      </c>
      <c r="AW868" t="s">
        <v>54</v>
      </c>
      <c r="AX868" t="str">
        <f t="shared" si="100"/>
        <v>FOR</v>
      </c>
      <c r="AY868" t="s">
        <v>55</v>
      </c>
    </row>
    <row r="869" spans="1:51">
      <c r="A869">
        <v>100712</v>
      </c>
      <c r="B869" t="s">
        <v>148</v>
      </c>
      <c r="C869" t="str">
        <f t="shared" si="101"/>
        <v>01698911003</v>
      </c>
      <c r="D869" t="str">
        <f t="shared" si="102"/>
        <v>07149930583</v>
      </c>
      <c r="E869" t="s">
        <v>52</v>
      </c>
      <c r="F869">
        <v>2013</v>
      </c>
      <c r="G869" t="str">
        <f>"            13009846"</f>
        <v xml:space="preserve">            13009846</v>
      </c>
      <c r="H869" s="3">
        <v>41345</v>
      </c>
      <c r="I869" s="3">
        <v>41351</v>
      </c>
      <c r="J869" s="3">
        <v>41351</v>
      </c>
      <c r="K869" s="3">
        <v>41441</v>
      </c>
      <c r="L869" s="5">
        <v>34779.54</v>
      </c>
      <c r="M869">
        <v>1094</v>
      </c>
      <c r="N869" s="5">
        <v>38048816.759999998</v>
      </c>
      <c r="O869" s="4">
        <v>34779.54</v>
      </c>
      <c r="P869">
        <v>1094</v>
      </c>
      <c r="Q869" s="4">
        <v>38048816.759999998</v>
      </c>
      <c r="R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 s="3">
        <v>42562</v>
      </c>
      <c r="AC869" t="s">
        <v>53</v>
      </c>
      <c r="AD869" t="s">
        <v>53</v>
      </c>
      <c r="AK869">
        <v>0</v>
      </c>
      <c r="AU869" s="3">
        <v>42535</v>
      </c>
      <c r="AV869" s="3">
        <v>42535</v>
      </c>
      <c r="AW869" t="s">
        <v>54</v>
      </c>
      <c r="AX869" t="str">
        <f t="shared" si="100"/>
        <v>FOR</v>
      </c>
      <c r="AY869" t="s">
        <v>55</v>
      </c>
    </row>
    <row r="870" spans="1:51">
      <c r="A870">
        <v>100712</v>
      </c>
      <c r="B870" t="s">
        <v>148</v>
      </c>
      <c r="C870" t="str">
        <f t="shared" si="101"/>
        <v>01698911003</v>
      </c>
      <c r="D870" t="str">
        <f t="shared" si="102"/>
        <v>07149930583</v>
      </c>
      <c r="E870" t="s">
        <v>52</v>
      </c>
      <c r="F870">
        <v>2013</v>
      </c>
      <c r="G870" t="str">
        <f>"            13011709"</f>
        <v xml:space="preserve">            13011709</v>
      </c>
      <c r="H870" s="3">
        <v>41366</v>
      </c>
      <c r="I870" s="3">
        <v>41373</v>
      </c>
      <c r="J870" s="3">
        <v>41373</v>
      </c>
      <c r="K870" s="3">
        <v>41463</v>
      </c>
      <c r="L870" s="5">
        <v>20154.7</v>
      </c>
      <c r="M870">
        <v>1072</v>
      </c>
      <c r="N870" s="5">
        <v>21605838.399999999</v>
      </c>
      <c r="O870" s="4">
        <v>20154.7</v>
      </c>
      <c r="P870">
        <v>1072</v>
      </c>
      <c r="Q870" s="4">
        <v>21605838.399999999</v>
      </c>
      <c r="R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 s="3">
        <v>42562</v>
      </c>
      <c r="AC870" t="s">
        <v>53</v>
      </c>
      <c r="AD870" t="s">
        <v>53</v>
      </c>
      <c r="AK870">
        <v>0</v>
      </c>
      <c r="AU870" s="3">
        <v>42535</v>
      </c>
      <c r="AV870" s="3">
        <v>42535</v>
      </c>
      <c r="AW870" t="s">
        <v>54</v>
      </c>
      <c r="AX870" t="str">
        <f t="shared" si="100"/>
        <v>FOR</v>
      </c>
      <c r="AY870" t="s">
        <v>55</v>
      </c>
    </row>
    <row r="871" spans="1:51">
      <c r="A871">
        <v>100712</v>
      </c>
      <c r="B871" t="s">
        <v>148</v>
      </c>
      <c r="C871" t="str">
        <f t="shared" si="101"/>
        <v>01698911003</v>
      </c>
      <c r="D871" t="str">
        <f t="shared" si="102"/>
        <v>07149930583</v>
      </c>
      <c r="E871" t="s">
        <v>52</v>
      </c>
      <c r="F871">
        <v>2013</v>
      </c>
      <c r="G871" t="str">
        <f>"            13013259"</f>
        <v xml:space="preserve">            13013259</v>
      </c>
      <c r="H871" s="3">
        <v>41375</v>
      </c>
      <c r="I871" s="3">
        <v>41381</v>
      </c>
      <c r="J871" s="3">
        <v>41381</v>
      </c>
      <c r="K871" s="3">
        <v>41471</v>
      </c>
      <c r="L871" s="5">
        <v>29655.95</v>
      </c>
      <c r="M871">
        <v>1064</v>
      </c>
      <c r="N871" s="5">
        <v>31553930.800000001</v>
      </c>
      <c r="O871" s="4">
        <v>29655.95</v>
      </c>
      <c r="P871">
        <v>1064</v>
      </c>
      <c r="Q871" s="4">
        <v>31553930.800000001</v>
      </c>
      <c r="R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0</v>
      </c>
      <c r="AB871" s="3">
        <v>42562</v>
      </c>
      <c r="AC871" t="s">
        <v>53</v>
      </c>
      <c r="AD871" t="s">
        <v>53</v>
      </c>
      <c r="AK871">
        <v>0</v>
      </c>
      <c r="AU871" s="3">
        <v>42535</v>
      </c>
      <c r="AV871" s="3">
        <v>42535</v>
      </c>
      <c r="AW871" t="s">
        <v>54</v>
      </c>
      <c r="AX871" t="str">
        <f t="shared" si="100"/>
        <v>FOR</v>
      </c>
      <c r="AY871" t="s">
        <v>55</v>
      </c>
    </row>
    <row r="872" spans="1:51">
      <c r="A872">
        <v>100712</v>
      </c>
      <c r="B872" t="s">
        <v>148</v>
      </c>
      <c r="C872" t="str">
        <f t="shared" si="101"/>
        <v>01698911003</v>
      </c>
      <c r="D872" t="str">
        <f t="shared" si="102"/>
        <v>07149930583</v>
      </c>
      <c r="E872" t="s">
        <v>52</v>
      </c>
      <c r="F872">
        <v>2013</v>
      </c>
      <c r="G872" t="str">
        <f>"            13021610"</f>
        <v xml:space="preserve">            13021610</v>
      </c>
      <c r="H872" s="3">
        <v>41457</v>
      </c>
      <c r="I872" s="3">
        <v>41466</v>
      </c>
      <c r="J872" s="3">
        <v>41466</v>
      </c>
      <c r="K872" s="3">
        <v>41556</v>
      </c>
      <c r="L872" s="5">
        <v>5932.1</v>
      </c>
      <c r="M872">
        <v>979</v>
      </c>
      <c r="N872" s="5">
        <v>5807525.9000000004</v>
      </c>
      <c r="O872" s="4">
        <v>5932.1</v>
      </c>
      <c r="P872">
        <v>979</v>
      </c>
      <c r="Q872" s="4">
        <v>5807525.9000000004</v>
      </c>
      <c r="R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 s="3">
        <v>42562</v>
      </c>
      <c r="AC872" t="s">
        <v>53</v>
      </c>
      <c r="AD872" t="s">
        <v>53</v>
      </c>
      <c r="AK872">
        <v>0</v>
      </c>
      <c r="AU872" s="3">
        <v>42535</v>
      </c>
      <c r="AV872" s="3">
        <v>42535</v>
      </c>
      <c r="AW872" t="s">
        <v>54</v>
      </c>
      <c r="AX872" t="str">
        <f t="shared" si="100"/>
        <v>FOR</v>
      </c>
      <c r="AY872" t="s">
        <v>55</v>
      </c>
    </row>
    <row r="873" spans="1:51">
      <c r="A873">
        <v>100712</v>
      </c>
      <c r="B873" t="s">
        <v>148</v>
      </c>
      <c r="C873" t="str">
        <f t="shared" si="101"/>
        <v>01698911003</v>
      </c>
      <c r="D873" t="str">
        <f t="shared" si="102"/>
        <v>07149930583</v>
      </c>
      <c r="E873" t="s">
        <v>52</v>
      </c>
      <c r="F873">
        <v>2014</v>
      </c>
      <c r="G873" t="str">
        <f>"            13013059"</f>
        <v xml:space="preserve">            13013059</v>
      </c>
      <c r="H873" s="3">
        <v>41740</v>
      </c>
      <c r="I873" s="3">
        <v>42185</v>
      </c>
      <c r="J873" s="3">
        <v>42185</v>
      </c>
      <c r="K873" s="3">
        <v>42245</v>
      </c>
      <c r="L873" s="5">
        <v>88721.21</v>
      </c>
      <c r="M873">
        <v>285</v>
      </c>
      <c r="N873" s="5">
        <v>25285544.850000001</v>
      </c>
      <c r="O873" s="4">
        <v>88721.21</v>
      </c>
      <c r="P873">
        <v>285</v>
      </c>
      <c r="Q873" s="4">
        <v>25285544.850000001</v>
      </c>
      <c r="R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0</v>
      </c>
      <c r="AB873" s="3">
        <v>42562</v>
      </c>
      <c r="AC873" t="s">
        <v>53</v>
      </c>
      <c r="AD873" t="s">
        <v>53</v>
      </c>
      <c r="AK873">
        <v>0</v>
      </c>
      <c r="AU873" s="3">
        <v>42530</v>
      </c>
      <c r="AV873" s="3">
        <v>42530</v>
      </c>
      <c r="AW873" t="s">
        <v>54</v>
      </c>
      <c r="AX873" t="str">
        <f t="shared" si="100"/>
        <v>FOR</v>
      </c>
      <c r="AY873" t="s">
        <v>55</v>
      </c>
    </row>
    <row r="874" spans="1:51">
      <c r="A874">
        <v>100714</v>
      </c>
      <c r="B874" t="s">
        <v>149</v>
      </c>
      <c r="C874" t="str">
        <f t="shared" ref="C874:D877" si="103">"05653560960"</f>
        <v>05653560960</v>
      </c>
      <c r="D874" t="str">
        <f t="shared" si="103"/>
        <v>05653560960</v>
      </c>
      <c r="E874" t="s">
        <v>52</v>
      </c>
      <c r="F874">
        <v>2013</v>
      </c>
      <c r="G874" t="str">
        <f>"            11320934"</f>
        <v xml:space="preserve">            11320934</v>
      </c>
      <c r="H874" s="3">
        <v>41305</v>
      </c>
      <c r="I874" s="3">
        <v>41311</v>
      </c>
      <c r="J874" s="3">
        <v>41311</v>
      </c>
      <c r="K874" s="3">
        <v>41401</v>
      </c>
      <c r="L874" s="5">
        <v>8978.2000000000007</v>
      </c>
      <c r="M874">
        <v>1134</v>
      </c>
      <c r="N874" s="5">
        <v>10181278.800000001</v>
      </c>
      <c r="O874" s="4">
        <v>8978.2000000000007</v>
      </c>
      <c r="P874">
        <v>1134</v>
      </c>
      <c r="Q874" s="4">
        <v>10181278.800000001</v>
      </c>
      <c r="R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 s="3">
        <v>42562</v>
      </c>
      <c r="AC874" t="s">
        <v>53</v>
      </c>
      <c r="AD874" t="s">
        <v>53</v>
      </c>
      <c r="AK874">
        <v>0</v>
      </c>
      <c r="AU874" s="3">
        <v>42535</v>
      </c>
      <c r="AV874" s="3">
        <v>42535</v>
      </c>
      <c r="AW874" t="s">
        <v>54</v>
      </c>
      <c r="AX874" t="str">
        <f t="shared" si="100"/>
        <v>FOR</v>
      </c>
      <c r="AY874" t="s">
        <v>55</v>
      </c>
    </row>
    <row r="875" spans="1:51">
      <c r="A875">
        <v>100714</v>
      </c>
      <c r="B875" t="s">
        <v>149</v>
      </c>
      <c r="C875" t="str">
        <f t="shared" si="103"/>
        <v>05653560960</v>
      </c>
      <c r="D875" t="str">
        <f t="shared" si="103"/>
        <v>05653560960</v>
      </c>
      <c r="E875" t="s">
        <v>52</v>
      </c>
      <c r="F875">
        <v>2014</v>
      </c>
      <c r="G875" t="str">
        <f>"            11348046"</f>
        <v xml:space="preserve">            11348046</v>
      </c>
      <c r="H875" s="3">
        <v>41891</v>
      </c>
      <c r="I875" s="3">
        <v>41897</v>
      </c>
      <c r="J875" s="3">
        <v>41897</v>
      </c>
      <c r="K875" s="3">
        <v>41987</v>
      </c>
      <c r="L875" s="5">
        <v>4574.3900000000003</v>
      </c>
      <c r="M875">
        <v>543</v>
      </c>
      <c r="N875" s="5">
        <v>2483893.77</v>
      </c>
      <c r="O875" s="4">
        <v>4574.3900000000003</v>
      </c>
      <c r="P875">
        <v>543</v>
      </c>
      <c r="Q875" s="4">
        <v>2483893.77</v>
      </c>
      <c r="R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0</v>
      </c>
      <c r="AB875" s="3">
        <v>42562</v>
      </c>
      <c r="AC875" t="s">
        <v>53</v>
      </c>
      <c r="AD875" t="s">
        <v>53</v>
      </c>
      <c r="AK875">
        <v>0</v>
      </c>
      <c r="AU875" s="3">
        <v>42530</v>
      </c>
      <c r="AV875" s="3">
        <v>42530</v>
      </c>
      <c r="AW875" t="s">
        <v>54</v>
      </c>
      <c r="AX875" t="str">
        <f t="shared" si="100"/>
        <v>FOR</v>
      </c>
      <c r="AY875" t="s">
        <v>55</v>
      </c>
    </row>
    <row r="876" spans="1:51" hidden="1">
      <c r="A876">
        <v>100714</v>
      </c>
      <c r="B876" t="s">
        <v>149</v>
      </c>
      <c r="C876" t="str">
        <f t="shared" si="103"/>
        <v>05653560960</v>
      </c>
      <c r="D876" t="str">
        <f t="shared" si="103"/>
        <v>05653560960</v>
      </c>
      <c r="E876" t="s">
        <v>52</v>
      </c>
      <c r="F876">
        <v>2015</v>
      </c>
      <c r="G876" t="str">
        <f>"           111362501"</f>
        <v xml:space="preserve">           111362501</v>
      </c>
      <c r="H876" s="3">
        <v>42086</v>
      </c>
      <c r="I876" s="3">
        <v>42095</v>
      </c>
      <c r="J876" s="3">
        <v>42095</v>
      </c>
      <c r="K876" s="3">
        <v>42155</v>
      </c>
      <c r="L876"/>
      <c r="N876"/>
      <c r="O876" s="4">
        <v>3749.5</v>
      </c>
      <c r="P876">
        <v>249</v>
      </c>
      <c r="Q876" s="4">
        <v>933625.5</v>
      </c>
      <c r="R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0</v>
      </c>
      <c r="AB876" s="3">
        <v>42562</v>
      </c>
      <c r="AC876" t="s">
        <v>53</v>
      </c>
      <c r="AD876" t="s">
        <v>53</v>
      </c>
      <c r="AK876">
        <v>0</v>
      </c>
      <c r="AU876" s="3">
        <v>42404</v>
      </c>
      <c r="AV876" s="3">
        <v>42404</v>
      </c>
      <c r="AW876" t="s">
        <v>54</v>
      </c>
      <c r="AX876" t="str">
        <f t="shared" si="100"/>
        <v>FOR</v>
      </c>
      <c r="AY876" t="s">
        <v>55</v>
      </c>
    </row>
    <row r="877" spans="1:51">
      <c r="A877">
        <v>100714</v>
      </c>
      <c r="B877" t="s">
        <v>149</v>
      </c>
      <c r="C877" t="str">
        <f t="shared" si="103"/>
        <v>05653560960</v>
      </c>
      <c r="D877" t="str">
        <f t="shared" si="103"/>
        <v>05653560960</v>
      </c>
      <c r="E877" t="s">
        <v>52</v>
      </c>
      <c r="F877">
        <v>2015</v>
      </c>
      <c r="G877" t="str">
        <f>"          0111365937"</f>
        <v xml:space="preserve">          0111365937</v>
      </c>
      <c r="H877" s="3">
        <v>42185</v>
      </c>
      <c r="I877" s="3">
        <v>42242</v>
      </c>
      <c r="J877" s="3">
        <v>42241</v>
      </c>
      <c r="K877" s="3">
        <v>42301</v>
      </c>
      <c r="L877" s="5">
        <v>3749.5</v>
      </c>
      <c r="M877">
        <v>219</v>
      </c>
      <c r="N877" s="5">
        <v>821140.5</v>
      </c>
      <c r="O877" s="4">
        <v>3749.5</v>
      </c>
      <c r="P877">
        <v>219</v>
      </c>
      <c r="Q877" s="4">
        <v>821140.5</v>
      </c>
      <c r="R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>
        <v>0</v>
      </c>
      <c r="AB877" s="3">
        <v>42562</v>
      </c>
      <c r="AC877" t="s">
        <v>53</v>
      </c>
      <c r="AD877" t="s">
        <v>53</v>
      </c>
      <c r="AK877">
        <v>0</v>
      </c>
      <c r="AU877" s="3">
        <v>42520</v>
      </c>
      <c r="AV877" s="3">
        <v>42520</v>
      </c>
      <c r="AW877" t="s">
        <v>54</v>
      </c>
      <c r="AX877" t="str">
        <f t="shared" si="100"/>
        <v>FOR</v>
      </c>
      <c r="AY877" t="s">
        <v>55</v>
      </c>
    </row>
    <row r="878" spans="1:51" hidden="1">
      <c r="A878">
        <v>100731</v>
      </c>
      <c r="B878" t="s">
        <v>150</v>
      </c>
      <c r="C878" t="str">
        <f t="shared" ref="C878:C883" si="104">"01120190622"</f>
        <v>01120190622</v>
      </c>
      <c r="D878" t="str">
        <f t="shared" ref="D878:D883" si="105">"DLGSFN68E51A783Q"</f>
        <v>DLGSFN68E51A783Q</v>
      </c>
      <c r="E878" t="s">
        <v>52</v>
      </c>
      <c r="F878">
        <v>2016</v>
      </c>
      <c r="G878" t="str">
        <f>"              1\2016"</f>
        <v xml:space="preserve">              1\2016</v>
      </c>
      <c r="H878" s="3">
        <v>42387</v>
      </c>
      <c r="I878" s="3">
        <v>42388</v>
      </c>
      <c r="J878" s="3">
        <v>42387</v>
      </c>
      <c r="K878" s="3">
        <v>42447</v>
      </c>
      <c r="L878"/>
      <c r="N878"/>
      <c r="O878" s="4">
        <v>2439.19</v>
      </c>
      <c r="P878">
        <v>-44</v>
      </c>
      <c r="Q878" s="4">
        <v>-107324.36</v>
      </c>
      <c r="R878">
        <v>0</v>
      </c>
      <c r="V878">
        <v>0</v>
      </c>
      <c r="W878">
        <v>0</v>
      </c>
      <c r="X878">
        <v>0</v>
      </c>
      <c r="Y878" s="4">
        <v>2439.19</v>
      </c>
      <c r="Z878" s="4">
        <v>2439.19</v>
      </c>
      <c r="AA878" s="4">
        <v>2439.19</v>
      </c>
      <c r="AB878" s="3">
        <v>42562</v>
      </c>
      <c r="AC878" t="s">
        <v>53</v>
      </c>
      <c r="AD878" t="s">
        <v>53</v>
      </c>
      <c r="AK878">
        <v>0</v>
      </c>
      <c r="AU878" s="3">
        <v>42403</v>
      </c>
      <c r="AV878" s="3">
        <v>42403</v>
      </c>
      <c r="AW878" t="s">
        <v>54</v>
      </c>
      <c r="AX878" t="str">
        <f t="shared" ref="AX878:AX883" si="106">"ALTPRO"</f>
        <v>ALTPRO</v>
      </c>
      <c r="AY878" t="s">
        <v>93</v>
      </c>
    </row>
    <row r="879" spans="1:51" hidden="1">
      <c r="A879">
        <v>100731</v>
      </c>
      <c r="B879" t="s">
        <v>150</v>
      </c>
      <c r="C879" t="str">
        <f t="shared" si="104"/>
        <v>01120190622</v>
      </c>
      <c r="D879" t="str">
        <f t="shared" si="105"/>
        <v>DLGSFN68E51A783Q</v>
      </c>
      <c r="E879" t="s">
        <v>52</v>
      </c>
      <c r="F879">
        <v>2016</v>
      </c>
      <c r="G879" t="str">
        <f>"              2\2016"</f>
        <v xml:space="preserve">              2\2016</v>
      </c>
      <c r="H879" s="3">
        <v>42394</v>
      </c>
      <c r="I879" s="3">
        <v>42395</v>
      </c>
      <c r="J879" s="3">
        <v>42394</v>
      </c>
      <c r="K879" s="3">
        <v>42454</v>
      </c>
      <c r="L879"/>
      <c r="N879"/>
      <c r="O879" s="4">
        <v>2244.48</v>
      </c>
      <c r="P879">
        <v>-51</v>
      </c>
      <c r="Q879" s="4">
        <v>-114468.48</v>
      </c>
      <c r="R879">
        <v>0</v>
      </c>
      <c r="V879">
        <v>0</v>
      </c>
      <c r="W879">
        <v>0</v>
      </c>
      <c r="X879">
        <v>0</v>
      </c>
      <c r="Y879" s="4">
        <v>2244.48</v>
      </c>
      <c r="Z879" s="4">
        <v>2244.48</v>
      </c>
      <c r="AA879" s="4">
        <v>2244.48</v>
      </c>
      <c r="AB879" s="3">
        <v>42562</v>
      </c>
      <c r="AC879" t="s">
        <v>53</v>
      </c>
      <c r="AD879" t="s">
        <v>53</v>
      </c>
      <c r="AK879">
        <v>0</v>
      </c>
      <c r="AU879" s="3">
        <v>42403</v>
      </c>
      <c r="AV879" s="3">
        <v>42403</v>
      </c>
      <c r="AW879" t="s">
        <v>54</v>
      </c>
      <c r="AX879" t="str">
        <f t="shared" si="106"/>
        <v>ALTPRO</v>
      </c>
      <c r="AY879" t="s">
        <v>93</v>
      </c>
    </row>
    <row r="880" spans="1:51" hidden="1">
      <c r="A880">
        <v>100731</v>
      </c>
      <c r="B880" t="s">
        <v>150</v>
      </c>
      <c r="C880" t="str">
        <f t="shared" si="104"/>
        <v>01120190622</v>
      </c>
      <c r="D880" t="str">
        <f t="shared" si="105"/>
        <v>DLGSFN68E51A783Q</v>
      </c>
      <c r="E880" t="s">
        <v>52</v>
      </c>
      <c r="F880">
        <v>2016</v>
      </c>
      <c r="G880" t="str">
        <f>"              3\2016"</f>
        <v xml:space="preserve">              3\2016</v>
      </c>
      <c r="H880" s="3">
        <v>42423</v>
      </c>
      <c r="I880" s="3">
        <v>42436</v>
      </c>
      <c r="J880" s="3">
        <v>42436</v>
      </c>
      <c r="K880" s="3">
        <v>42496</v>
      </c>
      <c r="L880"/>
      <c r="N880"/>
      <c r="O880">
        <v>294</v>
      </c>
      <c r="P880">
        <v>-45</v>
      </c>
      <c r="Q880" s="4">
        <v>-13230</v>
      </c>
      <c r="R880">
        <v>0</v>
      </c>
      <c r="V880">
        <v>0</v>
      </c>
      <c r="W880">
        <v>0</v>
      </c>
      <c r="X880">
        <v>0</v>
      </c>
      <c r="Y880">
        <v>294</v>
      </c>
      <c r="Z880">
        <v>294</v>
      </c>
      <c r="AA880">
        <v>294</v>
      </c>
      <c r="AB880" s="3">
        <v>42562</v>
      </c>
      <c r="AC880" t="s">
        <v>53</v>
      </c>
      <c r="AD880" t="s">
        <v>53</v>
      </c>
      <c r="AK880">
        <v>0</v>
      </c>
      <c r="AU880" s="3">
        <v>42451</v>
      </c>
      <c r="AV880" s="3">
        <v>42451</v>
      </c>
      <c r="AW880" t="s">
        <v>54</v>
      </c>
      <c r="AX880" t="str">
        <f t="shared" si="106"/>
        <v>ALTPRO</v>
      </c>
      <c r="AY880" t="s">
        <v>93</v>
      </c>
    </row>
    <row r="881" spans="1:51" hidden="1">
      <c r="A881">
        <v>100731</v>
      </c>
      <c r="B881" t="s">
        <v>150</v>
      </c>
      <c r="C881" t="str">
        <f t="shared" si="104"/>
        <v>01120190622</v>
      </c>
      <c r="D881" t="str">
        <f t="shared" si="105"/>
        <v>DLGSFN68E51A783Q</v>
      </c>
      <c r="E881" t="s">
        <v>52</v>
      </c>
      <c r="F881">
        <v>2016</v>
      </c>
      <c r="G881" t="str">
        <f>"              4\2016"</f>
        <v xml:space="preserve">              4\2016</v>
      </c>
      <c r="H881" s="3">
        <v>42423</v>
      </c>
      <c r="I881" s="3">
        <v>42436</v>
      </c>
      <c r="J881" s="3">
        <v>42436</v>
      </c>
      <c r="K881" s="3">
        <v>42496</v>
      </c>
      <c r="L881"/>
      <c r="N881"/>
      <c r="O881">
        <v>569.25</v>
      </c>
      <c r="P881">
        <v>-45</v>
      </c>
      <c r="Q881" s="4">
        <v>-25616.25</v>
      </c>
      <c r="R881">
        <v>0</v>
      </c>
      <c r="V881">
        <v>0</v>
      </c>
      <c r="W881">
        <v>0</v>
      </c>
      <c r="X881">
        <v>0</v>
      </c>
      <c r="Y881">
        <v>569.25</v>
      </c>
      <c r="Z881">
        <v>569.25</v>
      </c>
      <c r="AA881">
        <v>569.25</v>
      </c>
      <c r="AB881" s="3">
        <v>42562</v>
      </c>
      <c r="AC881" t="s">
        <v>53</v>
      </c>
      <c r="AD881" t="s">
        <v>53</v>
      </c>
      <c r="AK881">
        <v>0</v>
      </c>
      <c r="AU881" s="3">
        <v>42451</v>
      </c>
      <c r="AV881" s="3">
        <v>42451</v>
      </c>
      <c r="AW881" t="s">
        <v>54</v>
      </c>
      <c r="AX881" t="str">
        <f t="shared" si="106"/>
        <v>ALTPRO</v>
      </c>
      <c r="AY881" t="s">
        <v>93</v>
      </c>
    </row>
    <row r="882" spans="1:51">
      <c r="A882">
        <v>100731</v>
      </c>
      <c r="B882" t="s">
        <v>150</v>
      </c>
      <c r="C882" t="str">
        <f t="shared" si="104"/>
        <v>01120190622</v>
      </c>
      <c r="D882" t="str">
        <f t="shared" si="105"/>
        <v>DLGSFN68E51A783Q</v>
      </c>
      <c r="E882" t="s">
        <v>52</v>
      </c>
      <c r="F882">
        <v>2016</v>
      </c>
      <c r="G882" t="str">
        <f>"              5\2016"</f>
        <v xml:space="preserve">              5\2016</v>
      </c>
      <c r="H882" s="3">
        <v>42450</v>
      </c>
      <c r="I882" s="3">
        <v>42461</v>
      </c>
      <c r="J882" s="3">
        <v>42450</v>
      </c>
      <c r="K882" s="3">
        <v>42510</v>
      </c>
      <c r="L882" s="5">
        <v>7652.61</v>
      </c>
      <c r="M882">
        <v>-23</v>
      </c>
      <c r="N882" s="5">
        <v>-176010.03</v>
      </c>
      <c r="O882" s="4">
        <v>7652.61</v>
      </c>
      <c r="P882">
        <v>-23</v>
      </c>
      <c r="Q882" s="4">
        <v>-176010.03</v>
      </c>
      <c r="R882">
        <v>0</v>
      </c>
      <c r="V882">
        <v>0</v>
      </c>
      <c r="W882" s="4">
        <v>7652.61</v>
      </c>
      <c r="X882">
        <v>0</v>
      </c>
      <c r="Y882" s="4">
        <v>7652.61</v>
      </c>
      <c r="Z882" s="4">
        <v>7652.61</v>
      </c>
      <c r="AA882" s="4">
        <v>7652.61</v>
      </c>
      <c r="AB882" s="3">
        <v>42562</v>
      </c>
      <c r="AC882" t="s">
        <v>53</v>
      </c>
      <c r="AD882" t="s">
        <v>53</v>
      </c>
      <c r="AK882">
        <v>0</v>
      </c>
      <c r="AU882" s="3">
        <v>42487</v>
      </c>
      <c r="AV882" s="3">
        <v>42487</v>
      </c>
      <c r="AW882" t="s">
        <v>54</v>
      </c>
      <c r="AX882" t="str">
        <f t="shared" si="106"/>
        <v>ALTPRO</v>
      </c>
      <c r="AY882" t="s">
        <v>93</v>
      </c>
    </row>
    <row r="883" spans="1:51">
      <c r="A883">
        <v>100731</v>
      </c>
      <c r="B883" t="s">
        <v>150</v>
      </c>
      <c r="C883" t="str">
        <f t="shared" si="104"/>
        <v>01120190622</v>
      </c>
      <c r="D883" t="str">
        <f t="shared" si="105"/>
        <v>DLGSFN68E51A783Q</v>
      </c>
      <c r="E883" t="s">
        <v>52</v>
      </c>
      <c r="F883">
        <v>2016</v>
      </c>
      <c r="G883" t="str">
        <f>"              6\2016"</f>
        <v xml:space="preserve">              6\2016</v>
      </c>
      <c r="H883" s="3">
        <v>42499</v>
      </c>
      <c r="I883" s="3">
        <v>42499</v>
      </c>
      <c r="J883" s="3">
        <v>42499</v>
      </c>
      <c r="K883" s="3">
        <v>42559</v>
      </c>
      <c r="L883" s="5">
        <v>6893.35</v>
      </c>
      <c r="M883">
        <v>-39</v>
      </c>
      <c r="N883" s="5">
        <v>-268840.65000000002</v>
      </c>
      <c r="O883" s="4">
        <v>6893.35</v>
      </c>
      <c r="P883">
        <v>-39</v>
      </c>
      <c r="Q883" s="4">
        <v>-268840.65000000002</v>
      </c>
      <c r="R883">
        <v>0</v>
      </c>
      <c r="V883" s="4">
        <v>6893.35</v>
      </c>
      <c r="W883" s="4">
        <v>6893.35</v>
      </c>
      <c r="X883" s="4">
        <v>6893.35</v>
      </c>
      <c r="Y883" s="4">
        <v>6893.35</v>
      </c>
      <c r="Z883" s="4">
        <v>6893.35</v>
      </c>
      <c r="AA883" s="4">
        <v>6893.35</v>
      </c>
      <c r="AB883" s="3">
        <v>42562</v>
      </c>
      <c r="AC883" t="s">
        <v>53</v>
      </c>
      <c r="AD883" t="s">
        <v>53</v>
      </c>
      <c r="AK883">
        <v>0</v>
      </c>
      <c r="AU883" s="3">
        <v>42520</v>
      </c>
      <c r="AV883" s="3">
        <v>42520</v>
      </c>
      <c r="AW883" t="s">
        <v>54</v>
      </c>
      <c r="AX883" t="str">
        <f t="shared" si="106"/>
        <v>ALTPRO</v>
      </c>
      <c r="AY883" t="s">
        <v>93</v>
      </c>
    </row>
    <row r="884" spans="1:51" hidden="1">
      <c r="A884">
        <v>100741</v>
      </c>
      <c r="B884" t="s">
        <v>151</v>
      </c>
      <c r="C884" t="str">
        <f t="shared" ref="C884:D886" si="107">"04676440631"</f>
        <v>04676440631</v>
      </c>
      <c r="D884" t="str">
        <f t="shared" si="107"/>
        <v>04676440631</v>
      </c>
      <c r="E884" t="s">
        <v>52</v>
      </c>
      <c r="F884">
        <v>2015</v>
      </c>
      <c r="G884" t="str">
        <f>"                  22"</f>
        <v xml:space="preserve">                  22</v>
      </c>
      <c r="H884" s="3">
        <v>42067</v>
      </c>
      <c r="I884" s="3">
        <v>42095</v>
      </c>
      <c r="J884" s="3">
        <v>42095</v>
      </c>
      <c r="K884" s="3">
        <v>42155</v>
      </c>
      <c r="L884"/>
      <c r="N884"/>
      <c r="O884" s="4">
        <v>19000</v>
      </c>
      <c r="P884">
        <v>246</v>
      </c>
      <c r="Q884" s="4">
        <v>4674000</v>
      </c>
      <c r="R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 s="3">
        <v>42562</v>
      </c>
      <c r="AC884" t="s">
        <v>53</v>
      </c>
      <c r="AD884" t="s">
        <v>53</v>
      </c>
      <c r="AK884">
        <v>0</v>
      </c>
      <c r="AU884" s="3">
        <v>42401</v>
      </c>
      <c r="AV884" s="3">
        <v>42401</v>
      </c>
      <c r="AW884" t="s">
        <v>54</v>
      </c>
      <c r="AX884" t="str">
        <f t="shared" ref="AX884:AX890" si="108">"FOR"</f>
        <v>FOR</v>
      </c>
      <c r="AY884" t="s">
        <v>55</v>
      </c>
    </row>
    <row r="885" spans="1:51" hidden="1">
      <c r="A885">
        <v>100741</v>
      </c>
      <c r="B885" t="s">
        <v>151</v>
      </c>
      <c r="C885" t="str">
        <f t="shared" si="107"/>
        <v>04676440631</v>
      </c>
      <c r="D885" t="str">
        <f t="shared" si="107"/>
        <v>04676440631</v>
      </c>
      <c r="E885" t="s">
        <v>52</v>
      </c>
      <c r="F885">
        <v>2015</v>
      </c>
      <c r="G885" t="str">
        <f>"                  23"</f>
        <v xml:space="preserve">                  23</v>
      </c>
      <c r="H885" s="3">
        <v>42067</v>
      </c>
      <c r="I885" s="3">
        <v>42095</v>
      </c>
      <c r="J885" s="3">
        <v>42095</v>
      </c>
      <c r="K885" s="3">
        <v>42155</v>
      </c>
      <c r="L885"/>
      <c r="N885"/>
      <c r="O885" s="4">
        <v>12000</v>
      </c>
      <c r="P885">
        <v>246</v>
      </c>
      <c r="Q885" s="4">
        <v>2952000</v>
      </c>
      <c r="R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 s="3">
        <v>42562</v>
      </c>
      <c r="AC885" t="s">
        <v>53</v>
      </c>
      <c r="AD885" t="s">
        <v>53</v>
      </c>
      <c r="AK885">
        <v>0</v>
      </c>
      <c r="AU885" s="3">
        <v>42401</v>
      </c>
      <c r="AV885" s="3">
        <v>42401</v>
      </c>
      <c r="AW885" t="s">
        <v>54</v>
      </c>
      <c r="AX885" t="str">
        <f t="shared" si="108"/>
        <v>FOR</v>
      </c>
      <c r="AY885" t="s">
        <v>55</v>
      </c>
    </row>
    <row r="886" spans="1:51" hidden="1">
      <c r="A886">
        <v>100741</v>
      </c>
      <c r="B886" t="s">
        <v>151</v>
      </c>
      <c r="C886" t="str">
        <f t="shared" si="107"/>
        <v>04676440631</v>
      </c>
      <c r="D886" t="str">
        <f t="shared" si="107"/>
        <v>04676440631</v>
      </c>
      <c r="E886" t="s">
        <v>52</v>
      </c>
      <c r="F886">
        <v>2015</v>
      </c>
      <c r="G886" t="str">
        <f>"                  43"</f>
        <v xml:space="preserve">                  43</v>
      </c>
      <c r="H886" s="3">
        <v>42126</v>
      </c>
      <c r="I886" s="3">
        <v>42165</v>
      </c>
      <c r="J886" s="3">
        <v>42143</v>
      </c>
      <c r="K886" s="3">
        <v>42203</v>
      </c>
      <c r="L886"/>
      <c r="N886"/>
      <c r="O886" s="4">
        <v>24000</v>
      </c>
      <c r="P886">
        <v>250</v>
      </c>
      <c r="Q886" s="4">
        <v>6000000</v>
      </c>
      <c r="R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0</v>
      </c>
      <c r="AB886" s="3">
        <v>42562</v>
      </c>
      <c r="AC886" t="s">
        <v>53</v>
      </c>
      <c r="AD886" t="s">
        <v>53</v>
      </c>
      <c r="AK886">
        <v>0</v>
      </c>
      <c r="AU886" s="3">
        <v>42453</v>
      </c>
      <c r="AV886" s="3">
        <v>42453</v>
      </c>
      <c r="AW886" t="s">
        <v>54</v>
      </c>
      <c r="AX886" t="str">
        <f t="shared" si="108"/>
        <v>FOR</v>
      </c>
      <c r="AY886" t="s">
        <v>55</v>
      </c>
    </row>
    <row r="887" spans="1:51">
      <c r="A887">
        <v>100752</v>
      </c>
      <c r="B887" t="s">
        <v>152</v>
      </c>
      <c r="C887" t="str">
        <f t="shared" ref="C887:D889" si="109">"02767640135"</f>
        <v>02767640135</v>
      </c>
      <c r="D887" t="str">
        <f t="shared" si="109"/>
        <v>02767640135</v>
      </c>
      <c r="E887" t="s">
        <v>52</v>
      </c>
      <c r="F887">
        <v>2015</v>
      </c>
      <c r="G887" t="str">
        <f>"             15.5211"</f>
        <v xml:space="preserve">             15.5211</v>
      </c>
      <c r="H887" s="3">
        <v>42158</v>
      </c>
      <c r="I887" s="3">
        <v>42192</v>
      </c>
      <c r="J887" s="3">
        <v>42191</v>
      </c>
      <c r="K887" s="3">
        <v>42251</v>
      </c>
      <c r="L887" s="1">
        <v>93.2</v>
      </c>
      <c r="M887">
        <v>236</v>
      </c>
      <c r="N887" s="5">
        <v>21995.200000000001</v>
      </c>
      <c r="O887">
        <v>93.2</v>
      </c>
      <c r="P887">
        <v>236</v>
      </c>
      <c r="Q887" s="4">
        <v>21995.200000000001</v>
      </c>
      <c r="R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0</v>
      </c>
      <c r="AB887" s="3">
        <v>42562</v>
      </c>
      <c r="AC887" t="s">
        <v>53</v>
      </c>
      <c r="AD887" t="s">
        <v>53</v>
      </c>
      <c r="AK887">
        <v>0</v>
      </c>
      <c r="AU887" s="3">
        <v>42487</v>
      </c>
      <c r="AV887" s="3">
        <v>42487</v>
      </c>
      <c r="AW887" t="s">
        <v>54</v>
      </c>
      <c r="AX887" t="str">
        <f t="shared" si="108"/>
        <v>FOR</v>
      </c>
      <c r="AY887" t="s">
        <v>55</v>
      </c>
    </row>
    <row r="888" spans="1:51">
      <c r="A888">
        <v>100752</v>
      </c>
      <c r="B888" t="s">
        <v>152</v>
      </c>
      <c r="C888" t="str">
        <f t="shared" si="109"/>
        <v>02767640135</v>
      </c>
      <c r="D888" t="str">
        <f t="shared" si="109"/>
        <v>02767640135</v>
      </c>
      <c r="E888" t="s">
        <v>52</v>
      </c>
      <c r="F888">
        <v>2015</v>
      </c>
      <c r="G888" t="str">
        <f>"             15.5387"</f>
        <v xml:space="preserve">             15.5387</v>
      </c>
      <c r="H888" s="3">
        <v>42353</v>
      </c>
      <c r="I888" s="3">
        <v>42361</v>
      </c>
      <c r="J888" s="3">
        <v>42359</v>
      </c>
      <c r="K888" s="3">
        <v>42419</v>
      </c>
      <c r="L888" s="1">
        <v>93.2</v>
      </c>
      <c r="M888">
        <v>68</v>
      </c>
      <c r="N888" s="5">
        <v>6337.6</v>
      </c>
      <c r="O888">
        <v>93.2</v>
      </c>
      <c r="P888">
        <v>68</v>
      </c>
      <c r="Q888" s="4">
        <v>6337.6</v>
      </c>
      <c r="R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 s="3">
        <v>42562</v>
      </c>
      <c r="AC888" t="s">
        <v>53</v>
      </c>
      <c r="AD888" t="s">
        <v>53</v>
      </c>
      <c r="AK888">
        <v>0</v>
      </c>
      <c r="AU888" s="3">
        <v>42487</v>
      </c>
      <c r="AV888" s="3">
        <v>42487</v>
      </c>
      <c r="AW888" t="s">
        <v>54</v>
      </c>
      <c r="AX888" t="str">
        <f t="shared" si="108"/>
        <v>FOR</v>
      </c>
      <c r="AY888" t="s">
        <v>55</v>
      </c>
    </row>
    <row r="889" spans="1:51">
      <c r="A889">
        <v>100752</v>
      </c>
      <c r="B889" t="s">
        <v>152</v>
      </c>
      <c r="C889" t="str">
        <f t="shared" si="109"/>
        <v>02767640135</v>
      </c>
      <c r="D889" t="str">
        <f t="shared" si="109"/>
        <v>02767640135</v>
      </c>
      <c r="E889" t="s">
        <v>52</v>
      </c>
      <c r="F889">
        <v>2016</v>
      </c>
      <c r="G889" t="str">
        <f>"             16.5044"</f>
        <v xml:space="preserve">             16.5044</v>
      </c>
      <c r="H889" s="3">
        <v>42408</v>
      </c>
      <c r="I889" s="3">
        <v>42436</v>
      </c>
      <c r="J889" s="3">
        <v>42430</v>
      </c>
      <c r="K889" s="3">
        <v>42490</v>
      </c>
      <c r="L889" s="1">
        <v>223.68</v>
      </c>
      <c r="M889">
        <v>-3</v>
      </c>
      <c r="N889" s="1">
        <v>-671.04</v>
      </c>
      <c r="O889">
        <v>223.68</v>
      </c>
      <c r="P889">
        <v>-3</v>
      </c>
      <c r="Q889">
        <v>-671.04</v>
      </c>
      <c r="R889">
        <v>0</v>
      </c>
      <c r="V889">
        <v>0</v>
      </c>
      <c r="W889">
        <v>0</v>
      </c>
      <c r="X889">
        <v>0</v>
      </c>
      <c r="Y889">
        <v>246.05</v>
      </c>
      <c r="Z889">
        <v>246.05</v>
      </c>
      <c r="AA889">
        <v>246.05</v>
      </c>
      <c r="AB889" s="3">
        <v>42562</v>
      </c>
      <c r="AC889" t="s">
        <v>53</v>
      </c>
      <c r="AD889" t="s">
        <v>53</v>
      </c>
      <c r="AK889">
        <v>0</v>
      </c>
      <c r="AU889" s="3">
        <v>42487</v>
      </c>
      <c r="AV889" s="3">
        <v>42487</v>
      </c>
      <c r="AW889" t="s">
        <v>54</v>
      </c>
      <c r="AX889" t="str">
        <f t="shared" si="108"/>
        <v>FOR</v>
      </c>
      <c r="AY889" t="s">
        <v>55</v>
      </c>
    </row>
    <row r="890" spans="1:51" hidden="1">
      <c r="A890">
        <v>100758</v>
      </c>
      <c r="B890" t="s">
        <v>153</v>
      </c>
      <c r="C890" t="str">
        <f>"01169830336"</f>
        <v>01169830336</v>
      </c>
      <c r="D890" t="str">
        <f>"01169830336"</f>
        <v>01169830336</v>
      </c>
      <c r="E890" t="s">
        <v>52</v>
      </c>
      <c r="F890">
        <v>2015</v>
      </c>
      <c r="G890" t="str">
        <f>"                  52"</f>
        <v xml:space="preserve">                  52</v>
      </c>
      <c r="H890" s="3">
        <v>42124</v>
      </c>
      <c r="I890" s="3">
        <v>42132</v>
      </c>
      <c r="J890" s="3">
        <v>42130</v>
      </c>
      <c r="K890" s="3">
        <v>42190</v>
      </c>
      <c r="L890"/>
      <c r="N890"/>
      <c r="O890">
        <v>825</v>
      </c>
      <c r="P890">
        <v>226</v>
      </c>
      <c r="Q890" s="4">
        <v>186450</v>
      </c>
      <c r="R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 s="3">
        <v>42562</v>
      </c>
      <c r="AC890" t="s">
        <v>53</v>
      </c>
      <c r="AD890" t="s">
        <v>53</v>
      </c>
      <c r="AK890">
        <v>0</v>
      </c>
      <c r="AU890" s="3">
        <v>42416</v>
      </c>
      <c r="AV890" s="3">
        <v>42416</v>
      </c>
      <c r="AW890" t="s">
        <v>54</v>
      </c>
      <c r="AX890" t="str">
        <f t="shared" si="108"/>
        <v>FOR</v>
      </c>
      <c r="AY890" t="s">
        <v>55</v>
      </c>
    </row>
    <row r="891" spans="1:51" hidden="1">
      <c r="A891">
        <v>100771</v>
      </c>
      <c r="B891" t="s">
        <v>154</v>
      </c>
      <c r="C891" t="str">
        <f>"04183450636"</f>
        <v>04183450636</v>
      </c>
      <c r="D891" t="str">
        <f>"GRMVCN49E12F352O"</f>
        <v>GRMVCN49E12F352O</v>
      </c>
      <c r="E891" t="s">
        <v>52</v>
      </c>
      <c r="F891">
        <v>2016</v>
      </c>
      <c r="G891" t="str">
        <f>"         FATTPA 5_16"</f>
        <v xml:space="preserve">         FATTPA 5_16</v>
      </c>
      <c r="H891" s="3">
        <v>42401</v>
      </c>
      <c r="I891" s="3">
        <v>42410</v>
      </c>
      <c r="J891" s="3">
        <v>42401</v>
      </c>
      <c r="K891" s="3">
        <v>42461</v>
      </c>
      <c r="L891"/>
      <c r="N891"/>
      <c r="O891" s="4">
        <v>11751.06</v>
      </c>
      <c r="P891">
        <v>-10</v>
      </c>
      <c r="Q891" s="4">
        <v>-117510.6</v>
      </c>
      <c r="R891">
        <v>0</v>
      </c>
      <c r="V891">
        <v>0</v>
      </c>
      <c r="W891">
        <v>0</v>
      </c>
      <c r="X891">
        <v>0</v>
      </c>
      <c r="Y891" s="4">
        <v>11751.06</v>
      </c>
      <c r="Z891" s="4">
        <v>11751.06</v>
      </c>
      <c r="AA891" s="4">
        <v>11751.06</v>
      </c>
      <c r="AB891" s="3">
        <v>42562</v>
      </c>
      <c r="AC891" t="s">
        <v>53</v>
      </c>
      <c r="AD891" t="s">
        <v>53</v>
      </c>
      <c r="AK891">
        <v>0</v>
      </c>
      <c r="AU891" s="3">
        <v>42451</v>
      </c>
      <c r="AV891" s="3">
        <v>42451</v>
      </c>
      <c r="AW891" t="s">
        <v>54</v>
      </c>
      <c r="AX891" t="str">
        <f>"ALTPRO"</f>
        <v>ALTPRO</v>
      </c>
      <c r="AY891" t="s">
        <v>93</v>
      </c>
    </row>
    <row r="892" spans="1:51" hidden="1">
      <c r="A892">
        <v>100771</v>
      </c>
      <c r="B892" t="s">
        <v>154</v>
      </c>
      <c r="C892" t="str">
        <f>"04183450636"</f>
        <v>04183450636</v>
      </c>
      <c r="D892" t="str">
        <f>"GRMVCN49E12F352O"</f>
        <v>GRMVCN49E12F352O</v>
      </c>
      <c r="E892" t="s">
        <v>52</v>
      </c>
      <c r="F892">
        <v>2016</v>
      </c>
      <c r="G892" t="str">
        <f>"         FATTPA 6_16"</f>
        <v xml:space="preserve">         FATTPA 6_16</v>
      </c>
      <c r="H892" s="3">
        <v>42403</v>
      </c>
      <c r="I892" s="3">
        <v>42404</v>
      </c>
      <c r="J892" s="3">
        <v>42403</v>
      </c>
      <c r="K892" s="3">
        <v>42463</v>
      </c>
      <c r="L892"/>
      <c r="N892"/>
      <c r="O892" s="4">
        <v>1135.78</v>
      </c>
      <c r="P892">
        <v>-30</v>
      </c>
      <c r="Q892" s="4">
        <v>-34073.4</v>
      </c>
      <c r="R892">
        <v>0</v>
      </c>
      <c r="V892">
        <v>0</v>
      </c>
      <c r="W892">
        <v>0</v>
      </c>
      <c r="X892">
        <v>0</v>
      </c>
      <c r="Y892" s="4">
        <v>1135.78</v>
      </c>
      <c r="Z892" s="4">
        <v>1135.78</v>
      </c>
      <c r="AA892" s="4">
        <v>1135.78</v>
      </c>
      <c r="AB892" s="3">
        <v>42562</v>
      </c>
      <c r="AC892" t="s">
        <v>53</v>
      </c>
      <c r="AD892" t="s">
        <v>53</v>
      </c>
      <c r="AK892">
        <v>0</v>
      </c>
      <c r="AU892" s="3">
        <v>42433</v>
      </c>
      <c r="AV892" s="3">
        <v>42433</v>
      </c>
      <c r="AW892" t="s">
        <v>54</v>
      </c>
      <c r="AX892" t="str">
        <f>"ALTPRO"</f>
        <v>ALTPRO</v>
      </c>
      <c r="AY892" t="s">
        <v>93</v>
      </c>
    </row>
    <row r="893" spans="1:51" hidden="1">
      <c r="A893">
        <v>100774</v>
      </c>
      <c r="B893" t="s">
        <v>155</v>
      </c>
      <c r="C893" t="str">
        <f t="shared" ref="C893:D895" si="110">"04526141215"</f>
        <v>04526141215</v>
      </c>
      <c r="D893" t="str">
        <f t="shared" si="110"/>
        <v>04526141215</v>
      </c>
      <c r="E893" t="s">
        <v>52</v>
      </c>
      <c r="F893">
        <v>2015</v>
      </c>
      <c r="G893" t="str">
        <f>"                 176"</f>
        <v xml:space="preserve">                 176</v>
      </c>
      <c r="H893" s="3">
        <v>42132</v>
      </c>
      <c r="I893" s="3">
        <v>42165</v>
      </c>
      <c r="J893" s="3">
        <v>42142</v>
      </c>
      <c r="K893" s="3">
        <v>42202</v>
      </c>
      <c r="L893"/>
      <c r="N893"/>
      <c r="O893" s="4">
        <v>2688</v>
      </c>
      <c r="P893">
        <v>213</v>
      </c>
      <c r="Q893" s="4">
        <v>572544</v>
      </c>
      <c r="R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0</v>
      </c>
      <c r="AB893" s="3">
        <v>42562</v>
      </c>
      <c r="AC893" t="s">
        <v>53</v>
      </c>
      <c r="AD893" t="s">
        <v>53</v>
      </c>
      <c r="AK893">
        <v>0</v>
      </c>
      <c r="AU893" s="3">
        <v>42415</v>
      </c>
      <c r="AV893" s="3">
        <v>42415</v>
      </c>
      <c r="AW893" t="s">
        <v>54</v>
      </c>
      <c r="AX893" t="str">
        <f t="shared" ref="AX893:AX924" si="111">"FOR"</f>
        <v>FOR</v>
      </c>
      <c r="AY893" t="s">
        <v>55</v>
      </c>
    </row>
    <row r="894" spans="1:51" hidden="1">
      <c r="A894">
        <v>100774</v>
      </c>
      <c r="B894" t="s">
        <v>155</v>
      </c>
      <c r="C894" t="str">
        <f t="shared" si="110"/>
        <v>04526141215</v>
      </c>
      <c r="D894" t="str">
        <f t="shared" si="110"/>
        <v>04526141215</v>
      </c>
      <c r="E894" t="s">
        <v>52</v>
      </c>
      <c r="F894">
        <v>2015</v>
      </c>
      <c r="G894" t="str">
        <f>"                 246"</f>
        <v xml:space="preserve">                 246</v>
      </c>
      <c r="H894" s="3">
        <v>42163</v>
      </c>
      <c r="I894" s="3">
        <v>42202</v>
      </c>
      <c r="J894" s="3">
        <v>42201</v>
      </c>
      <c r="K894" s="3">
        <v>42261</v>
      </c>
      <c r="L894"/>
      <c r="N894"/>
      <c r="O894">
        <v>807.74</v>
      </c>
      <c r="P894">
        <v>154</v>
      </c>
      <c r="Q894" s="4">
        <v>124391.96</v>
      </c>
      <c r="R894">
        <v>0</v>
      </c>
      <c r="V894">
        <v>0</v>
      </c>
      <c r="W894">
        <v>0</v>
      </c>
      <c r="X894">
        <v>0</v>
      </c>
      <c r="Y894">
        <v>0</v>
      </c>
      <c r="Z894">
        <v>0</v>
      </c>
      <c r="AA894">
        <v>0</v>
      </c>
      <c r="AB894" s="3">
        <v>42562</v>
      </c>
      <c r="AC894" t="s">
        <v>53</v>
      </c>
      <c r="AD894" t="s">
        <v>53</v>
      </c>
      <c r="AK894">
        <v>0</v>
      </c>
      <c r="AU894" s="3">
        <v>42415</v>
      </c>
      <c r="AV894" s="3">
        <v>42415</v>
      </c>
      <c r="AW894" t="s">
        <v>54</v>
      </c>
      <c r="AX894" t="str">
        <f t="shared" si="111"/>
        <v>FOR</v>
      </c>
      <c r="AY894" t="s">
        <v>55</v>
      </c>
    </row>
    <row r="895" spans="1:51" hidden="1">
      <c r="A895">
        <v>100774</v>
      </c>
      <c r="B895" t="s">
        <v>155</v>
      </c>
      <c r="C895" t="str">
        <f t="shared" si="110"/>
        <v>04526141215</v>
      </c>
      <c r="D895" t="str">
        <f t="shared" si="110"/>
        <v>04526141215</v>
      </c>
      <c r="E895" t="s">
        <v>52</v>
      </c>
      <c r="F895">
        <v>2015</v>
      </c>
      <c r="G895" t="str">
        <f>"                 319"</f>
        <v xml:space="preserve">                 319</v>
      </c>
      <c r="H895" s="3">
        <v>42208</v>
      </c>
      <c r="I895" s="3">
        <v>42216</v>
      </c>
      <c r="J895" s="3">
        <v>42212</v>
      </c>
      <c r="K895" s="3">
        <v>42272</v>
      </c>
      <c r="L895"/>
      <c r="N895"/>
      <c r="O895" s="4">
        <v>2625</v>
      </c>
      <c r="P895">
        <v>143</v>
      </c>
      <c r="Q895" s="4">
        <v>375375</v>
      </c>
      <c r="R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0</v>
      </c>
      <c r="AB895" s="3">
        <v>42562</v>
      </c>
      <c r="AC895" t="s">
        <v>53</v>
      </c>
      <c r="AD895" t="s">
        <v>53</v>
      </c>
      <c r="AK895">
        <v>0</v>
      </c>
      <c r="AU895" s="3">
        <v>42415</v>
      </c>
      <c r="AV895" s="3">
        <v>42415</v>
      </c>
      <c r="AW895" t="s">
        <v>54</v>
      </c>
      <c r="AX895" t="str">
        <f t="shared" si="111"/>
        <v>FOR</v>
      </c>
      <c r="AY895" t="s">
        <v>55</v>
      </c>
    </row>
    <row r="896" spans="1:51" hidden="1">
      <c r="A896">
        <v>100787</v>
      </c>
      <c r="B896" t="s">
        <v>156</v>
      </c>
      <c r="C896" t="str">
        <f t="shared" ref="C896:C901" si="112">"00157320623"</f>
        <v>00157320623</v>
      </c>
      <c r="D896" t="str">
        <f t="shared" ref="D896:D901" si="113">"CRDPIA44R47A783H"</f>
        <v>CRDPIA44R47A783H</v>
      </c>
      <c r="E896" t="s">
        <v>52</v>
      </c>
      <c r="F896">
        <v>2015</v>
      </c>
      <c r="G896" t="str">
        <f>"              148/PA"</f>
        <v xml:space="preserve">              148/PA</v>
      </c>
      <c r="H896" s="3">
        <v>42277</v>
      </c>
      <c r="I896" s="3">
        <v>42278</v>
      </c>
      <c r="J896" s="3">
        <v>42277</v>
      </c>
      <c r="K896" s="3">
        <v>42337</v>
      </c>
      <c r="L896"/>
      <c r="N896"/>
      <c r="O896">
        <v>13.26</v>
      </c>
      <c r="P896">
        <v>66</v>
      </c>
      <c r="Q896">
        <v>875.16</v>
      </c>
      <c r="R896">
        <v>0.53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0</v>
      </c>
      <c r="AB896" s="3">
        <v>42562</v>
      </c>
      <c r="AC896" t="s">
        <v>53</v>
      </c>
      <c r="AD896" t="s">
        <v>53</v>
      </c>
      <c r="AK896">
        <v>0.53</v>
      </c>
      <c r="AU896" s="3">
        <v>42403</v>
      </c>
      <c r="AV896" s="3">
        <v>42403</v>
      </c>
      <c r="AW896" t="s">
        <v>54</v>
      </c>
      <c r="AX896" t="str">
        <f t="shared" si="111"/>
        <v>FOR</v>
      </c>
      <c r="AY896" t="s">
        <v>55</v>
      </c>
    </row>
    <row r="897" spans="1:51" hidden="1">
      <c r="A897">
        <v>100787</v>
      </c>
      <c r="B897" t="s">
        <v>156</v>
      </c>
      <c r="C897" t="str">
        <f t="shared" si="112"/>
        <v>00157320623</v>
      </c>
      <c r="D897" t="str">
        <f t="shared" si="113"/>
        <v>CRDPIA44R47A783H</v>
      </c>
      <c r="E897" t="s">
        <v>52</v>
      </c>
      <c r="F897">
        <v>2015</v>
      </c>
      <c r="G897" t="str">
        <f>"              149/PA"</f>
        <v xml:space="preserve">              149/PA</v>
      </c>
      <c r="H897" s="3">
        <v>42277</v>
      </c>
      <c r="I897" s="3">
        <v>42278</v>
      </c>
      <c r="J897" s="3">
        <v>42277</v>
      </c>
      <c r="K897" s="3">
        <v>42337</v>
      </c>
      <c r="L897"/>
      <c r="N897"/>
      <c r="O897">
        <v>151.57</v>
      </c>
      <c r="P897">
        <v>66</v>
      </c>
      <c r="Q897" s="4">
        <v>10003.620000000001</v>
      </c>
      <c r="R897">
        <v>33.35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 s="3">
        <v>42562</v>
      </c>
      <c r="AC897" t="s">
        <v>53</v>
      </c>
      <c r="AD897" t="s">
        <v>53</v>
      </c>
      <c r="AK897">
        <v>33.35</v>
      </c>
      <c r="AU897" s="3">
        <v>42403</v>
      </c>
      <c r="AV897" s="3">
        <v>42403</v>
      </c>
      <c r="AW897" t="s">
        <v>54</v>
      </c>
      <c r="AX897" t="str">
        <f t="shared" si="111"/>
        <v>FOR</v>
      </c>
      <c r="AY897" t="s">
        <v>55</v>
      </c>
    </row>
    <row r="898" spans="1:51" hidden="1">
      <c r="A898">
        <v>100787</v>
      </c>
      <c r="B898" t="s">
        <v>156</v>
      </c>
      <c r="C898" t="str">
        <f t="shared" si="112"/>
        <v>00157320623</v>
      </c>
      <c r="D898" t="str">
        <f t="shared" si="113"/>
        <v>CRDPIA44R47A783H</v>
      </c>
      <c r="E898" t="s">
        <v>52</v>
      </c>
      <c r="F898">
        <v>2015</v>
      </c>
      <c r="G898" t="str">
        <f>"              150/PA"</f>
        <v xml:space="preserve">              150/PA</v>
      </c>
      <c r="H898" s="3">
        <v>42277</v>
      </c>
      <c r="I898" s="3">
        <v>42278</v>
      </c>
      <c r="J898" s="3">
        <v>42277</v>
      </c>
      <c r="K898" s="3">
        <v>42337</v>
      </c>
      <c r="L898"/>
      <c r="N898"/>
      <c r="O898">
        <v>153.35</v>
      </c>
      <c r="P898">
        <v>66</v>
      </c>
      <c r="Q898" s="4">
        <v>10121.1</v>
      </c>
      <c r="R898">
        <v>20.65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 s="3">
        <v>42562</v>
      </c>
      <c r="AC898" t="s">
        <v>53</v>
      </c>
      <c r="AD898" t="s">
        <v>53</v>
      </c>
      <c r="AK898">
        <v>20.65</v>
      </c>
      <c r="AU898" s="3">
        <v>42403</v>
      </c>
      <c r="AV898" s="3">
        <v>42403</v>
      </c>
      <c r="AW898" t="s">
        <v>54</v>
      </c>
      <c r="AX898" t="str">
        <f t="shared" si="111"/>
        <v>FOR</v>
      </c>
      <c r="AY898" t="s">
        <v>55</v>
      </c>
    </row>
    <row r="899" spans="1:51" hidden="1">
      <c r="A899">
        <v>100787</v>
      </c>
      <c r="B899" t="s">
        <v>156</v>
      </c>
      <c r="C899" t="str">
        <f t="shared" si="112"/>
        <v>00157320623</v>
      </c>
      <c r="D899" t="str">
        <f t="shared" si="113"/>
        <v>CRDPIA44R47A783H</v>
      </c>
      <c r="E899" t="s">
        <v>52</v>
      </c>
      <c r="F899">
        <v>2015</v>
      </c>
      <c r="G899" t="str">
        <f>"              196/PA"</f>
        <v xml:space="preserve">              196/PA</v>
      </c>
      <c r="H899" s="3">
        <v>42324</v>
      </c>
      <c r="I899" s="3">
        <v>42325</v>
      </c>
      <c r="J899" s="3">
        <v>42324</v>
      </c>
      <c r="K899" s="3">
        <v>42384</v>
      </c>
      <c r="L899"/>
      <c r="N899"/>
      <c r="O899">
        <v>386.07</v>
      </c>
      <c r="P899">
        <v>19</v>
      </c>
      <c r="Q899" s="4">
        <v>7335.33</v>
      </c>
      <c r="R899">
        <v>84.94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0</v>
      </c>
      <c r="AB899" s="3">
        <v>42562</v>
      </c>
      <c r="AC899" t="s">
        <v>53</v>
      </c>
      <c r="AD899" t="s">
        <v>53</v>
      </c>
      <c r="AJ899">
        <v>84.94</v>
      </c>
      <c r="AK899">
        <v>0</v>
      </c>
      <c r="AU899" s="3">
        <v>42403</v>
      </c>
      <c r="AV899" s="3">
        <v>42403</v>
      </c>
      <c r="AW899" t="s">
        <v>54</v>
      </c>
      <c r="AX899" t="str">
        <f t="shared" si="111"/>
        <v>FOR</v>
      </c>
      <c r="AY899" t="s">
        <v>55</v>
      </c>
    </row>
    <row r="900" spans="1:51" hidden="1">
      <c r="A900">
        <v>100787</v>
      </c>
      <c r="B900" t="s">
        <v>156</v>
      </c>
      <c r="C900" t="str">
        <f t="shared" si="112"/>
        <v>00157320623</v>
      </c>
      <c r="D900" t="str">
        <f t="shared" si="113"/>
        <v>CRDPIA44R47A783H</v>
      </c>
      <c r="E900" t="s">
        <v>52</v>
      </c>
      <c r="F900">
        <v>2015</v>
      </c>
      <c r="G900" t="str">
        <f>"              225/PA"</f>
        <v xml:space="preserve">              225/PA</v>
      </c>
      <c r="H900" s="3">
        <v>42350</v>
      </c>
      <c r="I900" s="3">
        <v>42352</v>
      </c>
      <c r="J900" s="3">
        <v>42350</v>
      </c>
      <c r="K900" s="3">
        <v>42410</v>
      </c>
      <c r="L900"/>
      <c r="N900"/>
      <c r="O900">
        <v>97.54</v>
      </c>
      <c r="P900">
        <v>-7</v>
      </c>
      <c r="Q900">
        <v>-682.78</v>
      </c>
      <c r="R900">
        <v>21.46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 s="3">
        <v>42562</v>
      </c>
      <c r="AC900" t="s">
        <v>53</v>
      </c>
      <c r="AD900" t="s">
        <v>53</v>
      </c>
      <c r="AI900">
        <v>21.46</v>
      </c>
      <c r="AK900">
        <v>0</v>
      </c>
      <c r="AU900" s="3">
        <v>42403</v>
      </c>
      <c r="AV900" s="3">
        <v>42403</v>
      </c>
      <c r="AW900" t="s">
        <v>54</v>
      </c>
      <c r="AX900" t="str">
        <f t="shared" si="111"/>
        <v>FOR</v>
      </c>
      <c r="AY900" t="s">
        <v>55</v>
      </c>
    </row>
    <row r="901" spans="1:51" hidden="1">
      <c r="A901">
        <v>100787</v>
      </c>
      <c r="B901" t="s">
        <v>156</v>
      </c>
      <c r="C901" t="str">
        <f t="shared" si="112"/>
        <v>00157320623</v>
      </c>
      <c r="D901" t="str">
        <f t="shared" si="113"/>
        <v>CRDPIA44R47A783H</v>
      </c>
      <c r="E901" t="s">
        <v>52</v>
      </c>
      <c r="F901">
        <v>2015</v>
      </c>
      <c r="G901" t="str">
        <f>"              226/PA"</f>
        <v xml:space="preserve">              226/PA</v>
      </c>
      <c r="H901" s="3">
        <v>42350</v>
      </c>
      <c r="I901" s="3">
        <v>42352</v>
      </c>
      <c r="J901" s="3">
        <v>42350</v>
      </c>
      <c r="K901" s="3">
        <v>42410</v>
      </c>
      <c r="L901"/>
      <c r="N901"/>
      <c r="O901">
        <v>137.69999999999999</v>
      </c>
      <c r="P901">
        <v>-7</v>
      </c>
      <c r="Q901">
        <v>-963.9</v>
      </c>
      <c r="R901">
        <v>30.29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 s="3">
        <v>42562</v>
      </c>
      <c r="AC901" t="s">
        <v>53</v>
      </c>
      <c r="AD901" t="s">
        <v>53</v>
      </c>
      <c r="AI901">
        <v>30.29</v>
      </c>
      <c r="AK901">
        <v>0</v>
      </c>
      <c r="AU901" s="3">
        <v>42403</v>
      </c>
      <c r="AV901" s="3">
        <v>42403</v>
      </c>
      <c r="AW901" t="s">
        <v>54</v>
      </c>
      <c r="AX901" t="str">
        <f t="shared" si="111"/>
        <v>FOR</v>
      </c>
      <c r="AY901" t="s">
        <v>55</v>
      </c>
    </row>
    <row r="902" spans="1:51">
      <c r="A902">
        <v>100791</v>
      </c>
      <c r="B902" t="s">
        <v>157</v>
      </c>
      <c r="C902" t="str">
        <f>"02102821002"</f>
        <v>02102821002</v>
      </c>
      <c r="D902" t="str">
        <f>"08619670584"</f>
        <v>08619670584</v>
      </c>
      <c r="E902" t="s">
        <v>52</v>
      </c>
      <c r="F902">
        <v>2015</v>
      </c>
      <c r="G902" t="str">
        <f>"              526 PA"</f>
        <v xml:space="preserve">              526 PA</v>
      </c>
      <c r="H902" s="3">
        <v>42185</v>
      </c>
      <c r="I902" s="3">
        <v>42198</v>
      </c>
      <c r="J902" s="3">
        <v>42194</v>
      </c>
      <c r="K902" s="3">
        <v>42254</v>
      </c>
      <c r="L902" s="5">
        <v>23860.2</v>
      </c>
      <c r="M902">
        <v>238</v>
      </c>
      <c r="N902" s="5">
        <v>5678727.5999999996</v>
      </c>
      <c r="O902" s="4">
        <v>23860.2</v>
      </c>
      <c r="P902">
        <v>238</v>
      </c>
      <c r="Q902" s="4">
        <v>5678727.5999999996</v>
      </c>
      <c r="R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 s="3">
        <v>42562</v>
      </c>
      <c r="AC902" t="s">
        <v>53</v>
      </c>
      <c r="AD902" t="s">
        <v>53</v>
      </c>
      <c r="AK902">
        <v>0</v>
      </c>
      <c r="AU902" s="3">
        <v>42492</v>
      </c>
      <c r="AV902" s="3">
        <v>42492</v>
      </c>
      <c r="AW902" t="s">
        <v>54</v>
      </c>
      <c r="AX902" t="str">
        <f t="shared" si="111"/>
        <v>FOR</v>
      </c>
      <c r="AY902" t="s">
        <v>55</v>
      </c>
    </row>
    <row r="903" spans="1:51" hidden="1">
      <c r="A903">
        <v>100792</v>
      </c>
      <c r="B903" t="s">
        <v>158</v>
      </c>
      <c r="C903" t="str">
        <f t="shared" ref="C903:D918" si="114">"02144720790"</f>
        <v>02144720790</v>
      </c>
      <c r="D903" t="str">
        <f t="shared" si="114"/>
        <v>02144720790</v>
      </c>
      <c r="E903" t="s">
        <v>52</v>
      </c>
      <c r="F903">
        <v>2015</v>
      </c>
      <c r="G903" t="str">
        <f>"              123 PA"</f>
        <v xml:space="preserve">              123 PA</v>
      </c>
      <c r="H903" s="3">
        <v>42143</v>
      </c>
      <c r="I903" s="3">
        <v>42165</v>
      </c>
      <c r="J903" s="3">
        <v>42143</v>
      </c>
      <c r="K903" s="3">
        <v>42203</v>
      </c>
      <c r="L903"/>
      <c r="N903"/>
      <c r="O903">
        <v>75</v>
      </c>
      <c r="P903">
        <v>249</v>
      </c>
      <c r="Q903" s="4">
        <v>18675</v>
      </c>
      <c r="R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 s="3">
        <v>42562</v>
      </c>
      <c r="AC903" t="s">
        <v>53</v>
      </c>
      <c r="AD903" t="s">
        <v>53</v>
      </c>
      <c r="AK903">
        <v>0</v>
      </c>
      <c r="AU903" s="3">
        <v>42452</v>
      </c>
      <c r="AV903" s="3">
        <v>42452</v>
      </c>
      <c r="AW903" t="s">
        <v>54</v>
      </c>
      <c r="AX903" t="str">
        <f t="shared" si="111"/>
        <v>FOR</v>
      </c>
      <c r="AY903" t="s">
        <v>55</v>
      </c>
    </row>
    <row r="904" spans="1:51" hidden="1">
      <c r="A904">
        <v>100792</v>
      </c>
      <c r="B904" t="s">
        <v>158</v>
      </c>
      <c r="C904" t="str">
        <f t="shared" si="114"/>
        <v>02144720790</v>
      </c>
      <c r="D904" t="str">
        <f t="shared" si="114"/>
        <v>02144720790</v>
      </c>
      <c r="E904" t="s">
        <v>52</v>
      </c>
      <c r="F904">
        <v>2015</v>
      </c>
      <c r="G904" t="str">
        <f>"              124 PA"</f>
        <v xml:space="preserve">              124 PA</v>
      </c>
      <c r="H904" s="3">
        <v>42143</v>
      </c>
      <c r="I904" s="3">
        <v>42165</v>
      </c>
      <c r="J904" s="3">
        <v>42143</v>
      </c>
      <c r="K904" s="3">
        <v>42203</v>
      </c>
      <c r="L904"/>
      <c r="N904"/>
      <c r="O904">
        <v>18.5</v>
      </c>
      <c r="P904">
        <v>249</v>
      </c>
      <c r="Q904" s="4">
        <v>4606.5</v>
      </c>
      <c r="R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 s="3">
        <v>42562</v>
      </c>
      <c r="AC904" t="s">
        <v>53</v>
      </c>
      <c r="AD904" t="s">
        <v>53</v>
      </c>
      <c r="AK904">
        <v>0</v>
      </c>
      <c r="AU904" s="3">
        <v>42452</v>
      </c>
      <c r="AV904" s="3">
        <v>42452</v>
      </c>
      <c r="AW904" t="s">
        <v>54</v>
      </c>
      <c r="AX904" t="str">
        <f t="shared" si="111"/>
        <v>FOR</v>
      </c>
      <c r="AY904" t="s">
        <v>55</v>
      </c>
    </row>
    <row r="905" spans="1:51" hidden="1">
      <c r="A905">
        <v>100792</v>
      </c>
      <c r="B905" t="s">
        <v>158</v>
      </c>
      <c r="C905" t="str">
        <f t="shared" si="114"/>
        <v>02144720790</v>
      </c>
      <c r="D905" t="str">
        <f t="shared" si="114"/>
        <v>02144720790</v>
      </c>
      <c r="E905" t="s">
        <v>52</v>
      </c>
      <c r="F905">
        <v>2015</v>
      </c>
      <c r="G905" t="str">
        <f>"              229 PA"</f>
        <v xml:space="preserve">              229 PA</v>
      </c>
      <c r="H905" s="3">
        <v>42184</v>
      </c>
      <c r="I905" s="3">
        <v>42186</v>
      </c>
      <c r="J905" s="3">
        <v>42184</v>
      </c>
      <c r="K905" s="3">
        <v>42244</v>
      </c>
      <c r="L905"/>
      <c r="N905"/>
      <c r="O905">
        <v>96</v>
      </c>
      <c r="P905">
        <v>208</v>
      </c>
      <c r="Q905" s="4">
        <v>19968</v>
      </c>
      <c r="R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0</v>
      </c>
      <c r="AB905" s="3">
        <v>42562</v>
      </c>
      <c r="AC905" t="s">
        <v>53</v>
      </c>
      <c r="AD905" t="s">
        <v>53</v>
      </c>
      <c r="AK905">
        <v>0</v>
      </c>
      <c r="AU905" s="3">
        <v>42452</v>
      </c>
      <c r="AV905" s="3">
        <v>42452</v>
      </c>
      <c r="AW905" t="s">
        <v>54</v>
      </c>
      <c r="AX905" t="str">
        <f t="shared" si="111"/>
        <v>FOR</v>
      </c>
      <c r="AY905" t="s">
        <v>55</v>
      </c>
    </row>
    <row r="906" spans="1:51" hidden="1">
      <c r="A906">
        <v>100792</v>
      </c>
      <c r="B906" t="s">
        <v>158</v>
      </c>
      <c r="C906" t="str">
        <f t="shared" si="114"/>
        <v>02144720790</v>
      </c>
      <c r="D906" t="str">
        <f t="shared" si="114"/>
        <v>02144720790</v>
      </c>
      <c r="E906" t="s">
        <v>52</v>
      </c>
      <c r="F906">
        <v>2015</v>
      </c>
      <c r="G906" t="str">
        <f>"              230 PA"</f>
        <v xml:space="preserve">              230 PA</v>
      </c>
      <c r="H906" s="3">
        <v>42184</v>
      </c>
      <c r="I906" s="3">
        <v>42186</v>
      </c>
      <c r="J906" s="3">
        <v>42184</v>
      </c>
      <c r="K906" s="3">
        <v>42244</v>
      </c>
      <c r="L906"/>
      <c r="N906"/>
      <c r="O906">
        <v>136</v>
      </c>
      <c r="P906">
        <v>208</v>
      </c>
      <c r="Q906" s="4">
        <v>28288</v>
      </c>
      <c r="R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 s="3">
        <v>42562</v>
      </c>
      <c r="AC906" t="s">
        <v>53</v>
      </c>
      <c r="AD906" t="s">
        <v>53</v>
      </c>
      <c r="AK906">
        <v>0</v>
      </c>
      <c r="AU906" s="3">
        <v>42452</v>
      </c>
      <c r="AV906" s="3">
        <v>42452</v>
      </c>
      <c r="AW906" t="s">
        <v>54</v>
      </c>
      <c r="AX906" t="str">
        <f t="shared" si="111"/>
        <v>FOR</v>
      </c>
      <c r="AY906" t="s">
        <v>55</v>
      </c>
    </row>
    <row r="907" spans="1:51" hidden="1">
      <c r="A907">
        <v>100792</v>
      </c>
      <c r="B907" t="s">
        <v>158</v>
      </c>
      <c r="C907" t="str">
        <f t="shared" si="114"/>
        <v>02144720790</v>
      </c>
      <c r="D907" t="str">
        <f t="shared" si="114"/>
        <v>02144720790</v>
      </c>
      <c r="E907" t="s">
        <v>52</v>
      </c>
      <c r="F907">
        <v>2015</v>
      </c>
      <c r="G907" t="str">
        <f>"              231 PA"</f>
        <v xml:space="preserve">              231 PA</v>
      </c>
      <c r="H907" s="3">
        <v>42184</v>
      </c>
      <c r="I907" s="3">
        <v>42186</v>
      </c>
      <c r="J907" s="3">
        <v>42184</v>
      </c>
      <c r="K907" s="3">
        <v>42244</v>
      </c>
      <c r="L907"/>
      <c r="N907"/>
      <c r="O907">
        <v>28</v>
      </c>
      <c r="P907">
        <v>208</v>
      </c>
      <c r="Q907" s="4">
        <v>5824</v>
      </c>
      <c r="R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 s="3">
        <v>42562</v>
      </c>
      <c r="AC907" t="s">
        <v>53</v>
      </c>
      <c r="AD907" t="s">
        <v>53</v>
      </c>
      <c r="AK907">
        <v>0</v>
      </c>
      <c r="AU907" s="3">
        <v>42452</v>
      </c>
      <c r="AV907" s="3">
        <v>42452</v>
      </c>
      <c r="AW907" t="s">
        <v>54</v>
      </c>
      <c r="AX907" t="str">
        <f t="shared" si="111"/>
        <v>FOR</v>
      </c>
      <c r="AY907" t="s">
        <v>55</v>
      </c>
    </row>
    <row r="908" spans="1:51" hidden="1">
      <c r="A908">
        <v>100792</v>
      </c>
      <c r="B908" t="s">
        <v>158</v>
      </c>
      <c r="C908" t="str">
        <f t="shared" si="114"/>
        <v>02144720790</v>
      </c>
      <c r="D908" t="str">
        <f t="shared" si="114"/>
        <v>02144720790</v>
      </c>
      <c r="E908" t="s">
        <v>52</v>
      </c>
      <c r="F908">
        <v>2015</v>
      </c>
      <c r="G908" t="str">
        <f>"              354 PA"</f>
        <v xml:space="preserve">              354 PA</v>
      </c>
      <c r="H908" s="3">
        <v>42248</v>
      </c>
      <c r="I908" s="3">
        <v>42249</v>
      </c>
      <c r="J908" s="3">
        <v>42248</v>
      </c>
      <c r="K908" s="3">
        <v>42308</v>
      </c>
      <c r="L908"/>
      <c r="N908"/>
      <c r="O908">
        <v>15</v>
      </c>
      <c r="P908">
        <v>144</v>
      </c>
      <c r="Q908" s="4">
        <v>2160</v>
      </c>
      <c r="R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 s="3">
        <v>42562</v>
      </c>
      <c r="AC908" t="s">
        <v>53</v>
      </c>
      <c r="AD908" t="s">
        <v>53</v>
      </c>
      <c r="AK908">
        <v>0</v>
      </c>
      <c r="AU908" s="3">
        <v>42452</v>
      </c>
      <c r="AV908" s="3">
        <v>42452</v>
      </c>
      <c r="AW908" t="s">
        <v>54</v>
      </c>
      <c r="AX908" t="str">
        <f t="shared" si="111"/>
        <v>FOR</v>
      </c>
      <c r="AY908" t="s">
        <v>55</v>
      </c>
    </row>
    <row r="909" spans="1:51" hidden="1">
      <c r="A909">
        <v>100792</v>
      </c>
      <c r="B909" t="s">
        <v>158</v>
      </c>
      <c r="C909" t="str">
        <f t="shared" si="114"/>
        <v>02144720790</v>
      </c>
      <c r="D909" t="str">
        <f t="shared" si="114"/>
        <v>02144720790</v>
      </c>
      <c r="E909" t="s">
        <v>52</v>
      </c>
      <c r="F909">
        <v>2015</v>
      </c>
      <c r="G909" t="str">
        <f>"              386 PA"</f>
        <v xml:space="preserve">              386 PA</v>
      </c>
      <c r="H909" s="3">
        <v>42275</v>
      </c>
      <c r="I909" s="3">
        <v>42275</v>
      </c>
      <c r="J909" s="3">
        <v>42275</v>
      </c>
      <c r="K909" s="3">
        <v>42335</v>
      </c>
      <c r="L909"/>
      <c r="N909"/>
      <c r="O909">
        <v>450</v>
      </c>
      <c r="P909">
        <v>117</v>
      </c>
      <c r="Q909" s="4">
        <v>52650</v>
      </c>
      <c r="R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0</v>
      </c>
      <c r="AB909" s="3">
        <v>42562</v>
      </c>
      <c r="AC909" t="s">
        <v>53</v>
      </c>
      <c r="AD909" t="s">
        <v>53</v>
      </c>
      <c r="AK909">
        <v>0</v>
      </c>
      <c r="AU909" s="3">
        <v>42452</v>
      </c>
      <c r="AV909" s="3">
        <v>42452</v>
      </c>
      <c r="AW909" t="s">
        <v>54</v>
      </c>
      <c r="AX909" t="str">
        <f t="shared" si="111"/>
        <v>FOR</v>
      </c>
      <c r="AY909" t="s">
        <v>55</v>
      </c>
    </row>
    <row r="910" spans="1:51" hidden="1">
      <c r="A910">
        <v>100792</v>
      </c>
      <c r="B910" t="s">
        <v>158</v>
      </c>
      <c r="C910" t="str">
        <f t="shared" si="114"/>
        <v>02144720790</v>
      </c>
      <c r="D910" t="str">
        <f t="shared" si="114"/>
        <v>02144720790</v>
      </c>
      <c r="E910" t="s">
        <v>52</v>
      </c>
      <c r="F910">
        <v>2015</v>
      </c>
      <c r="G910" t="str">
        <f>"              387 PA"</f>
        <v xml:space="preserve">              387 PA</v>
      </c>
      <c r="H910" s="3">
        <v>42275</v>
      </c>
      <c r="I910" s="3">
        <v>42275</v>
      </c>
      <c r="J910" s="3">
        <v>42275</v>
      </c>
      <c r="K910" s="3">
        <v>42335</v>
      </c>
      <c r="L910"/>
      <c r="N910"/>
      <c r="O910">
        <v>56</v>
      </c>
      <c r="P910">
        <v>117</v>
      </c>
      <c r="Q910" s="4">
        <v>6552</v>
      </c>
      <c r="R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 s="3">
        <v>42562</v>
      </c>
      <c r="AC910" t="s">
        <v>53</v>
      </c>
      <c r="AD910" t="s">
        <v>53</v>
      </c>
      <c r="AK910">
        <v>0</v>
      </c>
      <c r="AU910" s="3">
        <v>42452</v>
      </c>
      <c r="AV910" s="3">
        <v>42452</v>
      </c>
      <c r="AW910" t="s">
        <v>54</v>
      </c>
      <c r="AX910" t="str">
        <f t="shared" si="111"/>
        <v>FOR</v>
      </c>
      <c r="AY910" t="s">
        <v>55</v>
      </c>
    </row>
    <row r="911" spans="1:51" hidden="1">
      <c r="A911">
        <v>100792</v>
      </c>
      <c r="B911" t="s">
        <v>158</v>
      </c>
      <c r="C911" t="str">
        <f t="shared" si="114"/>
        <v>02144720790</v>
      </c>
      <c r="D911" t="str">
        <f t="shared" si="114"/>
        <v>02144720790</v>
      </c>
      <c r="E911" t="s">
        <v>52</v>
      </c>
      <c r="F911">
        <v>2015</v>
      </c>
      <c r="G911" t="str">
        <f>"              388 PA"</f>
        <v xml:space="preserve">              388 PA</v>
      </c>
      <c r="H911" s="3">
        <v>42275</v>
      </c>
      <c r="I911" s="3">
        <v>42275</v>
      </c>
      <c r="J911" s="3">
        <v>42275</v>
      </c>
      <c r="K911" s="3">
        <v>42335</v>
      </c>
      <c r="L911"/>
      <c r="N911"/>
      <c r="O911">
        <v>18.5</v>
      </c>
      <c r="P911">
        <v>117</v>
      </c>
      <c r="Q911" s="4">
        <v>2164.5</v>
      </c>
      <c r="R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 s="3">
        <v>42562</v>
      </c>
      <c r="AC911" t="s">
        <v>53</v>
      </c>
      <c r="AD911" t="s">
        <v>53</v>
      </c>
      <c r="AK911">
        <v>0</v>
      </c>
      <c r="AU911" s="3">
        <v>42452</v>
      </c>
      <c r="AV911" s="3">
        <v>42452</v>
      </c>
      <c r="AW911" t="s">
        <v>54</v>
      </c>
      <c r="AX911" t="str">
        <f t="shared" si="111"/>
        <v>FOR</v>
      </c>
      <c r="AY911" t="s">
        <v>55</v>
      </c>
    </row>
    <row r="912" spans="1:51" hidden="1">
      <c r="A912">
        <v>100792</v>
      </c>
      <c r="B912" t="s">
        <v>158</v>
      </c>
      <c r="C912" t="str">
        <f t="shared" si="114"/>
        <v>02144720790</v>
      </c>
      <c r="D912" t="str">
        <f t="shared" si="114"/>
        <v>02144720790</v>
      </c>
      <c r="E912" t="s">
        <v>52</v>
      </c>
      <c r="F912">
        <v>2015</v>
      </c>
      <c r="G912" t="str">
        <f>"              389 PA"</f>
        <v xml:space="preserve">              389 PA</v>
      </c>
      <c r="H912" s="3">
        <v>42275</v>
      </c>
      <c r="I912" s="3">
        <v>42275</v>
      </c>
      <c r="J912" s="3">
        <v>42275</v>
      </c>
      <c r="K912" s="3">
        <v>42335</v>
      </c>
      <c r="L912"/>
      <c r="N912"/>
      <c r="O912">
        <v>30</v>
      </c>
      <c r="P912">
        <v>117</v>
      </c>
      <c r="Q912" s="4">
        <v>3510</v>
      </c>
      <c r="R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 s="3">
        <v>42562</v>
      </c>
      <c r="AC912" t="s">
        <v>53</v>
      </c>
      <c r="AD912" t="s">
        <v>53</v>
      </c>
      <c r="AK912">
        <v>0</v>
      </c>
      <c r="AU912" s="3">
        <v>42452</v>
      </c>
      <c r="AV912" s="3">
        <v>42452</v>
      </c>
      <c r="AW912" t="s">
        <v>54</v>
      </c>
      <c r="AX912" t="str">
        <f t="shared" si="111"/>
        <v>FOR</v>
      </c>
      <c r="AY912" t="s">
        <v>55</v>
      </c>
    </row>
    <row r="913" spans="1:51" hidden="1">
      <c r="A913">
        <v>100792</v>
      </c>
      <c r="B913" t="s">
        <v>158</v>
      </c>
      <c r="C913" t="str">
        <f t="shared" si="114"/>
        <v>02144720790</v>
      </c>
      <c r="D913" t="str">
        <f t="shared" si="114"/>
        <v>02144720790</v>
      </c>
      <c r="E913" t="s">
        <v>52</v>
      </c>
      <c r="F913">
        <v>2015</v>
      </c>
      <c r="G913" t="str">
        <f>"              465 PA"</f>
        <v xml:space="preserve">              465 PA</v>
      </c>
      <c r="H913" s="3">
        <v>42290</v>
      </c>
      <c r="I913" s="3">
        <v>42290</v>
      </c>
      <c r="J913" s="3">
        <v>42290</v>
      </c>
      <c r="K913" s="3">
        <v>42350</v>
      </c>
      <c r="L913"/>
      <c r="N913"/>
      <c r="O913">
        <v>750</v>
      </c>
      <c r="P913">
        <v>102</v>
      </c>
      <c r="Q913" s="4">
        <v>76500</v>
      </c>
      <c r="R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 s="3">
        <v>42562</v>
      </c>
      <c r="AC913" t="s">
        <v>53</v>
      </c>
      <c r="AD913" t="s">
        <v>53</v>
      </c>
      <c r="AK913">
        <v>0</v>
      </c>
      <c r="AU913" s="3">
        <v>42452</v>
      </c>
      <c r="AV913" s="3">
        <v>42452</v>
      </c>
      <c r="AW913" t="s">
        <v>54</v>
      </c>
      <c r="AX913" t="str">
        <f t="shared" si="111"/>
        <v>FOR</v>
      </c>
      <c r="AY913" t="s">
        <v>55</v>
      </c>
    </row>
    <row r="914" spans="1:51" hidden="1">
      <c r="A914">
        <v>100792</v>
      </c>
      <c r="B914" t="s">
        <v>158</v>
      </c>
      <c r="C914" t="str">
        <f t="shared" si="114"/>
        <v>02144720790</v>
      </c>
      <c r="D914" t="str">
        <f t="shared" si="114"/>
        <v>02144720790</v>
      </c>
      <c r="E914" t="s">
        <v>52</v>
      </c>
      <c r="F914">
        <v>2015</v>
      </c>
      <c r="G914" t="str">
        <f>"              588 PA"</f>
        <v xml:space="preserve">              588 PA</v>
      </c>
      <c r="H914" s="3">
        <v>42338</v>
      </c>
      <c r="I914" s="3">
        <v>42338</v>
      </c>
      <c r="J914" s="3">
        <v>42338</v>
      </c>
      <c r="K914" s="3">
        <v>42398</v>
      </c>
      <c r="L914"/>
      <c r="N914"/>
      <c r="O914">
        <v>15</v>
      </c>
      <c r="P914">
        <v>54</v>
      </c>
      <c r="Q914">
        <v>810</v>
      </c>
      <c r="R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 s="3">
        <v>42562</v>
      </c>
      <c r="AC914" t="s">
        <v>53</v>
      </c>
      <c r="AD914" t="s">
        <v>53</v>
      </c>
      <c r="AK914">
        <v>0</v>
      </c>
      <c r="AU914" s="3">
        <v>42452</v>
      </c>
      <c r="AV914" s="3">
        <v>42452</v>
      </c>
      <c r="AW914" t="s">
        <v>54</v>
      </c>
      <c r="AX914" t="str">
        <f t="shared" si="111"/>
        <v>FOR</v>
      </c>
      <c r="AY914" t="s">
        <v>55</v>
      </c>
    </row>
    <row r="915" spans="1:51" hidden="1">
      <c r="A915">
        <v>100792</v>
      </c>
      <c r="B915" t="s">
        <v>158</v>
      </c>
      <c r="C915" t="str">
        <f t="shared" si="114"/>
        <v>02144720790</v>
      </c>
      <c r="D915" t="str">
        <f t="shared" si="114"/>
        <v>02144720790</v>
      </c>
      <c r="E915" t="s">
        <v>52</v>
      </c>
      <c r="F915">
        <v>2015</v>
      </c>
      <c r="G915" t="str">
        <f>"              589 PA"</f>
        <v xml:space="preserve">              589 PA</v>
      </c>
      <c r="H915" s="3">
        <v>42338</v>
      </c>
      <c r="I915" s="3">
        <v>42338</v>
      </c>
      <c r="J915" s="3">
        <v>42338</v>
      </c>
      <c r="K915" s="3">
        <v>42398</v>
      </c>
      <c r="L915"/>
      <c r="N915"/>
      <c r="O915">
        <v>80</v>
      </c>
      <c r="P915">
        <v>54</v>
      </c>
      <c r="Q915" s="4">
        <v>4320</v>
      </c>
      <c r="R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0</v>
      </c>
      <c r="AB915" s="3">
        <v>42562</v>
      </c>
      <c r="AC915" t="s">
        <v>53</v>
      </c>
      <c r="AD915" t="s">
        <v>53</v>
      </c>
      <c r="AK915">
        <v>0</v>
      </c>
      <c r="AU915" s="3">
        <v>42452</v>
      </c>
      <c r="AV915" s="3">
        <v>42452</v>
      </c>
      <c r="AW915" t="s">
        <v>54</v>
      </c>
      <c r="AX915" t="str">
        <f t="shared" si="111"/>
        <v>FOR</v>
      </c>
      <c r="AY915" t="s">
        <v>55</v>
      </c>
    </row>
    <row r="916" spans="1:51" hidden="1">
      <c r="A916">
        <v>100792</v>
      </c>
      <c r="B916" t="s">
        <v>158</v>
      </c>
      <c r="C916" t="str">
        <f t="shared" si="114"/>
        <v>02144720790</v>
      </c>
      <c r="D916" t="str">
        <f t="shared" si="114"/>
        <v>02144720790</v>
      </c>
      <c r="E916" t="s">
        <v>52</v>
      </c>
      <c r="F916">
        <v>2015</v>
      </c>
      <c r="G916" t="str">
        <f>"              590 PA"</f>
        <v xml:space="preserve">              590 PA</v>
      </c>
      <c r="H916" s="3">
        <v>42338</v>
      </c>
      <c r="I916" s="3">
        <v>42338</v>
      </c>
      <c r="J916" s="3">
        <v>42338</v>
      </c>
      <c r="K916" s="3">
        <v>42398</v>
      </c>
      <c r="L916"/>
      <c r="N916"/>
      <c r="O916">
        <v>110.4</v>
      </c>
      <c r="P916">
        <v>54</v>
      </c>
      <c r="Q916" s="4">
        <v>5961.6</v>
      </c>
      <c r="R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0</v>
      </c>
      <c r="AB916" s="3">
        <v>42562</v>
      </c>
      <c r="AC916" t="s">
        <v>53</v>
      </c>
      <c r="AD916" t="s">
        <v>53</v>
      </c>
      <c r="AK916">
        <v>0</v>
      </c>
      <c r="AU916" s="3">
        <v>42452</v>
      </c>
      <c r="AV916" s="3">
        <v>42452</v>
      </c>
      <c r="AW916" t="s">
        <v>54</v>
      </c>
      <c r="AX916" t="str">
        <f t="shared" si="111"/>
        <v>FOR</v>
      </c>
      <c r="AY916" t="s">
        <v>55</v>
      </c>
    </row>
    <row r="917" spans="1:51" hidden="1">
      <c r="A917">
        <v>100792</v>
      </c>
      <c r="B917" t="s">
        <v>158</v>
      </c>
      <c r="C917" t="str">
        <f t="shared" si="114"/>
        <v>02144720790</v>
      </c>
      <c r="D917" t="str">
        <f t="shared" si="114"/>
        <v>02144720790</v>
      </c>
      <c r="E917" t="s">
        <v>52</v>
      </c>
      <c r="F917">
        <v>2015</v>
      </c>
      <c r="G917" t="str">
        <f>"              591 PA"</f>
        <v xml:space="preserve">              591 PA</v>
      </c>
      <c r="H917" s="3">
        <v>42338</v>
      </c>
      <c r="I917" s="3">
        <v>42338</v>
      </c>
      <c r="J917" s="3">
        <v>42338</v>
      </c>
      <c r="K917" s="3">
        <v>42398</v>
      </c>
      <c r="L917"/>
      <c r="N917"/>
      <c r="O917">
        <v>110.4</v>
      </c>
      <c r="P917">
        <v>54</v>
      </c>
      <c r="Q917" s="4">
        <v>5961.6</v>
      </c>
      <c r="R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0</v>
      </c>
      <c r="AB917" s="3">
        <v>42562</v>
      </c>
      <c r="AC917" t="s">
        <v>53</v>
      </c>
      <c r="AD917" t="s">
        <v>53</v>
      </c>
      <c r="AK917">
        <v>0</v>
      </c>
      <c r="AU917" s="3">
        <v>42452</v>
      </c>
      <c r="AV917" s="3">
        <v>42452</v>
      </c>
      <c r="AW917" t="s">
        <v>54</v>
      </c>
      <c r="AX917" t="str">
        <f t="shared" si="111"/>
        <v>FOR</v>
      </c>
      <c r="AY917" t="s">
        <v>55</v>
      </c>
    </row>
    <row r="918" spans="1:51" hidden="1">
      <c r="A918">
        <v>100792</v>
      </c>
      <c r="B918" t="s">
        <v>158</v>
      </c>
      <c r="C918" t="str">
        <f t="shared" si="114"/>
        <v>02144720790</v>
      </c>
      <c r="D918" t="str">
        <f t="shared" si="114"/>
        <v>02144720790</v>
      </c>
      <c r="E918" t="s">
        <v>52</v>
      </c>
      <c r="F918">
        <v>2015</v>
      </c>
      <c r="G918" t="str">
        <f>"              716 PA"</f>
        <v xml:space="preserve">              716 PA</v>
      </c>
      <c r="H918" s="3">
        <v>42361</v>
      </c>
      <c r="I918" s="3">
        <v>42368</v>
      </c>
      <c r="J918" s="3">
        <v>42361</v>
      </c>
      <c r="K918" s="3">
        <v>42421</v>
      </c>
      <c r="L918"/>
      <c r="N918"/>
      <c r="O918">
        <v>109</v>
      </c>
      <c r="P918">
        <v>31</v>
      </c>
      <c r="Q918" s="4">
        <v>3379</v>
      </c>
      <c r="R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 s="3">
        <v>42562</v>
      </c>
      <c r="AC918" t="s">
        <v>53</v>
      </c>
      <c r="AD918" t="s">
        <v>53</v>
      </c>
      <c r="AK918">
        <v>0</v>
      </c>
      <c r="AU918" s="3">
        <v>42452</v>
      </c>
      <c r="AV918" s="3">
        <v>42452</v>
      </c>
      <c r="AW918" t="s">
        <v>54</v>
      </c>
      <c r="AX918" t="str">
        <f t="shared" si="111"/>
        <v>FOR</v>
      </c>
      <c r="AY918" t="s">
        <v>55</v>
      </c>
    </row>
    <row r="919" spans="1:51" hidden="1">
      <c r="A919">
        <v>100796</v>
      </c>
      <c r="B919" t="s">
        <v>159</v>
      </c>
      <c r="C919" t="str">
        <f t="shared" ref="C919:D923" si="115">"02380550596"</f>
        <v>02380550596</v>
      </c>
      <c r="D919" t="str">
        <f t="shared" si="115"/>
        <v>02380550596</v>
      </c>
      <c r="E919" t="s">
        <v>52</v>
      </c>
      <c r="F919">
        <v>2015</v>
      </c>
      <c r="G919" t="str">
        <f>"             3312/P1"</f>
        <v xml:space="preserve">             3312/P1</v>
      </c>
      <c r="H919" s="3">
        <v>42134</v>
      </c>
      <c r="I919" s="3">
        <v>42158</v>
      </c>
      <c r="J919" s="3">
        <v>42144</v>
      </c>
      <c r="K919" s="3">
        <v>42204</v>
      </c>
      <c r="L919"/>
      <c r="N919"/>
      <c r="O919" s="4">
        <v>1800</v>
      </c>
      <c r="P919">
        <v>248</v>
      </c>
      <c r="Q919" s="4">
        <v>446400</v>
      </c>
      <c r="R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 s="3">
        <v>42562</v>
      </c>
      <c r="AC919" t="s">
        <v>53</v>
      </c>
      <c r="AD919" t="s">
        <v>53</v>
      </c>
      <c r="AK919">
        <v>0</v>
      </c>
      <c r="AU919" s="3">
        <v>42452</v>
      </c>
      <c r="AV919" s="3">
        <v>42452</v>
      </c>
      <c r="AW919" t="s">
        <v>54</v>
      </c>
      <c r="AX919" t="str">
        <f t="shared" si="111"/>
        <v>FOR</v>
      </c>
      <c r="AY919" t="s">
        <v>55</v>
      </c>
    </row>
    <row r="920" spans="1:51">
      <c r="A920">
        <v>100796</v>
      </c>
      <c r="B920" t="s">
        <v>159</v>
      </c>
      <c r="C920" t="str">
        <f t="shared" si="115"/>
        <v>02380550596</v>
      </c>
      <c r="D920" t="str">
        <f t="shared" si="115"/>
        <v>02380550596</v>
      </c>
      <c r="E920" t="s">
        <v>52</v>
      </c>
      <c r="F920">
        <v>2015</v>
      </c>
      <c r="G920" t="str">
        <f>"             7552/P1"</f>
        <v xml:space="preserve">             7552/P1</v>
      </c>
      <c r="H920" s="3">
        <v>42325</v>
      </c>
      <c r="I920" s="3">
        <v>42328</v>
      </c>
      <c r="J920" s="3">
        <v>42327</v>
      </c>
      <c r="K920" s="3">
        <v>42387</v>
      </c>
      <c r="L920" s="5">
        <v>1785</v>
      </c>
      <c r="M920">
        <v>133</v>
      </c>
      <c r="N920" s="5">
        <v>237405</v>
      </c>
      <c r="O920" s="4">
        <v>1785</v>
      </c>
      <c r="P920">
        <v>133</v>
      </c>
      <c r="Q920" s="4">
        <v>237405</v>
      </c>
      <c r="R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 s="3">
        <v>42562</v>
      </c>
      <c r="AC920" t="s">
        <v>53</v>
      </c>
      <c r="AD920" t="s">
        <v>53</v>
      </c>
      <c r="AK920">
        <v>0</v>
      </c>
      <c r="AU920" s="3">
        <v>42520</v>
      </c>
      <c r="AV920" s="3">
        <v>42520</v>
      </c>
      <c r="AW920" t="s">
        <v>54</v>
      </c>
      <c r="AX920" t="str">
        <f t="shared" si="111"/>
        <v>FOR</v>
      </c>
      <c r="AY920" t="s">
        <v>55</v>
      </c>
    </row>
    <row r="921" spans="1:51">
      <c r="A921">
        <v>100796</v>
      </c>
      <c r="B921" t="s">
        <v>159</v>
      </c>
      <c r="C921" t="str">
        <f t="shared" si="115"/>
        <v>02380550596</v>
      </c>
      <c r="D921" t="str">
        <f t="shared" si="115"/>
        <v>02380550596</v>
      </c>
      <c r="E921" t="s">
        <v>52</v>
      </c>
      <c r="F921">
        <v>2015</v>
      </c>
      <c r="G921" t="str">
        <f>"             7854/P1"</f>
        <v xml:space="preserve">             7854/P1</v>
      </c>
      <c r="H921" s="3">
        <v>42338</v>
      </c>
      <c r="I921" s="3">
        <v>42340</v>
      </c>
      <c r="J921" s="3">
        <v>42339</v>
      </c>
      <c r="K921" s="3">
        <v>42399</v>
      </c>
      <c r="L921" s="5">
        <v>1785</v>
      </c>
      <c r="M921">
        <v>121</v>
      </c>
      <c r="N921" s="5">
        <v>215985</v>
      </c>
      <c r="O921" s="4">
        <v>1785</v>
      </c>
      <c r="P921">
        <v>121</v>
      </c>
      <c r="Q921" s="4">
        <v>215985</v>
      </c>
      <c r="R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 s="3">
        <v>42562</v>
      </c>
      <c r="AC921" t="s">
        <v>53</v>
      </c>
      <c r="AD921" t="s">
        <v>53</v>
      </c>
      <c r="AK921">
        <v>0</v>
      </c>
      <c r="AU921" s="3">
        <v>42520</v>
      </c>
      <c r="AV921" s="3">
        <v>42520</v>
      </c>
      <c r="AW921" t="s">
        <v>54</v>
      </c>
      <c r="AX921" t="str">
        <f t="shared" si="111"/>
        <v>FOR</v>
      </c>
      <c r="AY921" t="s">
        <v>55</v>
      </c>
    </row>
    <row r="922" spans="1:51">
      <c r="A922">
        <v>100796</v>
      </c>
      <c r="B922" t="s">
        <v>159</v>
      </c>
      <c r="C922" t="str">
        <f t="shared" si="115"/>
        <v>02380550596</v>
      </c>
      <c r="D922" t="str">
        <f t="shared" si="115"/>
        <v>02380550596</v>
      </c>
      <c r="E922" t="s">
        <v>52</v>
      </c>
      <c r="F922">
        <v>2015</v>
      </c>
      <c r="G922" t="str">
        <f>"             8147/P1"</f>
        <v xml:space="preserve">             8147/P1</v>
      </c>
      <c r="H922" s="3">
        <v>42354</v>
      </c>
      <c r="I922" s="3">
        <v>42354</v>
      </c>
      <c r="J922" s="3">
        <v>42354</v>
      </c>
      <c r="K922" s="3">
        <v>42414</v>
      </c>
      <c r="L922" s="5">
        <v>3760</v>
      </c>
      <c r="M922">
        <v>106</v>
      </c>
      <c r="N922" s="5">
        <v>398560</v>
      </c>
      <c r="O922" s="4">
        <v>3760</v>
      </c>
      <c r="P922">
        <v>106</v>
      </c>
      <c r="Q922" s="4">
        <v>398560</v>
      </c>
      <c r="R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0</v>
      </c>
      <c r="AB922" s="3">
        <v>42562</v>
      </c>
      <c r="AC922" t="s">
        <v>53</v>
      </c>
      <c r="AD922" t="s">
        <v>53</v>
      </c>
      <c r="AK922">
        <v>0</v>
      </c>
      <c r="AU922" s="3">
        <v>42520</v>
      </c>
      <c r="AV922" s="3">
        <v>42520</v>
      </c>
      <c r="AW922" t="s">
        <v>54</v>
      </c>
      <c r="AX922" t="str">
        <f t="shared" si="111"/>
        <v>FOR</v>
      </c>
      <c r="AY922" t="s">
        <v>55</v>
      </c>
    </row>
    <row r="923" spans="1:51">
      <c r="A923">
        <v>100796</v>
      </c>
      <c r="B923" t="s">
        <v>159</v>
      </c>
      <c r="C923" t="str">
        <f t="shared" si="115"/>
        <v>02380550596</v>
      </c>
      <c r="D923" t="str">
        <f t="shared" si="115"/>
        <v>02380550596</v>
      </c>
      <c r="E923" t="s">
        <v>52</v>
      </c>
      <c r="F923">
        <v>2015</v>
      </c>
      <c r="G923" t="str">
        <f>"             8348/P1"</f>
        <v xml:space="preserve">             8348/P1</v>
      </c>
      <c r="H923" s="3">
        <v>42360</v>
      </c>
      <c r="I923" s="3">
        <v>42366</v>
      </c>
      <c r="J923" s="3">
        <v>42361</v>
      </c>
      <c r="K923" s="3">
        <v>42421</v>
      </c>
      <c r="L923" s="5">
        <v>2380</v>
      </c>
      <c r="M923">
        <v>99</v>
      </c>
      <c r="N923" s="5">
        <v>235620</v>
      </c>
      <c r="O923" s="4">
        <v>2380</v>
      </c>
      <c r="P923">
        <v>99</v>
      </c>
      <c r="Q923" s="4">
        <v>235620</v>
      </c>
      <c r="R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0</v>
      </c>
      <c r="AB923" s="3">
        <v>42562</v>
      </c>
      <c r="AC923" t="s">
        <v>53</v>
      </c>
      <c r="AD923" t="s">
        <v>53</v>
      </c>
      <c r="AK923">
        <v>0</v>
      </c>
      <c r="AU923" s="3">
        <v>42520</v>
      </c>
      <c r="AV923" s="3">
        <v>42520</v>
      </c>
      <c r="AW923" t="s">
        <v>54</v>
      </c>
      <c r="AX923" t="str">
        <f t="shared" si="111"/>
        <v>FOR</v>
      </c>
      <c r="AY923" t="s">
        <v>55</v>
      </c>
    </row>
    <row r="924" spans="1:51">
      <c r="A924">
        <v>100798</v>
      </c>
      <c r="B924" t="s">
        <v>160</v>
      </c>
      <c r="C924" t="str">
        <f t="shared" ref="C924:C942" si="116">"00907371009"</f>
        <v>00907371009</v>
      </c>
      <c r="D924" t="str">
        <f t="shared" ref="D924:D942" si="117">"00492340583"</f>
        <v>00492340583</v>
      </c>
      <c r="E924" t="s">
        <v>52</v>
      </c>
      <c r="F924">
        <v>2014</v>
      </c>
      <c r="G924" t="str">
        <f>"            14056779"</f>
        <v xml:space="preserve">            14056779</v>
      </c>
      <c r="H924" s="3">
        <v>41823</v>
      </c>
      <c r="I924" s="3">
        <v>42054</v>
      </c>
      <c r="J924" s="3">
        <v>42054</v>
      </c>
      <c r="K924" s="3">
        <v>42114</v>
      </c>
      <c r="L924" s="1">
        <v>798.72</v>
      </c>
      <c r="M924">
        <v>416</v>
      </c>
      <c r="N924" s="5">
        <v>332267.52000000002</v>
      </c>
      <c r="O924">
        <v>798.72</v>
      </c>
      <c r="P924">
        <v>416</v>
      </c>
      <c r="Q924" s="4">
        <v>332267.52000000002</v>
      </c>
      <c r="R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 s="3">
        <v>42562</v>
      </c>
      <c r="AC924" t="s">
        <v>53</v>
      </c>
      <c r="AD924" t="s">
        <v>53</v>
      </c>
      <c r="AK924">
        <v>0</v>
      </c>
      <c r="AU924" s="3">
        <v>42530</v>
      </c>
      <c r="AV924" s="3">
        <v>42530</v>
      </c>
      <c r="AW924" t="s">
        <v>54</v>
      </c>
      <c r="AX924" t="str">
        <f t="shared" si="111"/>
        <v>FOR</v>
      </c>
      <c r="AY924" t="s">
        <v>55</v>
      </c>
    </row>
    <row r="925" spans="1:51">
      <c r="A925">
        <v>100798</v>
      </c>
      <c r="B925" t="s">
        <v>160</v>
      </c>
      <c r="C925" t="str">
        <f t="shared" si="116"/>
        <v>00907371009</v>
      </c>
      <c r="D925" t="str">
        <f t="shared" si="117"/>
        <v>00492340583</v>
      </c>
      <c r="E925" t="s">
        <v>52</v>
      </c>
      <c r="F925">
        <v>2014</v>
      </c>
      <c r="G925" t="str">
        <f>"            14059570"</f>
        <v xml:space="preserve">            14059570</v>
      </c>
      <c r="H925" s="3">
        <v>41831</v>
      </c>
      <c r="I925" s="3">
        <v>42054</v>
      </c>
      <c r="J925" s="3">
        <v>42054</v>
      </c>
      <c r="K925" s="3">
        <v>42114</v>
      </c>
      <c r="L925" s="1">
        <v>591.36</v>
      </c>
      <c r="M925">
        <v>416</v>
      </c>
      <c r="N925" s="5">
        <v>246005.76000000001</v>
      </c>
      <c r="O925">
        <v>591.36</v>
      </c>
      <c r="P925">
        <v>416</v>
      </c>
      <c r="Q925" s="4">
        <v>246005.76000000001</v>
      </c>
      <c r="R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 s="3">
        <v>42562</v>
      </c>
      <c r="AC925" t="s">
        <v>53</v>
      </c>
      <c r="AD925" t="s">
        <v>53</v>
      </c>
      <c r="AK925">
        <v>0</v>
      </c>
      <c r="AU925" s="3">
        <v>42530</v>
      </c>
      <c r="AV925" s="3">
        <v>42530</v>
      </c>
      <c r="AW925" t="s">
        <v>54</v>
      </c>
      <c r="AX925" t="str">
        <f t="shared" ref="AX925:AX944" si="118">"FOR"</f>
        <v>FOR</v>
      </c>
      <c r="AY925" t="s">
        <v>55</v>
      </c>
    </row>
    <row r="926" spans="1:51">
      <c r="A926">
        <v>100798</v>
      </c>
      <c r="B926" t="s">
        <v>160</v>
      </c>
      <c r="C926" t="str">
        <f t="shared" si="116"/>
        <v>00907371009</v>
      </c>
      <c r="D926" t="str">
        <f t="shared" si="117"/>
        <v>00492340583</v>
      </c>
      <c r="E926" t="s">
        <v>52</v>
      </c>
      <c r="F926">
        <v>2014</v>
      </c>
      <c r="G926" t="str">
        <f>"            14061405"</f>
        <v xml:space="preserve">            14061405</v>
      </c>
      <c r="H926" s="3">
        <v>41837</v>
      </c>
      <c r="I926" s="3">
        <v>42054</v>
      </c>
      <c r="J926" s="3">
        <v>42054</v>
      </c>
      <c r="K926" s="3">
        <v>42114</v>
      </c>
      <c r="L926" s="1">
        <v>632.16999999999996</v>
      </c>
      <c r="M926">
        <v>416</v>
      </c>
      <c r="N926" s="5">
        <v>262982.71999999997</v>
      </c>
      <c r="O926">
        <v>632.16999999999996</v>
      </c>
      <c r="P926">
        <v>416</v>
      </c>
      <c r="Q926" s="4">
        <v>262982.71999999997</v>
      </c>
      <c r="R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 s="3">
        <v>42562</v>
      </c>
      <c r="AC926" t="s">
        <v>53</v>
      </c>
      <c r="AD926" t="s">
        <v>53</v>
      </c>
      <c r="AK926">
        <v>0</v>
      </c>
      <c r="AU926" s="3">
        <v>42530</v>
      </c>
      <c r="AV926" s="3">
        <v>42530</v>
      </c>
      <c r="AW926" t="s">
        <v>54</v>
      </c>
      <c r="AX926" t="str">
        <f t="shared" si="118"/>
        <v>FOR</v>
      </c>
      <c r="AY926" t="s">
        <v>55</v>
      </c>
    </row>
    <row r="927" spans="1:51">
      <c r="A927">
        <v>100798</v>
      </c>
      <c r="B927" t="s">
        <v>160</v>
      </c>
      <c r="C927" t="str">
        <f t="shared" si="116"/>
        <v>00907371009</v>
      </c>
      <c r="D927" t="str">
        <f t="shared" si="117"/>
        <v>00492340583</v>
      </c>
      <c r="E927" t="s">
        <v>52</v>
      </c>
      <c r="F927">
        <v>2014</v>
      </c>
      <c r="G927" t="str">
        <f>"            14061842"</f>
        <v xml:space="preserve">            14061842</v>
      </c>
      <c r="H927" s="3">
        <v>41838</v>
      </c>
      <c r="I927" s="3">
        <v>42054</v>
      </c>
      <c r="J927" s="3">
        <v>42054</v>
      </c>
      <c r="K927" s="3">
        <v>42114</v>
      </c>
      <c r="L927" s="1">
        <v>464.64</v>
      </c>
      <c r="M927">
        <v>416</v>
      </c>
      <c r="N927" s="5">
        <v>193290.23999999999</v>
      </c>
      <c r="O927">
        <v>464.64</v>
      </c>
      <c r="P927">
        <v>416</v>
      </c>
      <c r="Q927" s="4">
        <v>193290.23999999999</v>
      </c>
      <c r="R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0</v>
      </c>
      <c r="AB927" s="3">
        <v>42562</v>
      </c>
      <c r="AC927" t="s">
        <v>53</v>
      </c>
      <c r="AD927" t="s">
        <v>53</v>
      </c>
      <c r="AK927">
        <v>0</v>
      </c>
      <c r="AU927" s="3">
        <v>42530</v>
      </c>
      <c r="AV927" s="3">
        <v>42530</v>
      </c>
      <c r="AW927" t="s">
        <v>54</v>
      </c>
      <c r="AX927" t="str">
        <f t="shared" si="118"/>
        <v>FOR</v>
      </c>
      <c r="AY927" t="s">
        <v>55</v>
      </c>
    </row>
    <row r="928" spans="1:51">
      <c r="A928">
        <v>100798</v>
      </c>
      <c r="B928" t="s">
        <v>160</v>
      </c>
      <c r="C928" t="str">
        <f t="shared" si="116"/>
        <v>00907371009</v>
      </c>
      <c r="D928" t="str">
        <f t="shared" si="117"/>
        <v>00492340583</v>
      </c>
      <c r="E928" t="s">
        <v>52</v>
      </c>
      <c r="F928">
        <v>2014</v>
      </c>
      <c r="G928" t="str">
        <f>"            14076150"</f>
        <v xml:space="preserve">            14076150</v>
      </c>
      <c r="H928" s="3">
        <v>41887</v>
      </c>
      <c r="I928" s="3">
        <v>41922</v>
      </c>
      <c r="J928" s="3">
        <v>41922</v>
      </c>
      <c r="K928" s="3">
        <v>42012</v>
      </c>
      <c r="L928" s="1">
        <v>399.36</v>
      </c>
      <c r="M928">
        <v>518</v>
      </c>
      <c r="N928" s="5">
        <v>206868.48000000001</v>
      </c>
      <c r="O928">
        <v>399.36</v>
      </c>
      <c r="P928">
        <v>518</v>
      </c>
      <c r="Q928" s="4">
        <v>206868.48000000001</v>
      </c>
      <c r="R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0</v>
      </c>
      <c r="AB928" s="3">
        <v>42562</v>
      </c>
      <c r="AC928" t="s">
        <v>53</v>
      </c>
      <c r="AD928" t="s">
        <v>53</v>
      </c>
      <c r="AK928">
        <v>0</v>
      </c>
      <c r="AU928" s="3">
        <v>42530</v>
      </c>
      <c r="AV928" s="3">
        <v>42530</v>
      </c>
      <c r="AW928" t="s">
        <v>54</v>
      </c>
      <c r="AX928" t="str">
        <f t="shared" si="118"/>
        <v>FOR</v>
      </c>
      <c r="AY928" t="s">
        <v>55</v>
      </c>
    </row>
    <row r="929" spans="1:51">
      <c r="A929">
        <v>100798</v>
      </c>
      <c r="B929" t="s">
        <v>160</v>
      </c>
      <c r="C929" t="str">
        <f t="shared" si="116"/>
        <v>00907371009</v>
      </c>
      <c r="D929" t="str">
        <f t="shared" si="117"/>
        <v>00492340583</v>
      </c>
      <c r="E929" t="s">
        <v>52</v>
      </c>
      <c r="F929">
        <v>2014</v>
      </c>
      <c r="G929" t="str">
        <f>"            14079995"</f>
        <v xml:space="preserve">            14079995</v>
      </c>
      <c r="H929" s="3">
        <v>41901</v>
      </c>
      <c r="I929" s="3">
        <v>41921</v>
      </c>
      <c r="J929" s="3">
        <v>41921</v>
      </c>
      <c r="K929" s="3">
        <v>42011</v>
      </c>
      <c r="L929" s="1">
        <v>399.36</v>
      </c>
      <c r="M929">
        <v>519</v>
      </c>
      <c r="N929" s="5">
        <v>207267.84</v>
      </c>
      <c r="O929">
        <v>399.36</v>
      </c>
      <c r="P929">
        <v>519</v>
      </c>
      <c r="Q929" s="4">
        <v>207267.84</v>
      </c>
      <c r="R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0</v>
      </c>
      <c r="AB929" s="3">
        <v>42562</v>
      </c>
      <c r="AC929" t="s">
        <v>53</v>
      </c>
      <c r="AD929" t="s">
        <v>53</v>
      </c>
      <c r="AK929">
        <v>0</v>
      </c>
      <c r="AU929" s="3">
        <v>42530</v>
      </c>
      <c r="AV929" s="3">
        <v>42530</v>
      </c>
      <c r="AW929" t="s">
        <v>54</v>
      </c>
      <c r="AX929" t="str">
        <f t="shared" si="118"/>
        <v>FOR</v>
      </c>
      <c r="AY929" t="s">
        <v>55</v>
      </c>
    </row>
    <row r="930" spans="1:51">
      <c r="A930">
        <v>100798</v>
      </c>
      <c r="B930" t="s">
        <v>160</v>
      </c>
      <c r="C930" t="str">
        <f t="shared" si="116"/>
        <v>00907371009</v>
      </c>
      <c r="D930" t="str">
        <f t="shared" si="117"/>
        <v>00492340583</v>
      </c>
      <c r="E930" t="s">
        <v>52</v>
      </c>
      <c r="F930">
        <v>2014</v>
      </c>
      <c r="G930" t="str">
        <f>"            14079996"</f>
        <v xml:space="preserve">            14079996</v>
      </c>
      <c r="H930" s="3">
        <v>41901</v>
      </c>
      <c r="I930" s="3">
        <v>41921</v>
      </c>
      <c r="J930" s="3">
        <v>41921</v>
      </c>
      <c r="K930" s="3">
        <v>42011</v>
      </c>
      <c r="L930" s="5">
        <v>1056</v>
      </c>
      <c r="M930">
        <v>519</v>
      </c>
      <c r="N930" s="5">
        <v>548064</v>
      </c>
      <c r="O930" s="4">
        <v>1056</v>
      </c>
      <c r="P930">
        <v>519</v>
      </c>
      <c r="Q930" s="4">
        <v>548064</v>
      </c>
      <c r="R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 s="3">
        <v>42562</v>
      </c>
      <c r="AC930" t="s">
        <v>53</v>
      </c>
      <c r="AD930" t="s">
        <v>53</v>
      </c>
      <c r="AK930">
        <v>0</v>
      </c>
      <c r="AU930" s="3">
        <v>42530</v>
      </c>
      <c r="AV930" s="3">
        <v>42530</v>
      </c>
      <c r="AW930" t="s">
        <v>54</v>
      </c>
      <c r="AX930" t="str">
        <f t="shared" si="118"/>
        <v>FOR</v>
      </c>
      <c r="AY930" t="s">
        <v>55</v>
      </c>
    </row>
    <row r="931" spans="1:51">
      <c r="A931">
        <v>100798</v>
      </c>
      <c r="B931" t="s">
        <v>160</v>
      </c>
      <c r="C931" t="str">
        <f t="shared" si="116"/>
        <v>00907371009</v>
      </c>
      <c r="D931" t="str">
        <f t="shared" si="117"/>
        <v>00492340583</v>
      </c>
      <c r="E931" t="s">
        <v>52</v>
      </c>
      <c r="F931">
        <v>2014</v>
      </c>
      <c r="G931" t="str">
        <f>"            14087583"</f>
        <v xml:space="preserve">            14087583</v>
      </c>
      <c r="H931" s="3">
        <v>41925</v>
      </c>
      <c r="I931" s="3">
        <v>41941</v>
      </c>
      <c r="J931" s="3">
        <v>41941</v>
      </c>
      <c r="K931" s="3">
        <v>42001</v>
      </c>
      <c r="L931" s="1">
        <v>277.2</v>
      </c>
      <c r="M931">
        <v>529</v>
      </c>
      <c r="N931" s="5">
        <v>146638.79999999999</v>
      </c>
      <c r="O931">
        <v>277.2</v>
      </c>
      <c r="P931">
        <v>529</v>
      </c>
      <c r="Q931" s="4">
        <v>146638.79999999999</v>
      </c>
      <c r="R931">
        <v>0</v>
      </c>
      <c r="V931">
        <v>0</v>
      </c>
      <c r="W931">
        <v>0</v>
      </c>
      <c r="X931">
        <v>0</v>
      </c>
      <c r="Y931">
        <v>0</v>
      </c>
      <c r="Z931">
        <v>0</v>
      </c>
      <c r="AA931">
        <v>0</v>
      </c>
      <c r="AB931" s="3">
        <v>42562</v>
      </c>
      <c r="AC931" t="s">
        <v>53</v>
      </c>
      <c r="AD931" t="s">
        <v>53</v>
      </c>
      <c r="AK931">
        <v>0</v>
      </c>
      <c r="AU931" s="3">
        <v>42530</v>
      </c>
      <c r="AV931" s="3">
        <v>42530</v>
      </c>
      <c r="AW931" t="s">
        <v>54</v>
      </c>
      <c r="AX931" t="str">
        <f t="shared" si="118"/>
        <v>FOR</v>
      </c>
      <c r="AY931" t="s">
        <v>55</v>
      </c>
    </row>
    <row r="932" spans="1:51">
      <c r="A932">
        <v>100798</v>
      </c>
      <c r="B932" t="s">
        <v>160</v>
      </c>
      <c r="C932" t="str">
        <f t="shared" si="116"/>
        <v>00907371009</v>
      </c>
      <c r="D932" t="str">
        <f t="shared" si="117"/>
        <v>00492340583</v>
      </c>
      <c r="E932" t="s">
        <v>52</v>
      </c>
      <c r="F932">
        <v>2014</v>
      </c>
      <c r="G932" t="str">
        <f>"            14087584"</f>
        <v xml:space="preserve">            14087584</v>
      </c>
      <c r="H932" s="3">
        <v>41925</v>
      </c>
      <c r="I932" s="3">
        <v>41941</v>
      </c>
      <c r="J932" s="3">
        <v>41941</v>
      </c>
      <c r="K932" s="3">
        <v>42001</v>
      </c>
      <c r="L932" s="1">
        <v>798.72</v>
      </c>
      <c r="M932">
        <v>529</v>
      </c>
      <c r="N932" s="5">
        <v>422522.88</v>
      </c>
      <c r="O932">
        <v>798.72</v>
      </c>
      <c r="P932">
        <v>529</v>
      </c>
      <c r="Q932" s="4">
        <v>422522.88</v>
      </c>
      <c r="R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0</v>
      </c>
      <c r="AB932" s="3">
        <v>42562</v>
      </c>
      <c r="AC932" t="s">
        <v>53</v>
      </c>
      <c r="AD932" t="s">
        <v>53</v>
      </c>
      <c r="AK932">
        <v>0</v>
      </c>
      <c r="AU932" s="3">
        <v>42530</v>
      </c>
      <c r="AV932" s="3">
        <v>42530</v>
      </c>
      <c r="AW932" t="s">
        <v>54</v>
      </c>
      <c r="AX932" t="str">
        <f t="shared" si="118"/>
        <v>FOR</v>
      </c>
      <c r="AY932" t="s">
        <v>55</v>
      </c>
    </row>
    <row r="933" spans="1:51">
      <c r="A933">
        <v>100798</v>
      </c>
      <c r="B933" t="s">
        <v>160</v>
      </c>
      <c r="C933" t="str">
        <f t="shared" si="116"/>
        <v>00907371009</v>
      </c>
      <c r="D933" t="str">
        <f t="shared" si="117"/>
        <v>00492340583</v>
      </c>
      <c r="E933" t="s">
        <v>52</v>
      </c>
      <c r="F933">
        <v>2014</v>
      </c>
      <c r="G933" t="str">
        <f>"            14087585"</f>
        <v xml:space="preserve">            14087585</v>
      </c>
      <c r="H933" s="3">
        <v>41925</v>
      </c>
      <c r="I933" s="3">
        <v>41941</v>
      </c>
      <c r="J933" s="3">
        <v>41941</v>
      </c>
      <c r="K933" s="3">
        <v>42001</v>
      </c>
      <c r="L933" s="1">
        <v>582.29999999999995</v>
      </c>
      <c r="M933">
        <v>529</v>
      </c>
      <c r="N933" s="5">
        <v>308036.7</v>
      </c>
      <c r="O933">
        <v>582.29999999999995</v>
      </c>
      <c r="P933">
        <v>529</v>
      </c>
      <c r="Q933" s="4">
        <v>308036.7</v>
      </c>
      <c r="R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 s="3">
        <v>42562</v>
      </c>
      <c r="AC933" t="s">
        <v>53</v>
      </c>
      <c r="AD933" t="s">
        <v>53</v>
      </c>
      <c r="AK933">
        <v>0</v>
      </c>
      <c r="AU933" s="3">
        <v>42530</v>
      </c>
      <c r="AV933" s="3">
        <v>42530</v>
      </c>
      <c r="AW933" t="s">
        <v>54</v>
      </c>
      <c r="AX933" t="str">
        <f t="shared" si="118"/>
        <v>FOR</v>
      </c>
      <c r="AY933" t="s">
        <v>55</v>
      </c>
    </row>
    <row r="934" spans="1:51" hidden="1">
      <c r="A934">
        <v>100798</v>
      </c>
      <c r="B934" t="s">
        <v>160</v>
      </c>
      <c r="C934" t="str">
        <f t="shared" si="116"/>
        <v>00907371009</v>
      </c>
      <c r="D934" t="str">
        <f t="shared" si="117"/>
        <v>00492340583</v>
      </c>
      <c r="E934" t="s">
        <v>52</v>
      </c>
      <c r="F934">
        <v>2015</v>
      </c>
      <c r="G934" t="str">
        <f>"            15009228"</f>
        <v xml:space="preserve">            15009228</v>
      </c>
      <c r="H934" s="3">
        <v>42037</v>
      </c>
      <c r="I934" s="3">
        <v>42067</v>
      </c>
      <c r="J934" s="3">
        <v>42067</v>
      </c>
      <c r="K934" s="3">
        <v>42127</v>
      </c>
      <c r="L934"/>
      <c r="N934"/>
      <c r="O934">
        <v>768</v>
      </c>
      <c r="P934">
        <v>277</v>
      </c>
      <c r="Q934" s="4">
        <v>212736</v>
      </c>
      <c r="R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 s="3">
        <v>42562</v>
      </c>
      <c r="AC934" t="s">
        <v>53</v>
      </c>
      <c r="AD934" t="s">
        <v>53</v>
      </c>
      <c r="AK934">
        <v>0</v>
      </c>
      <c r="AU934" s="3">
        <v>42404</v>
      </c>
      <c r="AV934" s="3">
        <v>42404</v>
      </c>
      <c r="AW934" t="s">
        <v>54</v>
      </c>
      <c r="AX934" t="str">
        <f t="shared" si="118"/>
        <v>FOR</v>
      </c>
      <c r="AY934" t="s">
        <v>55</v>
      </c>
    </row>
    <row r="935" spans="1:51" hidden="1">
      <c r="A935">
        <v>100798</v>
      </c>
      <c r="B935" t="s">
        <v>160</v>
      </c>
      <c r="C935" t="str">
        <f t="shared" si="116"/>
        <v>00907371009</v>
      </c>
      <c r="D935" t="str">
        <f t="shared" si="117"/>
        <v>00492340583</v>
      </c>
      <c r="E935" t="s">
        <v>52</v>
      </c>
      <c r="F935">
        <v>2015</v>
      </c>
      <c r="G935" t="str">
        <f>"            15015654"</f>
        <v xml:space="preserve">            15015654</v>
      </c>
      <c r="H935" s="3">
        <v>42054</v>
      </c>
      <c r="I935" s="3">
        <v>42305</v>
      </c>
      <c r="J935" s="3">
        <v>42305</v>
      </c>
      <c r="K935" s="3">
        <v>42365</v>
      </c>
      <c r="L935"/>
      <c r="N935"/>
      <c r="O935" s="4">
        <v>1075.2</v>
      </c>
      <c r="P935">
        <v>39</v>
      </c>
      <c r="Q935" s="4">
        <v>41932.800000000003</v>
      </c>
      <c r="R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0</v>
      </c>
      <c r="AB935" s="3">
        <v>42562</v>
      </c>
      <c r="AC935" t="s">
        <v>53</v>
      </c>
      <c r="AD935" t="s">
        <v>53</v>
      </c>
      <c r="AK935">
        <v>0</v>
      </c>
      <c r="AU935" s="3">
        <v>42404</v>
      </c>
      <c r="AV935" s="3">
        <v>42404</v>
      </c>
      <c r="AW935" t="s">
        <v>54</v>
      </c>
      <c r="AX935" t="str">
        <f t="shared" si="118"/>
        <v>FOR</v>
      </c>
      <c r="AY935" t="s">
        <v>55</v>
      </c>
    </row>
    <row r="936" spans="1:51" hidden="1">
      <c r="A936">
        <v>100798</v>
      </c>
      <c r="B936" t="s">
        <v>160</v>
      </c>
      <c r="C936" t="str">
        <f t="shared" si="116"/>
        <v>00907371009</v>
      </c>
      <c r="D936" t="str">
        <f t="shared" si="117"/>
        <v>00492340583</v>
      </c>
      <c r="E936" t="s">
        <v>52</v>
      </c>
      <c r="F936">
        <v>2015</v>
      </c>
      <c r="G936" t="str">
        <f>"            15034027"</f>
        <v xml:space="preserve">            15034027</v>
      </c>
      <c r="H936" s="3">
        <v>42111</v>
      </c>
      <c r="I936" s="3">
        <v>42116</v>
      </c>
      <c r="J936" s="3">
        <v>42115</v>
      </c>
      <c r="K936" s="3">
        <v>42175</v>
      </c>
      <c r="L936"/>
      <c r="N936"/>
      <c r="O936">
        <v>640</v>
      </c>
      <c r="P936">
        <v>277</v>
      </c>
      <c r="Q936" s="4">
        <v>177280</v>
      </c>
      <c r="R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 s="3">
        <v>42562</v>
      </c>
      <c r="AC936" t="s">
        <v>53</v>
      </c>
      <c r="AD936" t="s">
        <v>53</v>
      </c>
      <c r="AK936">
        <v>0</v>
      </c>
      <c r="AU936" s="3">
        <v>42452</v>
      </c>
      <c r="AV936" s="3">
        <v>42452</v>
      </c>
      <c r="AW936" t="s">
        <v>54</v>
      </c>
      <c r="AX936" t="str">
        <f t="shared" si="118"/>
        <v>FOR</v>
      </c>
      <c r="AY936" t="s">
        <v>55</v>
      </c>
    </row>
    <row r="937" spans="1:51" hidden="1">
      <c r="A937">
        <v>100798</v>
      </c>
      <c r="B937" t="s">
        <v>160</v>
      </c>
      <c r="C937" t="str">
        <f t="shared" si="116"/>
        <v>00907371009</v>
      </c>
      <c r="D937" t="str">
        <f t="shared" si="117"/>
        <v>00492340583</v>
      </c>
      <c r="E937" t="s">
        <v>52</v>
      </c>
      <c r="F937">
        <v>2015</v>
      </c>
      <c r="G937" t="str">
        <f>"            15035215"</f>
        <v xml:space="preserve">            15035215</v>
      </c>
      <c r="H937" s="3">
        <v>42117</v>
      </c>
      <c r="I937" s="3">
        <v>42121</v>
      </c>
      <c r="J937" s="3">
        <v>42120</v>
      </c>
      <c r="K937" s="3">
        <v>42180</v>
      </c>
      <c r="L937"/>
      <c r="N937"/>
      <c r="O937">
        <v>126</v>
      </c>
      <c r="P937">
        <v>272</v>
      </c>
      <c r="Q937" s="4">
        <v>34272</v>
      </c>
      <c r="R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0</v>
      </c>
      <c r="AB937" s="3">
        <v>42562</v>
      </c>
      <c r="AC937" t="s">
        <v>53</v>
      </c>
      <c r="AD937" t="s">
        <v>53</v>
      </c>
      <c r="AK937">
        <v>0</v>
      </c>
      <c r="AU937" s="3">
        <v>42452</v>
      </c>
      <c r="AV937" s="3">
        <v>42452</v>
      </c>
      <c r="AW937" t="s">
        <v>54</v>
      </c>
      <c r="AX937" t="str">
        <f t="shared" si="118"/>
        <v>FOR</v>
      </c>
      <c r="AY937" t="s">
        <v>55</v>
      </c>
    </row>
    <row r="938" spans="1:51">
      <c r="A938">
        <v>100798</v>
      </c>
      <c r="B938" t="s">
        <v>160</v>
      </c>
      <c r="C938" t="str">
        <f t="shared" si="116"/>
        <v>00907371009</v>
      </c>
      <c r="D938" t="str">
        <f t="shared" si="117"/>
        <v>00492340583</v>
      </c>
      <c r="E938" t="s">
        <v>52</v>
      </c>
      <c r="F938">
        <v>2015</v>
      </c>
      <c r="G938" t="str">
        <f>"            15051558"</f>
        <v xml:space="preserve">            15051558</v>
      </c>
      <c r="H938" s="3">
        <v>42165</v>
      </c>
      <c r="I938" s="3">
        <v>42166</v>
      </c>
      <c r="J938" s="3">
        <v>42166</v>
      </c>
      <c r="K938" s="3">
        <v>42226</v>
      </c>
      <c r="L938" s="5">
        <v>1280</v>
      </c>
      <c r="M938">
        <v>261</v>
      </c>
      <c r="N938" s="5">
        <v>334080</v>
      </c>
      <c r="O938" s="4">
        <v>1280</v>
      </c>
      <c r="P938">
        <v>261</v>
      </c>
      <c r="Q938" s="4">
        <v>334080</v>
      </c>
      <c r="R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 s="3">
        <v>42562</v>
      </c>
      <c r="AC938" t="s">
        <v>53</v>
      </c>
      <c r="AD938" t="s">
        <v>53</v>
      </c>
      <c r="AK938">
        <v>0</v>
      </c>
      <c r="AU938" s="3">
        <v>42487</v>
      </c>
      <c r="AV938" s="3">
        <v>42487</v>
      </c>
      <c r="AW938" t="s">
        <v>54</v>
      </c>
      <c r="AX938" t="str">
        <f t="shared" si="118"/>
        <v>FOR</v>
      </c>
      <c r="AY938" t="s">
        <v>55</v>
      </c>
    </row>
    <row r="939" spans="1:51">
      <c r="A939">
        <v>100798</v>
      </c>
      <c r="B939" t="s">
        <v>160</v>
      </c>
      <c r="C939" t="str">
        <f t="shared" si="116"/>
        <v>00907371009</v>
      </c>
      <c r="D939" t="str">
        <f t="shared" si="117"/>
        <v>00492340583</v>
      </c>
      <c r="E939" t="s">
        <v>52</v>
      </c>
      <c r="F939">
        <v>2015</v>
      </c>
      <c r="G939" t="str">
        <f>"            15055185"</f>
        <v xml:space="preserve">            15055185</v>
      </c>
      <c r="H939" s="3">
        <v>42177</v>
      </c>
      <c r="I939" s="3">
        <v>42291</v>
      </c>
      <c r="J939" s="3">
        <v>42286</v>
      </c>
      <c r="K939" s="3">
        <v>42346</v>
      </c>
      <c r="L939" s="1">
        <v>232.8</v>
      </c>
      <c r="M939">
        <v>141</v>
      </c>
      <c r="N939" s="5">
        <v>32824.800000000003</v>
      </c>
      <c r="O939">
        <v>232.8</v>
      </c>
      <c r="P939">
        <v>141</v>
      </c>
      <c r="Q939" s="4">
        <v>32824.800000000003</v>
      </c>
      <c r="R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0</v>
      </c>
      <c r="AB939" s="3">
        <v>42562</v>
      </c>
      <c r="AC939" t="s">
        <v>53</v>
      </c>
      <c r="AD939" t="s">
        <v>53</v>
      </c>
      <c r="AK939">
        <v>0</v>
      </c>
      <c r="AU939" s="3">
        <v>42487</v>
      </c>
      <c r="AV939" s="3">
        <v>42487</v>
      </c>
      <c r="AW939" t="s">
        <v>54</v>
      </c>
      <c r="AX939" t="str">
        <f t="shared" si="118"/>
        <v>FOR</v>
      </c>
      <c r="AY939" t="s">
        <v>55</v>
      </c>
    </row>
    <row r="940" spans="1:51">
      <c r="A940">
        <v>100798</v>
      </c>
      <c r="B940" t="s">
        <v>160</v>
      </c>
      <c r="C940" t="str">
        <f t="shared" si="116"/>
        <v>00907371009</v>
      </c>
      <c r="D940" t="str">
        <f t="shared" si="117"/>
        <v>00492340583</v>
      </c>
      <c r="E940" t="s">
        <v>52</v>
      </c>
      <c r="F940">
        <v>2015</v>
      </c>
      <c r="G940" t="str">
        <f>"            15056058"</f>
        <v xml:space="preserve">            15056058</v>
      </c>
      <c r="H940" s="3">
        <v>42179</v>
      </c>
      <c r="I940" s="3">
        <v>42191</v>
      </c>
      <c r="J940" s="3">
        <v>42185</v>
      </c>
      <c r="K940" s="3">
        <v>42245</v>
      </c>
      <c r="L940" s="1">
        <v>424</v>
      </c>
      <c r="M940">
        <v>242</v>
      </c>
      <c r="N940" s="5">
        <v>102608</v>
      </c>
      <c r="O940">
        <v>424</v>
      </c>
      <c r="P940">
        <v>242</v>
      </c>
      <c r="Q940" s="4">
        <v>102608</v>
      </c>
      <c r="R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 s="3">
        <v>42562</v>
      </c>
      <c r="AC940" t="s">
        <v>53</v>
      </c>
      <c r="AD940" t="s">
        <v>53</v>
      </c>
      <c r="AK940">
        <v>0</v>
      </c>
      <c r="AU940" s="3">
        <v>42487</v>
      </c>
      <c r="AV940" s="3">
        <v>42487</v>
      </c>
      <c r="AW940" t="s">
        <v>54</v>
      </c>
      <c r="AX940" t="str">
        <f t="shared" si="118"/>
        <v>FOR</v>
      </c>
      <c r="AY940" t="s">
        <v>55</v>
      </c>
    </row>
    <row r="941" spans="1:51">
      <c r="A941">
        <v>100798</v>
      </c>
      <c r="B941" t="s">
        <v>160</v>
      </c>
      <c r="C941" t="str">
        <f t="shared" si="116"/>
        <v>00907371009</v>
      </c>
      <c r="D941" t="str">
        <f t="shared" si="117"/>
        <v>00492340583</v>
      </c>
      <c r="E941" t="s">
        <v>52</v>
      </c>
      <c r="F941">
        <v>2015</v>
      </c>
      <c r="G941" t="str">
        <f>"            15060062"</f>
        <v xml:space="preserve">            15060062</v>
      </c>
      <c r="H941" s="3">
        <v>42192</v>
      </c>
      <c r="I941" s="3">
        <v>42193</v>
      </c>
      <c r="J941" s="3">
        <v>42193</v>
      </c>
      <c r="K941" s="3">
        <v>42253</v>
      </c>
      <c r="L941" s="1">
        <v>716.8</v>
      </c>
      <c r="M941">
        <v>234</v>
      </c>
      <c r="N941" s="5">
        <v>167731.20000000001</v>
      </c>
      <c r="O941">
        <v>716.8</v>
      </c>
      <c r="P941">
        <v>234</v>
      </c>
      <c r="Q941" s="4">
        <v>167731.20000000001</v>
      </c>
      <c r="R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 s="3">
        <v>42562</v>
      </c>
      <c r="AC941" t="s">
        <v>53</v>
      </c>
      <c r="AD941" t="s">
        <v>53</v>
      </c>
      <c r="AK941">
        <v>0</v>
      </c>
      <c r="AU941" s="3">
        <v>42487</v>
      </c>
      <c r="AV941" s="3">
        <v>42487</v>
      </c>
      <c r="AW941" t="s">
        <v>54</v>
      </c>
      <c r="AX941" t="str">
        <f t="shared" si="118"/>
        <v>FOR</v>
      </c>
      <c r="AY941" t="s">
        <v>55</v>
      </c>
    </row>
    <row r="942" spans="1:51">
      <c r="A942">
        <v>100798</v>
      </c>
      <c r="B942" t="s">
        <v>160</v>
      </c>
      <c r="C942" t="str">
        <f t="shared" si="116"/>
        <v>00907371009</v>
      </c>
      <c r="D942" t="str">
        <f t="shared" si="117"/>
        <v>00492340583</v>
      </c>
      <c r="E942" t="s">
        <v>52</v>
      </c>
      <c r="F942">
        <v>2015</v>
      </c>
      <c r="G942" t="str">
        <f>"            15077237"</f>
        <v xml:space="preserve">            15077237</v>
      </c>
      <c r="H942" s="3">
        <v>42249</v>
      </c>
      <c r="I942" s="3">
        <v>42251</v>
      </c>
      <c r="J942" s="3">
        <v>42250</v>
      </c>
      <c r="K942" s="3">
        <v>42310</v>
      </c>
      <c r="L942" s="1">
        <v>348</v>
      </c>
      <c r="M942">
        <v>177</v>
      </c>
      <c r="N942" s="5">
        <v>61596</v>
      </c>
      <c r="O942">
        <v>348</v>
      </c>
      <c r="P942">
        <v>177</v>
      </c>
      <c r="Q942" s="4">
        <v>61596</v>
      </c>
      <c r="R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0</v>
      </c>
      <c r="AB942" s="3">
        <v>42562</v>
      </c>
      <c r="AC942" t="s">
        <v>53</v>
      </c>
      <c r="AD942" t="s">
        <v>53</v>
      </c>
      <c r="AK942">
        <v>0</v>
      </c>
      <c r="AU942" s="3">
        <v>42487</v>
      </c>
      <c r="AV942" s="3">
        <v>42487</v>
      </c>
      <c r="AW942" t="s">
        <v>54</v>
      </c>
      <c r="AX942" t="str">
        <f t="shared" si="118"/>
        <v>FOR</v>
      </c>
      <c r="AY942" t="s">
        <v>55</v>
      </c>
    </row>
    <row r="943" spans="1:51" hidden="1">
      <c r="A943">
        <v>100799</v>
      </c>
      <c r="B943" t="s">
        <v>161</v>
      </c>
      <c r="C943" t="str">
        <f>"05835871210"</f>
        <v>05835871210</v>
      </c>
      <c r="D943" t="str">
        <f>"05835871210"</f>
        <v>05835871210</v>
      </c>
      <c r="E943" t="s">
        <v>52</v>
      </c>
      <c r="F943">
        <v>2014</v>
      </c>
      <c r="G943" t="str">
        <f>"                   8"</f>
        <v xml:space="preserve">                   8</v>
      </c>
      <c r="H943" s="3">
        <v>41967</v>
      </c>
      <c r="I943" s="3">
        <v>41970</v>
      </c>
      <c r="J943" s="3">
        <v>41970</v>
      </c>
      <c r="K943" s="3">
        <v>42030</v>
      </c>
      <c r="L943"/>
      <c r="N943"/>
      <c r="O943" s="4">
        <v>148830</v>
      </c>
      <c r="P943">
        <v>372</v>
      </c>
      <c r="Q943" s="4">
        <v>55364760</v>
      </c>
      <c r="R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 s="3">
        <v>42562</v>
      </c>
      <c r="AC943" t="s">
        <v>53</v>
      </c>
      <c r="AD943" t="s">
        <v>53</v>
      </c>
      <c r="AK943">
        <v>0</v>
      </c>
      <c r="AU943" s="3">
        <v>42191</v>
      </c>
      <c r="AV943" s="3">
        <v>42402</v>
      </c>
      <c r="AW943" t="s">
        <v>54</v>
      </c>
      <c r="AX943" t="str">
        <f t="shared" si="118"/>
        <v>FOR</v>
      </c>
      <c r="AY943" t="s">
        <v>55</v>
      </c>
    </row>
    <row r="944" spans="1:51" hidden="1">
      <c r="A944">
        <v>100811</v>
      </c>
      <c r="B944" t="s">
        <v>162</v>
      </c>
      <c r="C944" t="str">
        <f>"02583040643"</f>
        <v>02583040643</v>
      </c>
      <c r="D944" t="str">
        <f>"02583040643"</f>
        <v>02583040643</v>
      </c>
      <c r="E944" t="s">
        <v>52</v>
      </c>
      <c r="F944">
        <v>2015</v>
      </c>
      <c r="G944" t="str">
        <f>"                  20"</f>
        <v xml:space="preserve">                  20</v>
      </c>
      <c r="H944" s="3">
        <v>42073</v>
      </c>
      <c r="I944" s="3">
        <v>42095</v>
      </c>
      <c r="J944" s="3">
        <v>42095</v>
      </c>
      <c r="K944" s="3">
        <v>42155</v>
      </c>
      <c r="L944"/>
      <c r="N944"/>
      <c r="O944">
        <v>633.6</v>
      </c>
      <c r="P944">
        <v>249</v>
      </c>
      <c r="Q944" s="4">
        <v>157766.39999999999</v>
      </c>
      <c r="R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0</v>
      </c>
      <c r="AB944" s="3">
        <v>42562</v>
      </c>
      <c r="AC944" t="s">
        <v>53</v>
      </c>
      <c r="AD944" t="s">
        <v>53</v>
      </c>
      <c r="AK944">
        <v>0</v>
      </c>
      <c r="AU944" s="3">
        <v>42404</v>
      </c>
      <c r="AV944" s="3">
        <v>42404</v>
      </c>
      <c r="AW944" t="s">
        <v>54</v>
      </c>
      <c r="AX944" t="str">
        <f t="shared" si="118"/>
        <v>FOR</v>
      </c>
      <c r="AY944" t="s">
        <v>55</v>
      </c>
    </row>
    <row r="945" spans="1:51" hidden="1">
      <c r="A945">
        <v>100823</v>
      </c>
      <c r="B945" t="s">
        <v>163</v>
      </c>
      <c r="C945" t="str">
        <f t="shared" ref="C945:C950" si="119">"01406970622"</f>
        <v>01406970622</v>
      </c>
      <c r="D945" t="str">
        <f t="shared" ref="D945:D950" si="120">"CTLGPL72E22C476M"</f>
        <v>CTLGPL72E22C476M</v>
      </c>
      <c r="E945" t="s">
        <v>52</v>
      </c>
      <c r="F945">
        <v>2016</v>
      </c>
      <c r="G945" t="str">
        <f>"                1/PA"</f>
        <v xml:space="preserve">                1/PA</v>
      </c>
      <c r="H945" s="3">
        <v>42376</v>
      </c>
      <c r="I945" s="3">
        <v>42377</v>
      </c>
      <c r="J945" s="3">
        <v>42376</v>
      </c>
      <c r="K945" s="3">
        <v>42436</v>
      </c>
      <c r="L945"/>
      <c r="N945"/>
      <c r="O945" s="4">
        <v>2858.53</v>
      </c>
      <c r="P945">
        <v>-39</v>
      </c>
      <c r="Q945" s="4">
        <v>-111482.67</v>
      </c>
      <c r="R945">
        <v>0</v>
      </c>
      <c r="V945">
        <v>0</v>
      </c>
      <c r="W945">
        <v>0</v>
      </c>
      <c r="X945">
        <v>0</v>
      </c>
      <c r="Y945">
        <v>-534.9</v>
      </c>
      <c r="Z945" s="4">
        <v>2858.53</v>
      </c>
      <c r="AA945" s="4">
        <v>2858.53</v>
      </c>
      <c r="AB945" s="3">
        <v>42562</v>
      </c>
      <c r="AC945" t="s">
        <v>53</v>
      </c>
      <c r="AD945" t="s">
        <v>53</v>
      </c>
      <c r="AK945">
        <v>0</v>
      </c>
      <c r="AU945" s="3">
        <v>42397</v>
      </c>
      <c r="AV945" s="3">
        <v>42397</v>
      </c>
      <c r="AW945" t="s">
        <v>54</v>
      </c>
      <c r="AX945" t="str">
        <f t="shared" ref="AX945:AX950" si="121">"ALTPRO"</f>
        <v>ALTPRO</v>
      </c>
      <c r="AY945" t="s">
        <v>93</v>
      </c>
    </row>
    <row r="946" spans="1:51" hidden="1">
      <c r="A946">
        <v>100823</v>
      </c>
      <c r="B946" t="s">
        <v>163</v>
      </c>
      <c r="C946" t="str">
        <f t="shared" si="119"/>
        <v>01406970622</v>
      </c>
      <c r="D946" t="str">
        <f t="shared" si="120"/>
        <v>CTLGPL72E22C476M</v>
      </c>
      <c r="E946" t="s">
        <v>52</v>
      </c>
      <c r="F946">
        <v>2016</v>
      </c>
      <c r="G946" t="str">
        <f>"                2/PA"</f>
        <v xml:space="preserve">                2/PA</v>
      </c>
      <c r="H946" s="3">
        <v>42376</v>
      </c>
      <c r="I946" s="3">
        <v>42377</v>
      </c>
      <c r="J946" s="3">
        <v>42376</v>
      </c>
      <c r="K946" s="3">
        <v>42436</v>
      </c>
      <c r="L946"/>
      <c r="N946"/>
      <c r="O946" s="4">
        <v>2558.06</v>
      </c>
      <c r="P946">
        <v>-39</v>
      </c>
      <c r="Q946" s="4">
        <v>-99764.34</v>
      </c>
      <c r="R946">
        <v>0</v>
      </c>
      <c r="V946">
        <v>0</v>
      </c>
      <c r="W946">
        <v>0</v>
      </c>
      <c r="X946">
        <v>0</v>
      </c>
      <c r="Y946">
        <v>-478.68</v>
      </c>
      <c r="Z946" s="4">
        <v>2558.06</v>
      </c>
      <c r="AA946" s="4">
        <v>2558.06</v>
      </c>
      <c r="AB946" s="3">
        <v>42562</v>
      </c>
      <c r="AC946" t="s">
        <v>53</v>
      </c>
      <c r="AD946" t="s">
        <v>53</v>
      </c>
      <c r="AK946">
        <v>0</v>
      </c>
      <c r="AU946" s="3">
        <v>42397</v>
      </c>
      <c r="AV946" s="3">
        <v>42397</v>
      </c>
      <c r="AW946" t="s">
        <v>54</v>
      </c>
      <c r="AX946" t="str">
        <f t="shared" si="121"/>
        <v>ALTPRO</v>
      </c>
      <c r="AY946" t="s">
        <v>93</v>
      </c>
    </row>
    <row r="947" spans="1:51" hidden="1">
      <c r="A947">
        <v>100823</v>
      </c>
      <c r="B947" t="s">
        <v>163</v>
      </c>
      <c r="C947" t="str">
        <f t="shared" si="119"/>
        <v>01406970622</v>
      </c>
      <c r="D947" t="str">
        <f t="shared" si="120"/>
        <v>CTLGPL72E22C476M</v>
      </c>
      <c r="E947" t="s">
        <v>52</v>
      </c>
      <c r="F947">
        <v>2016</v>
      </c>
      <c r="G947" t="str">
        <f>"                6/PA"</f>
        <v xml:space="preserve">                6/PA</v>
      </c>
      <c r="H947" s="3">
        <v>42376</v>
      </c>
      <c r="I947" s="3">
        <v>42377</v>
      </c>
      <c r="J947" s="3">
        <v>42376</v>
      </c>
      <c r="K947" s="3">
        <v>42436</v>
      </c>
      <c r="L947"/>
      <c r="N947"/>
      <c r="O947" s="4">
        <v>2525.27</v>
      </c>
      <c r="P947">
        <v>-39</v>
      </c>
      <c r="Q947" s="4">
        <v>-98485.53</v>
      </c>
      <c r="R947">
        <v>0</v>
      </c>
      <c r="V947">
        <v>0</v>
      </c>
      <c r="W947">
        <v>0</v>
      </c>
      <c r="X947">
        <v>0</v>
      </c>
      <c r="Y947">
        <v>-472.54</v>
      </c>
      <c r="Z947" s="4">
        <v>2525.27</v>
      </c>
      <c r="AA947" s="4">
        <v>2525.27</v>
      </c>
      <c r="AB947" s="3">
        <v>42562</v>
      </c>
      <c r="AC947" t="s">
        <v>53</v>
      </c>
      <c r="AD947" t="s">
        <v>53</v>
      </c>
      <c r="AK947">
        <v>0</v>
      </c>
      <c r="AU947" s="3">
        <v>42397</v>
      </c>
      <c r="AV947" s="3">
        <v>42397</v>
      </c>
      <c r="AW947" t="s">
        <v>54</v>
      </c>
      <c r="AX947" t="str">
        <f t="shared" si="121"/>
        <v>ALTPRO</v>
      </c>
      <c r="AY947" t="s">
        <v>93</v>
      </c>
    </row>
    <row r="948" spans="1:51" hidden="1">
      <c r="A948">
        <v>100823</v>
      </c>
      <c r="B948" t="s">
        <v>163</v>
      </c>
      <c r="C948" t="str">
        <f t="shared" si="119"/>
        <v>01406970622</v>
      </c>
      <c r="D948" t="str">
        <f t="shared" si="120"/>
        <v>CTLGPL72E22C476M</v>
      </c>
      <c r="E948" t="s">
        <v>52</v>
      </c>
      <c r="F948">
        <v>2016</v>
      </c>
      <c r="G948" t="str">
        <f>"                9/PA"</f>
        <v xml:space="preserve">                9/PA</v>
      </c>
      <c r="H948" s="3">
        <v>42405</v>
      </c>
      <c r="I948" s="3">
        <v>42443</v>
      </c>
      <c r="J948" s="3">
        <v>42440</v>
      </c>
      <c r="K948" s="3">
        <v>42500</v>
      </c>
      <c r="L948"/>
      <c r="N948"/>
      <c r="O948" s="4">
        <v>2519.86</v>
      </c>
      <c r="P948">
        <v>-49</v>
      </c>
      <c r="Q948" s="4">
        <v>-123473.14</v>
      </c>
      <c r="R948">
        <v>0</v>
      </c>
      <c r="V948">
        <v>0</v>
      </c>
      <c r="W948">
        <v>0</v>
      </c>
      <c r="X948">
        <v>0</v>
      </c>
      <c r="Y948" s="4">
        <v>2519.86</v>
      </c>
      <c r="Z948" s="4">
        <v>2519.86</v>
      </c>
      <c r="AA948" s="4">
        <v>2519.86</v>
      </c>
      <c r="AB948" s="3">
        <v>42562</v>
      </c>
      <c r="AC948" t="s">
        <v>53</v>
      </c>
      <c r="AD948" t="s">
        <v>53</v>
      </c>
      <c r="AK948">
        <v>0</v>
      </c>
      <c r="AU948" s="3">
        <v>42451</v>
      </c>
      <c r="AV948" s="3">
        <v>42451</v>
      </c>
      <c r="AW948" t="s">
        <v>54</v>
      </c>
      <c r="AX948" t="str">
        <f t="shared" si="121"/>
        <v>ALTPRO</v>
      </c>
      <c r="AY948" t="s">
        <v>93</v>
      </c>
    </row>
    <row r="949" spans="1:51" hidden="1">
      <c r="A949">
        <v>100823</v>
      </c>
      <c r="B949" t="s">
        <v>163</v>
      </c>
      <c r="C949" t="str">
        <f t="shared" si="119"/>
        <v>01406970622</v>
      </c>
      <c r="D949" t="str">
        <f t="shared" si="120"/>
        <v>CTLGPL72E22C476M</v>
      </c>
      <c r="E949" t="s">
        <v>52</v>
      </c>
      <c r="F949">
        <v>2016</v>
      </c>
      <c r="G949" t="str">
        <f>"               10/PA"</f>
        <v xml:space="preserve">               10/PA</v>
      </c>
      <c r="H949" s="3">
        <v>42439</v>
      </c>
      <c r="I949" s="3">
        <v>42443</v>
      </c>
      <c r="J949" s="3">
        <v>42440</v>
      </c>
      <c r="K949" s="3">
        <v>42500</v>
      </c>
      <c r="L949"/>
      <c r="N949"/>
      <c r="O949" s="4">
        <v>2319.2600000000002</v>
      </c>
      <c r="P949">
        <v>-49</v>
      </c>
      <c r="Q949" s="4">
        <v>-113643.74</v>
      </c>
      <c r="R949">
        <v>0</v>
      </c>
      <c r="V949">
        <v>0</v>
      </c>
      <c r="W949">
        <v>0</v>
      </c>
      <c r="X949">
        <v>0</v>
      </c>
      <c r="Y949" s="4">
        <v>2319.2600000000002</v>
      </c>
      <c r="Z949" s="4">
        <v>2319.2600000000002</v>
      </c>
      <c r="AA949" s="4">
        <v>2319.2600000000002</v>
      </c>
      <c r="AB949" s="3">
        <v>42562</v>
      </c>
      <c r="AC949" t="s">
        <v>53</v>
      </c>
      <c r="AD949" t="s">
        <v>53</v>
      </c>
      <c r="AK949">
        <v>0</v>
      </c>
      <c r="AU949" s="3">
        <v>42451</v>
      </c>
      <c r="AV949" s="3">
        <v>42451</v>
      </c>
      <c r="AW949" t="s">
        <v>54</v>
      </c>
      <c r="AX949" t="str">
        <f t="shared" si="121"/>
        <v>ALTPRO</v>
      </c>
      <c r="AY949" t="s">
        <v>93</v>
      </c>
    </row>
    <row r="950" spans="1:51">
      <c r="A950">
        <v>100823</v>
      </c>
      <c r="B950" t="s">
        <v>163</v>
      </c>
      <c r="C950" t="str">
        <f t="shared" si="119"/>
        <v>01406970622</v>
      </c>
      <c r="D950" t="str">
        <f t="shared" si="120"/>
        <v>CTLGPL72E22C476M</v>
      </c>
      <c r="E950" t="s">
        <v>52</v>
      </c>
      <c r="F950">
        <v>2016</v>
      </c>
      <c r="G950" t="str">
        <f>"               13/PA"</f>
        <v xml:space="preserve">               13/PA</v>
      </c>
      <c r="H950" s="3">
        <v>42478</v>
      </c>
      <c r="I950" s="3">
        <v>42479</v>
      </c>
      <c r="J950" s="3">
        <v>42478</v>
      </c>
      <c r="K950" s="3">
        <v>42538</v>
      </c>
      <c r="L950" s="5">
        <v>2348.36</v>
      </c>
      <c r="M950">
        <v>-51</v>
      </c>
      <c r="N950" s="5">
        <v>-119766.36</v>
      </c>
      <c r="O950" s="4">
        <v>2348.36</v>
      </c>
      <c r="P950">
        <v>-51</v>
      </c>
      <c r="Q950" s="4">
        <v>-119766.36</v>
      </c>
      <c r="R950">
        <v>0</v>
      </c>
      <c r="V950">
        <v>-439.44</v>
      </c>
      <c r="W950" s="4">
        <v>2348.36</v>
      </c>
      <c r="X950" s="4">
        <v>2348.36</v>
      </c>
      <c r="Y950" s="4">
        <v>2348.36</v>
      </c>
      <c r="Z950" s="4">
        <v>2348.36</v>
      </c>
      <c r="AA950" s="4">
        <v>2348.36</v>
      </c>
      <c r="AB950" s="3">
        <v>42562</v>
      </c>
      <c r="AC950" t="s">
        <v>53</v>
      </c>
      <c r="AD950" t="s">
        <v>53</v>
      </c>
      <c r="AK950">
        <v>0</v>
      </c>
      <c r="AU950" s="3">
        <v>42487</v>
      </c>
      <c r="AV950" s="3">
        <v>42487</v>
      </c>
      <c r="AW950" t="s">
        <v>54</v>
      </c>
      <c r="AX950" t="str">
        <f t="shared" si="121"/>
        <v>ALTPRO</v>
      </c>
      <c r="AY950" t="s">
        <v>93</v>
      </c>
    </row>
    <row r="951" spans="1:51">
      <c r="A951">
        <v>100824</v>
      </c>
      <c r="B951" t="s">
        <v>164</v>
      </c>
      <c r="C951" t="str">
        <f t="shared" ref="C951:D970" si="122">"05750470634"</f>
        <v>05750470634</v>
      </c>
      <c r="D951" t="str">
        <f t="shared" si="122"/>
        <v>05750470634</v>
      </c>
      <c r="E951" t="s">
        <v>52</v>
      </c>
      <c r="F951">
        <v>2014</v>
      </c>
      <c r="G951" t="str">
        <f>"                 372"</f>
        <v xml:space="preserve">                 372</v>
      </c>
      <c r="H951" s="3">
        <v>41960</v>
      </c>
      <c r="I951" s="3">
        <v>42002</v>
      </c>
      <c r="J951" s="3">
        <v>42002</v>
      </c>
      <c r="K951" s="3">
        <v>42062</v>
      </c>
      <c r="L951" s="5">
        <v>11114.69</v>
      </c>
      <c r="M951">
        <v>425</v>
      </c>
      <c r="N951" s="5">
        <v>4723743.25</v>
      </c>
      <c r="O951" s="4">
        <v>11114.69</v>
      </c>
      <c r="P951">
        <v>425</v>
      </c>
      <c r="Q951" s="4">
        <v>4723743.25</v>
      </c>
      <c r="R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0</v>
      </c>
      <c r="AB951" s="3">
        <v>42562</v>
      </c>
      <c r="AC951" t="s">
        <v>53</v>
      </c>
      <c r="AD951" t="s">
        <v>53</v>
      </c>
      <c r="AK951">
        <v>0</v>
      </c>
      <c r="AU951" s="3">
        <v>42487</v>
      </c>
      <c r="AV951" s="3">
        <v>42487</v>
      </c>
      <c r="AW951" t="s">
        <v>54</v>
      </c>
      <c r="AX951" t="str">
        <f t="shared" ref="AX951:AX982" si="123">"FOR"</f>
        <v>FOR</v>
      </c>
      <c r="AY951" t="s">
        <v>55</v>
      </c>
    </row>
    <row r="952" spans="1:51" hidden="1">
      <c r="A952">
        <v>100824</v>
      </c>
      <c r="B952" t="s">
        <v>164</v>
      </c>
      <c r="C952" t="str">
        <f t="shared" si="122"/>
        <v>05750470634</v>
      </c>
      <c r="D952" t="str">
        <f t="shared" si="122"/>
        <v>05750470634</v>
      </c>
      <c r="E952" t="s">
        <v>52</v>
      </c>
      <c r="F952">
        <v>2015</v>
      </c>
      <c r="G952" t="str">
        <f>"                   2"</f>
        <v xml:space="preserve">                   2</v>
      </c>
      <c r="H952" s="3">
        <v>42013</v>
      </c>
      <c r="I952" s="3">
        <v>42080</v>
      </c>
      <c r="J952" s="3">
        <v>42080</v>
      </c>
      <c r="K952" s="3">
        <v>42140</v>
      </c>
      <c r="L952"/>
      <c r="N952"/>
      <c r="O952" s="4">
        <v>1760</v>
      </c>
      <c r="P952">
        <v>261</v>
      </c>
      <c r="Q952" s="4">
        <v>459360</v>
      </c>
      <c r="R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0</v>
      </c>
      <c r="AB952" s="3">
        <v>42562</v>
      </c>
      <c r="AC952" t="s">
        <v>53</v>
      </c>
      <c r="AD952" t="s">
        <v>53</v>
      </c>
      <c r="AK952">
        <v>0</v>
      </c>
      <c r="AU952" s="3">
        <v>42401</v>
      </c>
      <c r="AV952" s="3">
        <v>42401</v>
      </c>
      <c r="AW952" t="s">
        <v>54</v>
      </c>
      <c r="AX952" t="str">
        <f t="shared" si="123"/>
        <v>FOR</v>
      </c>
      <c r="AY952" t="s">
        <v>55</v>
      </c>
    </row>
    <row r="953" spans="1:51" hidden="1">
      <c r="A953">
        <v>100824</v>
      </c>
      <c r="B953" t="s">
        <v>164</v>
      </c>
      <c r="C953" t="str">
        <f t="shared" si="122"/>
        <v>05750470634</v>
      </c>
      <c r="D953" t="str">
        <f t="shared" si="122"/>
        <v>05750470634</v>
      </c>
      <c r="E953" t="s">
        <v>52</v>
      </c>
      <c r="F953">
        <v>2015</v>
      </c>
      <c r="G953" t="str">
        <f>"                   5"</f>
        <v xml:space="preserve">                   5</v>
      </c>
      <c r="H953" s="3">
        <v>42018</v>
      </c>
      <c r="I953" s="3">
        <v>42080</v>
      </c>
      <c r="J953" s="3">
        <v>42080</v>
      </c>
      <c r="K953" s="3">
        <v>42140</v>
      </c>
      <c r="L953"/>
      <c r="N953"/>
      <c r="O953" s="4">
        <v>15392.4</v>
      </c>
      <c r="P953">
        <v>261</v>
      </c>
      <c r="Q953" s="4">
        <v>4017416.4</v>
      </c>
      <c r="R953">
        <v>0</v>
      </c>
      <c r="V953">
        <v>0</v>
      </c>
      <c r="W953">
        <v>0</v>
      </c>
      <c r="X953">
        <v>0</v>
      </c>
      <c r="Y953">
        <v>0</v>
      </c>
      <c r="Z953">
        <v>0</v>
      </c>
      <c r="AA953">
        <v>0</v>
      </c>
      <c r="AB953" s="3">
        <v>42562</v>
      </c>
      <c r="AC953" t="s">
        <v>53</v>
      </c>
      <c r="AD953" t="s">
        <v>53</v>
      </c>
      <c r="AK953">
        <v>0</v>
      </c>
      <c r="AU953" s="3">
        <v>42401</v>
      </c>
      <c r="AV953" s="3">
        <v>42401</v>
      </c>
      <c r="AW953" t="s">
        <v>54</v>
      </c>
      <c r="AX953" t="str">
        <f t="shared" si="123"/>
        <v>FOR</v>
      </c>
      <c r="AY953" t="s">
        <v>55</v>
      </c>
    </row>
    <row r="954" spans="1:51">
      <c r="A954">
        <v>100824</v>
      </c>
      <c r="B954" t="s">
        <v>164</v>
      </c>
      <c r="C954" t="str">
        <f t="shared" si="122"/>
        <v>05750470634</v>
      </c>
      <c r="D954" t="str">
        <f t="shared" si="122"/>
        <v>05750470634</v>
      </c>
      <c r="E954" t="s">
        <v>52</v>
      </c>
      <c r="F954">
        <v>2015</v>
      </c>
      <c r="G954" t="str">
        <f>"                   6"</f>
        <v xml:space="preserve">                   6</v>
      </c>
      <c r="H954" s="3">
        <v>42018</v>
      </c>
      <c r="I954" s="3">
        <v>42080</v>
      </c>
      <c r="J954" s="3">
        <v>42080</v>
      </c>
      <c r="K954" s="3">
        <v>42140</v>
      </c>
      <c r="L954" s="5">
        <v>5548</v>
      </c>
      <c r="M954">
        <v>347</v>
      </c>
      <c r="N954" s="5">
        <v>1925156</v>
      </c>
      <c r="O954" s="4">
        <v>5548</v>
      </c>
      <c r="P954">
        <v>347</v>
      </c>
      <c r="Q954" s="4">
        <v>1925156</v>
      </c>
      <c r="R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 s="3">
        <v>42562</v>
      </c>
      <c r="AC954" t="s">
        <v>53</v>
      </c>
      <c r="AD954" t="s">
        <v>53</v>
      </c>
      <c r="AK954">
        <v>0</v>
      </c>
      <c r="AU954" s="3">
        <v>42487</v>
      </c>
      <c r="AV954" s="3">
        <v>42487</v>
      </c>
      <c r="AW954" t="s">
        <v>54</v>
      </c>
      <c r="AX954" t="str">
        <f t="shared" si="123"/>
        <v>FOR</v>
      </c>
      <c r="AY954" t="s">
        <v>55</v>
      </c>
    </row>
    <row r="955" spans="1:51" hidden="1">
      <c r="A955">
        <v>100824</v>
      </c>
      <c r="B955" t="s">
        <v>164</v>
      </c>
      <c r="C955" t="str">
        <f t="shared" si="122"/>
        <v>05750470634</v>
      </c>
      <c r="D955" t="str">
        <f t="shared" si="122"/>
        <v>05750470634</v>
      </c>
      <c r="E955" t="s">
        <v>52</v>
      </c>
      <c r="F955">
        <v>2015</v>
      </c>
      <c r="G955" t="str">
        <f>"                  11"</f>
        <v xml:space="preserve">                  11</v>
      </c>
      <c r="H955" s="3">
        <v>42025</v>
      </c>
      <c r="I955" s="3">
        <v>42080</v>
      </c>
      <c r="J955" s="3">
        <v>42080</v>
      </c>
      <c r="K955" s="3">
        <v>42140</v>
      </c>
      <c r="L955"/>
      <c r="N955"/>
      <c r="O955" s="4">
        <v>1920</v>
      </c>
      <c r="P955">
        <v>261</v>
      </c>
      <c r="Q955" s="4">
        <v>501120</v>
      </c>
      <c r="R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 s="3">
        <v>42562</v>
      </c>
      <c r="AC955" t="s">
        <v>53</v>
      </c>
      <c r="AD955" t="s">
        <v>53</v>
      </c>
      <c r="AK955">
        <v>0</v>
      </c>
      <c r="AU955" s="3">
        <v>42401</v>
      </c>
      <c r="AV955" s="3">
        <v>42401</v>
      </c>
      <c r="AW955" t="s">
        <v>54</v>
      </c>
      <c r="AX955" t="str">
        <f t="shared" si="123"/>
        <v>FOR</v>
      </c>
      <c r="AY955" t="s">
        <v>55</v>
      </c>
    </row>
    <row r="956" spans="1:51" hidden="1">
      <c r="A956">
        <v>100824</v>
      </c>
      <c r="B956" t="s">
        <v>164</v>
      </c>
      <c r="C956" t="str">
        <f t="shared" si="122"/>
        <v>05750470634</v>
      </c>
      <c r="D956" t="str">
        <f t="shared" si="122"/>
        <v>05750470634</v>
      </c>
      <c r="E956" t="s">
        <v>52</v>
      </c>
      <c r="F956">
        <v>2015</v>
      </c>
      <c r="G956" t="str">
        <f>"                  16"</f>
        <v xml:space="preserve">                  16</v>
      </c>
      <c r="H956" s="3">
        <v>42035</v>
      </c>
      <c r="I956" s="3">
        <v>42080</v>
      </c>
      <c r="J956" s="3">
        <v>42080</v>
      </c>
      <c r="K956" s="3">
        <v>42140</v>
      </c>
      <c r="L956"/>
      <c r="N956"/>
      <c r="O956">
        <v>982</v>
      </c>
      <c r="P956">
        <v>261</v>
      </c>
      <c r="Q956" s="4">
        <v>256302</v>
      </c>
      <c r="R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>
        <v>0</v>
      </c>
      <c r="AB956" s="3">
        <v>42562</v>
      </c>
      <c r="AC956" t="s">
        <v>53</v>
      </c>
      <c r="AD956" t="s">
        <v>53</v>
      </c>
      <c r="AK956">
        <v>0</v>
      </c>
      <c r="AU956" s="3">
        <v>42401</v>
      </c>
      <c r="AV956" s="3">
        <v>42401</v>
      </c>
      <c r="AW956" t="s">
        <v>54</v>
      </c>
      <c r="AX956" t="str">
        <f t="shared" si="123"/>
        <v>FOR</v>
      </c>
      <c r="AY956" t="s">
        <v>55</v>
      </c>
    </row>
    <row r="957" spans="1:51" hidden="1">
      <c r="A957">
        <v>100824</v>
      </c>
      <c r="B957" t="s">
        <v>164</v>
      </c>
      <c r="C957" t="str">
        <f t="shared" si="122"/>
        <v>05750470634</v>
      </c>
      <c r="D957" t="str">
        <f t="shared" si="122"/>
        <v>05750470634</v>
      </c>
      <c r="E957" t="s">
        <v>52</v>
      </c>
      <c r="F957">
        <v>2015</v>
      </c>
      <c r="G957" t="str">
        <f>"                  36"</f>
        <v xml:space="preserve">                  36</v>
      </c>
      <c r="H957" s="3">
        <v>42046</v>
      </c>
      <c r="I957" s="3">
        <v>42089</v>
      </c>
      <c r="J957" s="3">
        <v>42089</v>
      </c>
      <c r="K957" s="3">
        <v>42149</v>
      </c>
      <c r="L957"/>
      <c r="N957"/>
      <c r="O957" s="4">
        <v>14292</v>
      </c>
      <c r="P957">
        <v>252</v>
      </c>
      <c r="Q957" s="4">
        <v>3601584</v>
      </c>
      <c r="R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 s="3">
        <v>42562</v>
      </c>
      <c r="AC957" t="s">
        <v>53</v>
      </c>
      <c r="AD957" t="s">
        <v>53</v>
      </c>
      <c r="AK957">
        <v>0</v>
      </c>
      <c r="AU957" s="3">
        <v>42401</v>
      </c>
      <c r="AV957" s="3">
        <v>42401</v>
      </c>
      <c r="AW957" t="s">
        <v>54</v>
      </c>
      <c r="AX957" t="str">
        <f t="shared" si="123"/>
        <v>FOR</v>
      </c>
      <c r="AY957" t="s">
        <v>55</v>
      </c>
    </row>
    <row r="958" spans="1:51">
      <c r="A958">
        <v>100824</v>
      </c>
      <c r="B958" t="s">
        <v>164</v>
      </c>
      <c r="C958" t="str">
        <f t="shared" si="122"/>
        <v>05750470634</v>
      </c>
      <c r="D958" t="str">
        <f t="shared" si="122"/>
        <v>05750470634</v>
      </c>
      <c r="E958" t="s">
        <v>52</v>
      </c>
      <c r="F958">
        <v>2015</v>
      </c>
      <c r="G958" t="str">
        <f>"                  37"</f>
        <v xml:space="preserve">                  37</v>
      </c>
      <c r="H958" s="3">
        <v>42046</v>
      </c>
      <c r="I958" s="3">
        <v>42089</v>
      </c>
      <c r="J958" s="3">
        <v>42089</v>
      </c>
      <c r="K958" s="3">
        <v>42149</v>
      </c>
      <c r="L958" s="5">
        <v>4964</v>
      </c>
      <c r="M958">
        <v>338</v>
      </c>
      <c r="N958" s="5">
        <v>1677832</v>
      </c>
      <c r="O958" s="4">
        <v>4964</v>
      </c>
      <c r="P958">
        <v>338</v>
      </c>
      <c r="Q958" s="4">
        <v>1677832</v>
      </c>
      <c r="R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 s="3">
        <v>42562</v>
      </c>
      <c r="AC958" t="s">
        <v>53</v>
      </c>
      <c r="AD958" t="s">
        <v>53</v>
      </c>
      <c r="AK958">
        <v>0</v>
      </c>
      <c r="AU958" s="3">
        <v>42487</v>
      </c>
      <c r="AV958" s="3">
        <v>42487</v>
      </c>
      <c r="AW958" t="s">
        <v>54</v>
      </c>
      <c r="AX958" t="str">
        <f t="shared" si="123"/>
        <v>FOR</v>
      </c>
      <c r="AY958" t="s">
        <v>55</v>
      </c>
    </row>
    <row r="959" spans="1:51" hidden="1">
      <c r="A959">
        <v>100824</v>
      </c>
      <c r="B959" t="s">
        <v>164</v>
      </c>
      <c r="C959" t="str">
        <f t="shared" si="122"/>
        <v>05750470634</v>
      </c>
      <c r="D959" t="str">
        <f t="shared" si="122"/>
        <v>05750470634</v>
      </c>
      <c r="E959" t="s">
        <v>52</v>
      </c>
      <c r="F959">
        <v>2015</v>
      </c>
      <c r="G959" t="str">
        <f>"                  51"</f>
        <v xml:space="preserve">                  51</v>
      </c>
      <c r="H959" s="3">
        <v>42058</v>
      </c>
      <c r="I959" s="3">
        <v>42089</v>
      </c>
      <c r="J959" s="3">
        <v>42089</v>
      </c>
      <c r="K959" s="3">
        <v>42149</v>
      </c>
      <c r="L959"/>
      <c r="N959"/>
      <c r="O959">
        <v>880</v>
      </c>
      <c r="P959">
        <v>252</v>
      </c>
      <c r="Q959" s="4">
        <v>221760</v>
      </c>
      <c r="R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 s="3">
        <v>42562</v>
      </c>
      <c r="AC959" t="s">
        <v>53</v>
      </c>
      <c r="AD959" t="s">
        <v>53</v>
      </c>
      <c r="AK959">
        <v>0</v>
      </c>
      <c r="AU959" s="3">
        <v>42401</v>
      </c>
      <c r="AV959" s="3">
        <v>42401</v>
      </c>
      <c r="AW959" t="s">
        <v>54</v>
      </c>
      <c r="AX959" t="str">
        <f t="shared" si="123"/>
        <v>FOR</v>
      </c>
      <c r="AY959" t="s">
        <v>55</v>
      </c>
    </row>
    <row r="960" spans="1:51" hidden="1">
      <c r="A960">
        <v>100824</v>
      </c>
      <c r="B960" t="s">
        <v>164</v>
      </c>
      <c r="C960" t="str">
        <f t="shared" si="122"/>
        <v>05750470634</v>
      </c>
      <c r="D960" t="str">
        <f t="shared" si="122"/>
        <v>05750470634</v>
      </c>
      <c r="E960" t="s">
        <v>52</v>
      </c>
      <c r="F960">
        <v>2015</v>
      </c>
      <c r="G960" t="str">
        <f>"                  54"</f>
        <v xml:space="preserve">                  54</v>
      </c>
      <c r="H960" s="3">
        <v>42060</v>
      </c>
      <c r="I960" s="3">
        <v>42089</v>
      </c>
      <c r="J960" s="3">
        <v>42089</v>
      </c>
      <c r="K960" s="3">
        <v>42149</v>
      </c>
      <c r="L960"/>
      <c r="N960"/>
      <c r="O960" s="4">
        <v>1920</v>
      </c>
      <c r="P960">
        <v>252</v>
      </c>
      <c r="Q960" s="4">
        <v>483840</v>
      </c>
      <c r="R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 s="3">
        <v>42562</v>
      </c>
      <c r="AC960" t="s">
        <v>53</v>
      </c>
      <c r="AD960" t="s">
        <v>53</v>
      </c>
      <c r="AK960">
        <v>0</v>
      </c>
      <c r="AU960" s="3">
        <v>42401</v>
      </c>
      <c r="AV960" s="3">
        <v>42401</v>
      </c>
      <c r="AW960" t="s">
        <v>54</v>
      </c>
      <c r="AX960" t="str">
        <f t="shared" si="123"/>
        <v>FOR</v>
      </c>
      <c r="AY960" t="s">
        <v>55</v>
      </c>
    </row>
    <row r="961" spans="1:51" hidden="1">
      <c r="A961">
        <v>100824</v>
      </c>
      <c r="B961" t="s">
        <v>164</v>
      </c>
      <c r="C961" t="str">
        <f t="shared" si="122"/>
        <v>05750470634</v>
      </c>
      <c r="D961" t="str">
        <f t="shared" si="122"/>
        <v>05750470634</v>
      </c>
      <c r="E961" t="s">
        <v>52</v>
      </c>
      <c r="F961">
        <v>2015</v>
      </c>
      <c r="G961" t="str">
        <f>"                  56"</f>
        <v xml:space="preserve">                  56</v>
      </c>
      <c r="H961" s="3">
        <v>42063</v>
      </c>
      <c r="I961" s="3">
        <v>42089</v>
      </c>
      <c r="J961" s="3">
        <v>42089</v>
      </c>
      <c r="K961" s="3">
        <v>42149</v>
      </c>
      <c r="L961"/>
      <c r="N961"/>
      <c r="O961">
        <v>88</v>
      </c>
      <c r="P961">
        <v>252</v>
      </c>
      <c r="Q961" s="4">
        <v>22176</v>
      </c>
      <c r="R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0</v>
      </c>
      <c r="AB961" s="3">
        <v>42562</v>
      </c>
      <c r="AC961" t="s">
        <v>53</v>
      </c>
      <c r="AD961" t="s">
        <v>53</v>
      </c>
      <c r="AK961">
        <v>0</v>
      </c>
      <c r="AU961" s="3">
        <v>42401</v>
      </c>
      <c r="AV961" s="3">
        <v>42401</v>
      </c>
      <c r="AW961" t="s">
        <v>54</v>
      </c>
      <c r="AX961" t="str">
        <f t="shared" si="123"/>
        <v>FOR</v>
      </c>
      <c r="AY961" t="s">
        <v>55</v>
      </c>
    </row>
    <row r="962" spans="1:51" hidden="1">
      <c r="A962">
        <v>100824</v>
      </c>
      <c r="B962" t="s">
        <v>164</v>
      </c>
      <c r="C962" t="str">
        <f t="shared" si="122"/>
        <v>05750470634</v>
      </c>
      <c r="D962" t="str">
        <f t="shared" si="122"/>
        <v>05750470634</v>
      </c>
      <c r="E962" t="s">
        <v>52</v>
      </c>
      <c r="F962">
        <v>2015</v>
      </c>
      <c r="G962" t="str">
        <f>"                  61"</f>
        <v xml:space="preserve">                  61</v>
      </c>
      <c r="H962" s="3">
        <v>42063</v>
      </c>
      <c r="I962" s="3">
        <v>42264</v>
      </c>
      <c r="J962" s="3">
        <v>42264</v>
      </c>
      <c r="K962" s="3">
        <v>42324</v>
      </c>
      <c r="L962"/>
      <c r="N962"/>
      <c r="O962" s="4">
        <v>3516.1</v>
      </c>
      <c r="P962">
        <v>77</v>
      </c>
      <c r="Q962" s="4">
        <v>270739.7</v>
      </c>
      <c r="R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 s="3">
        <v>42562</v>
      </c>
      <c r="AC962" t="s">
        <v>53</v>
      </c>
      <c r="AD962" t="s">
        <v>53</v>
      </c>
      <c r="AK962">
        <v>0</v>
      </c>
      <c r="AU962" s="3">
        <v>42401</v>
      </c>
      <c r="AV962" s="3">
        <v>42401</v>
      </c>
      <c r="AW962" t="s">
        <v>54</v>
      </c>
      <c r="AX962" t="str">
        <f t="shared" si="123"/>
        <v>FOR</v>
      </c>
      <c r="AY962" t="s">
        <v>55</v>
      </c>
    </row>
    <row r="963" spans="1:51" hidden="1">
      <c r="A963">
        <v>100824</v>
      </c>
      <c r="B963" t="s">
        <v>164</v>
      </c>
      <c r="C963" t="str">
        <f t="shared" si="122"/>
        <v>05750470634</v>
      </c>
      <c r="D963" t="str">
        <f t="shared" si="122"/>
        <v>05750470634</v>
      </c>
      <c r="E963" t="s">
        <v>52</v>
      </c>
      <c r="F963">
        <v>2015</v>
      </c>
      <c r="G963" t="str">
        <f>"                  65"</f>
        <v xml:space="preserve">                  65</v>
      </c>
      <c r="H963" s="3">
        <v>42074</v>
      </c>
      <c r="I963" s="3">
        <v>42109</v>
      </c>
      <c r="J963" s="3">
        <v>42109</v>
      </c>
      <c r="K963" s="3">
        <v>42169</v>
      </c>
      <c r="L963"/>
      <c r="N963"/>
      <c r="O963" s="4">
        <v>4820</v>
      </c>
      <c r="P963">
        <v>247</v>
      </c>
      <c r="Q963" s="4">
        <v>1190540</v>
      </c>
      <c r="R963">
        <v>0</v>
      </c>
      <c r="V963">
        <v>0</v>
      </c>
      <c r="W963">
        <v>0</v>
      </c>
      <c r="X963">
        <v>0</v>
      </c>
      <c r="Y963">
        <v>0</v>
      </c>
      <c r="Z963">
        <v>0</v>
      </c>
      <c r="AA963">
        <v>0</v>
      </c>
      <c r="AB963" s="3">
        <v>42562</v>
      </c>
      <c r="AC963" t="s">
        <v>53</v>
      </c>
      <c r="AD963" t="s">
        <v>53</v>
      </c>
      <c r="AK963">
        <v>0</v>
      </c>
      <c r="AU963" s="3">
        <v>42416</v>
      </c>
      <c r="AV963" s="3">
        <v>42416</v>
      </c>
      <c r="AW963" t="s">
        <v>54</v>
      </c>
      <c r="AX963" t="str">
        <f t="shared" si="123"/>
        <v>FOR</v>
      </c>
      <c r="AY963" t="s">
        <v>55</v>
      </c>
    </row>
    <row r="964" spans="1:51">
      <c r="A964">
        <v>100824</v>
      </c>
      <c r="B964" t="s">
        <v>164</v>
      </c>
      <c r="C964" t="str">
        <f t="shared" si="122"/>
        <v>05750470634</v>
      </c>
      <c r="D964" t="str">
        <f t="shared" si="122"/>
        <v>05750470634</v>
      </c>
      <c r="E964" t="s">
        <v>52</v>
      </c>
      <c r="F964">
        <v>2015</v>
      </c>
      <c r="G964" t="str">
        <f>"                  66"</f>
        <v xml:space="preserve">                  66</v>
      </c>
      <c r="H964" s="3">
        <v>42074</v>
      </c>
      <c r="I964" s="3">
        <v>42109</v>
      </c>
      <c r="J964" s="3">
        <v>42109</v>
      </c>
      <c r="K964" s="3">
        <v>42169</v>
      </c>
      <c r="L964" s="5">
        <v>1270.2</v>
      </c>
      <c r="M964">
        <v>318</v>
      </c>
      <c r="N964" s="5">
        <v>403923.6</v>
      </c>
      <c r="O964" s="4">
        <v>1270.2</v>
      </c>
      <c r="P964">
        <v>318</v>
      </c>
      <c r="Q964" s="4">
        <v>403923.6</v>
      </c>
      <c r="R964">
        <v>0</v>
      </c>
      <c r="V964">
        <v>0</v>
      </c>
      <c r="W964">
        <v>0</v>
      </c>
      <c r="X964">
        <v>0</v>
      </c>
      <c r="Y964">
        <v>0</v>
      </c>
      <c r="Z964">
        <v>0</v>
      </c>
      <c r="AA964">
        <v>0</v>
      </c>
      <c r="AB964" s="3">
        <v>42562</v>
      </c>
      <c r="AC964" t="s">
        <v>53</v>
      </c>
      <c r="AD964" t="s">
        <v>53</v>
      </c>
      <c r="AK964">
        <v>0</v>
      </c>
      <c r="AU964" s="3">
        <v>42487</v>
      </c>
      <c r="AV964" s="3">
        <v>42487</v>
      </c>
      <c r="AW964" t="s">
        <v>54</v>
      </c>
      <c r="AX964" t="str">
        <f t="shared" si="123"/>
        <v>FOR</v>
      </c>
      <c r="AY964" t="s">
        <v>55</v>
      </c>
    </row>
    <row r="965" spans="1:51" hidden="1">
      <c r="A965">
        <v>100824</v>
      </c>
      <c r="B965" t="s">
        <v>164</v>
      </c>
      <c r="C965" t="str">
        <f t="shared" si="122"/>
        <v>05750470634</v>
      </c>
      <c r="D965" t="str">
        <f t="shared" si="122"/>
        <v>05750470634</v>
      </c>
      <c r="E965" t="s">
        <v>52</v>
      </c>
      <c r="F965">
        <v>2015</v>
      </c>
      <c r="G965" t="str">
        <f>"                  72"</f>
        <v xml:space="preserve">                  72</v>
      </c>
      <c r="H965" s="3">
        <v>42086</v>
      </c>
      <c r="I965" s="3">
        <v>42109</v>
      </c>
      <c r="J965" s="3">
        <v>42109</v>
      </c>
      <c r="K965" s="3">
        <v>42169</v>
      </c>
      <c r="L965"/>
      <c r="N965"/>
      <c r="O965">
        <v>800</v>
      </c>
      <c r="P965">
        <v>247</v>
      </c>
      <c r="Q965" s="4">
        <v>197600</v>
      </c>
      <c r="R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 s="3">
        <v>42562</v>
      </c>
      <c r="AC965" t="s">
        <v>53</v>
      </c>
      <c r="AD965" t="s">
        <v>53</v>
      </c>
      <c r="AK965">
        <v>0</v>
      </c>
      <c r="AU965" s="3">
        <v>42416</v>
      </c>
      <c r="AV965" s="3">
        <v>42416</v>
      </c>
      <c r="AW965" t="s">
        <v>54</v>
      </c>
      <c r="AX965" t="str">
        <f t="shared" si="123"/>
        <v>FOR</v>
      </c>
      <c r="AY965" t="s">
        <v>55</v>
      </c>
    </row>
    <row r="966" spans="1:51" hidden="1">
      <c r="A966">
        <v>100824</v>
      </c>
      <c r="B966" t="s">
        <v>164</v>
      </c>
      <c r="C966" t="str">
        <f t="shared" si="122"/>
        <v>05750470634</v>
      </c>
      <c r="D966" t="str">
        <f t="shared" si="122"/>
        <v>05750470634</v>
      </c>
      <c r="E966" t="s">
        <v>52</v>
      </c>
      <c r="F966">
        <v>2015</v>
      </c>
      <c r="G966" t="str">
        <f>"                  75"</f>
        <v xml:space="preserve">                  75</v>
      </c>
      <c r="H966" s="3">
        <v>42089</v>
      </c>
      <c r="I966" s="3">
        <v>42109</v>
      </c>
      <c r="J966" s="3">
        <v>42109</v>
      </c>
      <c r="K966" s="3">
        <v>42169</v>
      </c>
      <c r="L966"/>
      <c r="N966"/>
      <c r="O966">
        <v>552</v>
      </c>
      <c r="P966">
        <v>247</v>
      </c>
      <c r="Q966" s="4">
        <v>136344</v>
      </c>
      <c r="R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 s="3">
        <v>42562</v>
      </c>
      <c r="AC966" t="s">
        <v>53</v>
      </c>
      <c r="AD966" t="s">
        <v>53</v>
      </c>
      <c r="AK966">
        <v>0</v>
      </c>
      <c r="AU966" s="3">
        <v>42416</v>
      </c>
      <c r="AV966" s="3">
        <v>42416</v>
      </c>
      <c r="AW966" t="s">
        <v>54</v>
      </c>
      <c r="AX966" t="str">
        <f t="shared" si="123"/>
        <v>FOR</v>
      </c>
      <c r="AY966" t="s">
        <v>55</v>
      </c>
    </row>
    <row r="967" spans="1:51" hidden="1">
      <c r="A967">
        <v>100824</v>
      </c>
      <c r="B967" t="s">
        <v>164</v>
      </c>
      <c r="C967" t="str">
        <f t="shared" si="122"/>
        <v>05750470634</v>
      </c>
      <c r="D967" t="str">
        <f t="shared" si="122"/>
        <v>05750470634</v>
      </c>
      <c r="E967" t="s">
        <v>52</v>
      </c>
      <c r="F967">
        <v>2015</v>
      </c>
      <c r="G967" t="str">
        <f>"                  76"</f>
        <v xml:space="preserve">                  76</v>
      </c>
      <c r="H967" s="3">
        <v>42089</v>
      </c>
      <c r="I967" s="3">
        <v>42109</v>
      </c>
      <c r="J967" s="3">
        <v>42109</v>
      </c>
      <c r="K967" s="3">
        <v>42169</v>
      </c>
      <c r="L967"/>
      <c r="N967"/>
      <c r="O967" s="4">
        <v>11995</v>
      </c>
      <c r="P967">
        <v>247</v>
      </c>
      <c r="Q967" s="4">
        <v>2962765</v>
      </c>
      <c r="R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 s="3">
        <v>42562</v>
      </c>
      <c r="AC967" t="s">
        <v>53</v>
      </c>
      <c r="AD967" t="s">
        <v>53</v>
      </c>
      <c r="AK967">
        <v>0</v>
      </c>
      <c r="AU967" s="3">
        <v>42416</v>
      </c>
      <c r="AV967" s="3">
        <v>42416</v>
      </c>
      <c r="AW967" t="s">
        <v>54</v>
      </c>
      <c r="AX967" t="str">
        <f t="shared" si="123"/>
        <v>FOR</v>
      </c>
      <c r="AY967" t="s">
        <v>55</v>
      </c>
    </row>
    <row r="968" spans="1:51">
      <c r="A968">
        <v>100824</v>
      </c>
      <c r="B968" t="s">
        <v>164</v>
      </c>
      <c r="C968" t="str">
        <f t="shared" si="122"/>
        <v>05750470634</v>
      </c>
      <c r="D968" t="str">
        <f t="shared" si="122"/>
        <v>05750470634</v>
      </c>
      <c r="E968" t="s">
        <v>52</v>
      </c>
      <c r="F968">
        <v>2015</v>
      </c>
      <c r="G968" t="str">
        <f>"                  77"</f>
        <v xml:space="preserve">                  77</v>
      </c>
      <c r="H968" s="3">
        <v>42089</v>
      </c>
      <c r="I968" s="3">
        <v>42109</v>
      </c>
      <c r="J968" s="3">
        <v>42109</v>
      </c>
      <c r="K968" s="3">
        <v>42169</v>
      </c>
      <c r="L968" s="5">
        <v>5095.3999999999996</v>
      </c>
      <c r="M968">
        <v>318</v>
      </c>
      <c r="N968" s="5">
        <v>1620337.2</v>
      </c>
      <c r="O968" s="4">
        <v>5095.3999999999996</v>
      </c>
      <c r="P968">
        <v>318</v>
      </c>
      <c r="Q968" s="4">
        <v>1620337.2</v>
      </c>
      <c r="R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0</v>
      </c>
      <c r="AB968" s="3">
        <v>42562</v>
      </c>
      <c r="AC968" t="s">
        <v>53</v>
      </c>
      <c r="AD968" t="s">
        <v>53</v>
      </c>
      <c r="AK968">
        <v>0</v>
      </c>
      <c r="AU968" s="3">
        <v>42487</v>
      </c>
      <c r="AV968" s="3">
        <v>42487</v>
      </c>
      <c r="AW968" t="s">
        <v>54</v>
      </c>
      <c r="AX968" t="str">
        <f t="shared" si="123"/>
        <v>FOR</v>
      </c>
      <c r="AY968" t="s">
        <v>55</v>
      </c>
    </row>
    <row r="969" spans="1:51" hidden="1">
      <c r="A969">
        <v>100824</v>
      </c>
      <c r="B969" t="s">
        <v>164</v>
      </c>
      <c r="C969" t="str">
        <f t="shared" si="122"/>
        <v>05750470634</v>
      </c>
      <c r="D969" t="str">
        <f t="shared" si="122"/>
        <v>05750470634</v>
      </c>
      <c r="E969" t="s">
        <v>52</v>
      </c>
      <c r="F969">
        <v>2015</v>
      </c>
      <c r="G969" t="str">
        <f>"                  78"</f>
        <v xml:space="preserve">                  78</v>
      </c>
      <c r="H969" s="3">
        <v>42089</v>
      </c>
      <c r="I969" s="3">
        <v>42109</v>
      </c>
      <c r="J969" s="3">
        <v>42109</v>
      </c>
      <c r="K969" s="3">
        <v>42169</v>
      </c>
      <c r="L969"/>
      <c r="N969"/>
      <c r="O969" s="4">
        <v>4032</v>
      </c>
      <c r="P969">
        <v>247</v>
      </c>
      <c r="Q969" s="4">
        <v>995904</v>
      </c>
      <c r="R969">
        <v>0</v>
      </c>
      <c r="V969">
        <v>0</v>
      </c>
      <c r="W969">
        <v>0</v>
      </c>
      <c r="X969">
        <v>0</v>
      </c>
      <c r="Y969">
        <v>0</v>
      </c>
      <c r="Z969">
        <v>0</v>
      </c>
      <c r="AA969">
        <v>0</v>
      </c>
      <c r="AB969" s="3">
        <v>42562</v>
      </c>
      <c r="AC969" t="s">
        <v>53</v>
      </c>
      <c r="AD969" t="s">
        <v>53</v>
      </c>
      <c r="AK969">
        <v>0</v>
      </c>
      <c r="AU969" s="3">
        <v>42416</v>
      </c>
      <c r="AV969" s="3">
        <v>42416</v>
      </c>
      <c r="AW969" t="s">
        <v>54</v>
      </c>
      <c r="AX969" t="str">
        <f t="shared" si="123"/>
        <v>FOR</v>
      </c>
      <c r="AY969" t="s">
        <v>55</v>
      </c>
    </row>
    <row r="970" spans="1:51" hidden="1">
      <c r="A970">
        <v>100824</v>
      </c>
      <c r="B970" t="s">
        <v>164</v>
      </c>
      <c r="C970" t="str">
        <f t="shared" si="122"/>
        <v>05750470634</v>
      </c>
      <c r="D970" t="str">
        <f t="shared" si="122"/>
        <v>05750470634</v>
      </c>
      <c r="E970" t="s">
        <v>52</v>
      </c>
      <c r="F970">
        <v>2015</v>
      </c>
      <c r="G970" t="str">
        <f>"                  89"</f>
        <v xml:space="preserve">                  89</v>
      </c>
      <c r="H970" s="3">
        <v>42093</v>
      </c>
      <c r="I970" s="3">
        <v>42109</v>
      </c>
      <c r="J970" s="3">
        <v>42109</v>
      </c>
      <c r="K970" s="3">
        <v>42169</v>
      </c>
      <c r="L970"/>
      <c r="N970"/>
      <c r="O970" s="4">
        <v>1752</v>
      </c>
      <c r="P970">
        <v>247</v>
      </c>
      <c r="Q970" s="4">
        <v>432744</v>
      </c>
      <c r="R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0</v>
      </c>
      <c r="AB970" s="3">
        <v>42562</v>
      </c>
      <c r="AC970" t="s">
        <v>53</v>
      </c>
      <c r="AD970" t="s">
        <v>53</v>
      </c>
      <c r="AK970">
        <v>0</v>
      </c>
      <c r="AU970" s="3">
        <v>42416</v>
      </c>
      <c r="AV970" s="3">
        <v>42416</v>
      </c>
      <c r="AW970" t="s">
        <v>54</v>
      </c>
      <c r="AX970" t="str">
        <f t="shared" si="123"/>
        <v>FOR</v>
      </c>
      <c r="AY970" t="s">
        <v>55</v>
      </c>
    </row>
    <row r="971" spans="1:51" hidden="1">
      <c r="A971">
        <v>100824</v>
      </c>
      <c r="B971" t="s">
        <v>164</v>
      </c>
      <c r="C971" t="str">
        <f t="shared" ref="C971:D990" si="124">"05750470634"</f>
        <v>05750470634</v>
      </c>
      <c r="D971" t="str">
        <f t="shared" si="124"/>
        <v>05750470634</v>
      </c>
      <c r="E971" t="s">
        <v>52</v>
      </c>
      <c r="F971">
        <v>2015</v>
      </c>
      <c r="G971" t="str">
        <f>"                  90"</f>
        <v xml:space="preserve">                  90</v>
      </c>
      <c r="H971" s="3">
        <v>42093</v>
      </c>
      <c r="I971" s="3">
        <v>42118</v>
      </c>
      <c r="J971" s="3">
        <v>42118</v>
      </c>
      <c r="K971" s="3">
        <v>42178</v>
      </c>
      <c r="L971"/>
      <c r="N971"/>
      <c r="O971" s="4">
        <v>2944</v>
      </c>
      <c r="P971">
        <v>223</v>
      </c>
      <c r="Q971" s="4">
        <v>656512</v>
      </c>
      <c r="R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 s="3">
        <v>42562</v>
      </c>
      <c r="AC971" t="s">
        <v>53</v>
      </c>
      <c r="AD971" t="s">
        <v>53</v>
      </c>
      <c r="AK971">
        <v>0</v>
      </c>
      <c r="AU971" s="3">
        <v>42401</v>
      </c>
      <c r="AV971" s="3">
        <v>42401</v>
      </c>
      <c r="AW971" t="s">
        <v>54</v>
      </c>
      <c r="AX971" t="str">
        <f t="shared" si="123"/>
        <v>FOR</v>
      </c>
      <c r="AY971" t="s">
        <v>55</v>
      </c>
    </row>
    <row r="972" spans="1:51" hidden="1">
      <c r="A972">
        <v>100824</v>
      </c>
      <c r="B972" t="s">
        <v>164</v>
      </c>
      <c r="C972" t="str">
        <f t="shared" si="124"/>
        <v>05750470634</v>
      </c>
      <c r="D972" t="str">
        <f t="shared" si="124"/>
        <v>05750470634</v>
      </c>
      <c r="E972" t="s">
        <v>52</v>
      </c>
      <c r="F972">
        <v>2015</v>
      </c>
      <c r="G972" t="str">
        <f>"                  91"</f>
        <v xml:space="preserve">                  91</v>
      </c>
      <c r="H972" s="3">
        <v>42093</v>
      </c>
      <c r="I972" s="3">
        <v>42118</v>
      </c>
      <c r="J972" s="3">
        <v>42118</v>
      </c>
      <c r="K972" s="3">
        <v>42178</v>
      </c>
      <c r="L972"/>
      <c r="N972"/>
      <c r="O972" s="4">
        <v>4695</v>
      </c>
      <c r="P972">
        <v>223</v>
      </c>
      <c r="Q972" s="4">
        <v>1046985</v>
      </c>
      <c r="R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0</v>
      </c>
      <c r="AB972" s="3">
        <v>42562</v>
      </c>
      <c r="AC972" t="s">
        <v>53</v>
      </c>
      <c r="AD972" t="s">
        <v>53</v>
      </c>
      <c r="AK972">
        <v>0</v>
      </c>
      <c r="AU972" s="3">
        <v>42401</v>
      </c>
      <c r="AV972" s="3">
        <v>42401</v>
      </c>
      <c r="AW972" t="s">
        <v>54</v>
      </c>
      <c r="AX972" t="str">
        <f t="shared" si="123"/>
        <v>FOR</v>
      </c>
      <c r="AY972" t="s">
        <v>55</v>
      </c>
    </row>
    <row r="973" spans="1:51" hidden="1">
      <c r="A973">
        <v>100824</v>
      </c>
      <c r="B973" t="s">
        <v>164</v>
      </c>
      <c r="C973" t="str">
        <f t="shared" si="124"/>
        <v>05750470634</v>
      </c>
      <c r="D973" t="str">
        <f t="shared" si="124"/>
        <v>05750470634</v>
      </c>
      <c r="E973" t="s">
        <v>52</v>
      </c>
      <c r="F973">
        <v>2015</v>
      </c>
      <c r="G973" t="str">
        <f>"                  92"</f>
        <v xml:space="preserve">                  92</v>
      </c>
      <c r="H973" s="3">
        <v>42093</v>
      </c>
      <c r="I973" s="3">
        <v>42264</v>
      </c>
      <c r="J973" s="3">
        <v>42264</v>
      </c>
      <c r="K973" s="3">
        <v>42324</v>
      </c>
      <c r="L973"/>
      <c r="N973"/>
      <c r="O973" s="4">
        <v>2527.0500000000002</v>
      </c>
      <c r="P973">
        <v>77</v>
      </c>
      <c r="Q973" s="4">
        <v>194582.85</v>
      </c>
      <c r="R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 s="3">
        <v>42562</v>
      </c>
      <c r="AC973" t="s">
        <v>53</v>
      </c>
      <c r="AD973" t="s">
        <v>53</v>
      </c>
      <c r="AK973">
        <v>0</v>
      </c>
      <c r="AU973" s="3">
        <v>42401</v>
      </c>
      <c r="AV973" s="3">
        <v>42401</v>
      </c>
      <c r="AW973" t="s">
        <v>54</v>
      </c>
      <c r="AX973" t="str">
        <f t="shared" si="123"/>
        <v>FOR</v>
      </c>
      <c r="AY973" t="s">
        <v>55</v>
      </c>
    </row>
    <row r="974" spans="1:51" hidden="1">
      <c r="A974">
        <v>100824</v>
      </c>
      <c r="B974" t="s">
        <v>164</v>
      </c>
      <c r="C974" t="str">
        <f t="shared" si="124"/>
        <v>05750470634</v>
      </c>
      <c r="D974" t="str">
        <f t="shared" si="124"/>
        <v>05750470634</v>
      </c>
      <c r="E974" t="s">
        <v>52</v>
      </c>
      <c r="F974">
        <v>2015</v>
      </c>
      <c r="G974" t="str">
        <f>"                3/97"</f>
        <v xml:space="preserve">                3/97</v>
      </c>
      <c r="H974" s="3">
        <v>42115</v>
      </c>
      <c r="I974" s="3">
        <v>42283</v>
      </c>
      <c r="J974" s="3">
        <v>42279</v>
      </c>
      <c r="K974" s="3">
        <v>42339</v>
      </c>
      <c r="L974"/>
      <c r="N974"/>
      <c r="O974">
        <v>610.79999999999995</v>
      </c>
      <c r="P974">
        <v>113</v>
      </c>
      <c r="Q974" s="4">
        <v>69020.399999999994</v>
      </c>
      <c r="R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0</v>
      </c>
      <c r="AB974" s="3">
        <v>42562</v>
      </c>
      <c r="AC974" t="s">
        <v>53</v>
      </c>
      <c r="AD974" t="s">
        <v>53</v>
      </c>
      <c r="AK974">
        <v>0</v>
      </c>
      <c r="AU974" s="3">
        <v>42452</v>
      </c>
      <c r="AV974" s="3">
        <v>42452</v>
      </c>
      <c r="AW974" t="s">
        <v>54</v>
      </c>
      <c r="AX974" t="str">
        <f t="shared" si="123"/>
        <v>FOR</v>
      </c>
      <c r="AY974" t="s">
        <v>55</v>
      </c>
    </row>
    <row r="975" spans="1:51">
      <c r="A975">
        <v>100824</v>
      </c>
      <c r="B975" t="s">
        <v>164</v>
      </c>
      <c r="C975" t="str">
        <f t="shared" si="124"/>
        <v>05750470634</v>
      </c>
      <c r="D975" t="str">
        <f t="shared" si="124"/>
        <v>05750470634</v>
      </c>
      <c r="E975" t="s">
        <v>52</v>
      </c>
      <c r="F975">
        <v>2015</v>
      </c>
      <c r="G975" t="str">
        <f>"                3/98"</f>
        <v xml:space="preserve">                3/98</v>
      </c>
      <c r="H975" s="3">
        <v>42115</v>
      </c>
      <c r="I975" s="3">
        <v>42282</v>
      </c>
      <c r="J975" s="3">
        <v>42279</v>
      </c>
      <c r="K975" s="3">
        <v>42339</v>
      </c>
      <c r="L975" s="1">
        <v>306.60000000000002</v>
      </c>
      <c r="M975">
        <v>148</v>
      </c>
      <c r="N975" s="5">
        <v>45376.800000000003</v>
      </c>
      <c r="O975">
        <v>306.60000000000002</v>
      </c>
      <c r="P975">
        <v>148</v>
      </c>
      <c r="Q975" s="4">
        <v>45376.800000000003</v>
      </c>
      <c r="R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 s="3">
        <v>42562</v>
      </c>
      <c r="AC975" t="s">
        <v>53</v>
      </c>
      <c r="AD975" t="s">
        <v>53</v>
      </c>
      <c r="AK975">
        <v>0</v>
      </c>
      <c r="AU975" s="3">
        <v>42487</v>
      </c>
      <c r="AV975" s="3">
        <v>42487</v>
      </c>
      <c r="AW975" t="s">
        <v>54</v>
      </c>
      <c r="AX975" t="str">
        <f t="shared" si="123"/>
        <v>FOR</v>
      </c>
      <c r="AY975" t="s">
        <v>55</v>
      </c>
    </row>
    <row r="976" spans="1:51" hidden="1">
      <c r="A976">
        <v>100824</v>
      </c>
      <c r="B976" t="s">
        <v>164</v>
      </c>
      <c r="C976" t="str">
        <f t="shared" si="124"/>
        <v>05750470634</v>
      </c>
      <c r="D976" t="str">
        <f t="shared" si="124"/>
        <v>05750470634</v>
      </c>
      <c r="E976" t="s">
        <v>52</v>
      </c>
      <c r="F976">
        <v>2015</v>
      </c>
      <c r="G976" t="str">
        <f>"               3/155"</f>
        <v xml:space="preserve">               3/155</v>
      </c>
      <c r="H976" s="3">
        <v>42118</v>
      </c>
      <c r="I976" s="3">
        <v>42283</v>
      </c>
      <c r="J976" s="3">
        <v>42279</v>
      </c>
      <c r="K976" s="3">
        <v>42339</v>
      </c>
      <c r="L976"/>
      <c r="N976"/>
      <c r="O976">
        <v>638</v>
      </c>
      <c r="P976">
        <v>113</v>
      </c>
      <c r="Q976" s="4">
        <v>72094</v>
      </c>
      <c r="R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0</v>
      </c>
      <c r="AB976" s="3">
        <v>42562</v>
      </c>
      <c r="AC976" t="s">
        <v>53</v>
      </c>
      <c r="AD976" t="s">
        <v>53</v>
      </c>
      <c r="AK976">
        <v>0</v>
      </c>
      <c r="AU976" s="3">
        <v>42452</v>
      </c>
      <c r="AV976" s="3">
        <v>42452</v>
      </c>
      <c r="AW976" t="s">
        <v>54</v>
      </c>
      <c r="AX976" t="str">
        <f t="shared" si="123"/>
        <v>FOR</v>
      </c>
      <c r="AY976" t="s">
        <v>55</v>
      </c>
    </row>
    <row r="977" spans="1:51">
      <c r="A977">
        <v>100824</v>
      </c>
      <c r="B977" t="s">
        <v>164</v>
      </c>
      <c r="C977" t="str">
        <f t="shared" si="124"/>
        <v>05750470634</v>
      </c>
      <c r="D977" t="str">
        <f t="shared" si="124"/>
        <v>05750470634</v>
      </c>
      <c r="E977" t="s">
        <v>52</v>
      </c>
      <c r="F977">
        <v>2015</v>
      </c>
      <c r="G977" t="str">
        <f>"               3/156"</f>
        <v xml:space="preserve">               3/156</v>
      </c>
      <c r="H977" s="3">
        <v>42118</v>
      </c>
      <c r="I977" s="3">
        <v>42165</v>
      </c>
      <c r="J977" s="3">
        <v>42138</v>
      </c>
      <c r="K977" s="3">
        <v>42198</v>
      </c>
      <c r="L977" s="1">
        <v>803</v>
      </c>
      <c r="M977">
        <v>289</v>
      </c>
      <c r="N977" s="5">
        <v>232067</v>
      </c>
      <c r="O977">
        <v>803</v>
      </c>
      <c r="P977">
        <v>289</v>
      </c>
      <c r="Q977" s="4">
        <v>232067</v>
      </c>
      <c r="R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0</v>
      </c>
      <c r="AB977" s="3">
        <v>42562</v>
      </c>
      <c r="AC977" t="s">
        <v>53</v>
      </c>
      <c r="AD977" t="s">
        <v>53</v>
      </c>
      <c r="AK977">
        <v>0</v>
      </c>
      <c r="AU977" s="3">
        <v>42487</v>
      </c>
      <c r="AV977" s="3">
        <v>42487</v>
      </c>
      <c r="AW977" t="s">
        <v>54</v>
      </c>
      <c r="AX977" t="str">
        <f t="shared" si="123"/>
        <v>FOR</v>
      </c>
      <c r="AY977" t="s">
        <v>55</v>
      </c>
    </row>
    <row r="978" spans="1:51" hidden="1">
      <c r="A978">
        <v>100824</v>
      </c>
      <c r="B978" t="s">
        <v>164</v>
      </c>
      <c r="C978" t="str">
        <f t="shared" si="124"/>
        <v>05750470634</v>
      </c>
      <c r="D978" t="str">
        <f t="shared" si="124"/>
        <v>05750470634</v>
      </c>
      <c r="E978" t="s">
        <v>52</v>
      </c>
      <c r="F978">
        <v>2015</v>
      </c>
      <c r="G978" t="str">
        <f>"               3/164"</f>
        <v xml:space="preserve">               3/164</v>
      </c>
      <c r="H978" s="3">
        <v>42118</v>
      </c>
      <c r="I978" s="3">
        <v>42158</v>
      </c>
      <c r="J978" s="3">
        <v>42138</v>
      </c>
      <c r="K978" s="3">
        <v>42198</v>
      </c>
      <c r="L978"/>
      <c r="N978"/>
      <c r="O978" s="4">
        <v>6240</v>
      </c>
      <c r="P978">
        <v>254</v>
      </c>
      <c r="Q978" s="4">
        <v>1584960</v>
      </c>
      <c r="R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 s="3">
        <v>42562</v>
      </c>
      <c r="AC978" t="s">
        <v>53</v>
      </c>
      <c r="AD978" t="s">
        <v>53</v>
      </c>
      <c r="AK978">
        <v>0</v>
      </c>
      <c r="AU978" s="3">
        <v>42452</v>
      </c>
      <c r="AV978" s="3">
        <v>42452</v>
      </c>
      <c r="AW978" t="s">
        <v>54</v>
      </c>
      <c r="AX978" t="str">
        <f t="shared" si="123"/>
        <v>FOR</v>
      </c>
      <c r="AY978" t="s">
        <v>55</v>
      </c>
    </row>
    <row r="979" spans="1:51" hidden="1">
      <c r="A979">
        <v>100824</v>
      </c>
      <c r="B979" t="s">
        <v>164</v>
      </c>
      <c r="C979" t="str">
        <f t="shared" si="124"/>
        <v>05750470634</v>
      </c>
      <c r="D979" t="str">
        <f t="shared" si="124"/>
        <v>05750470634</v>
      </c>
      <c r="E979" t="s">
        <v>52</v>
      </c>
      <c r="F979">
        <v>2015</v>
      </c>
      <c r="G979" t="str">
        <f>"               3/165"</f>
        <v xml:space="preserve">               3/165</v>
      </c>
      <c r="H979" s="3">
        <v>42118</v>
      </c>
      <c r="I979" s="3">
        <v>42158</v>
      </c>
      <c r="J979" s="3">
        <v>42138</v>
      </c>
      <c r="K979" s="3">
        <v>42198</v>
      </c>
      <c r="L979"/>
      <c r="N979"/>
      <c r="O979" s="4">
        <v>10958.8</v>
      </c>
      <c r="P979">
        <v>254</v>
      </c>
      <c r="Q979" s="4">
        <v>2783535.2</v>
      </c>
      <c r="R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 s="3">
        <v>42562</v>
      </c>
      <c r="AC979" t="s">
        <v>53</v>
      </c>
      <c r="AD979" t="s">
        <v>53</v>
      </c>
      <c r="AK979">
        <v>0</v>
      </c>
      <c r="AU979" s="3">
        <v>42452</v>
      </c>
      <c r="AV979" s="3">
        <v>42452</v>
      </c>
      <c r="AW979" t="s">
        <v>54</v>
      </c>
      <c r="AX979" t="str">
        <f t="shared" si="123"/>
        <v>FOR</v>
      </c>
      <c r="AY979" t="s">
        <v>55</v>
      </c>
    </row>
    <row r="980" spans="1:51" hidden="1">
      <c r="A980">
        <v>100824</v>
      </c>
      <c r="B980" t="s">
        <v>164</v>
      </c>
      <c r="C980" t="str">
        <f t="shared" si="124"/>
        <v>05750470634</v>
      </c>
      <c r="D980" t="str">
        <f t="shared" si="124"/>
        <v>05750470634</v>
      </c>
      <c r="E980" t="s">
        <v>52</v>
      </c>
      <c r="F980">
        <v>2015</v>
      </c>
      <c r="G980" t="str">
        <f>"               3/201"</f>
        <v xml:space="preserve">               3/201</v>
      </c>
      <c r="H980" s="3">
        <v>42124</v>
      </c>
      <c r="I980" s="3">
        <v>42158</v>
      </c>
      <c r="J980" s="3">
        <v>42138</v>
      </c>
      <c r="K980" s="3">
        <v>42198</v>
      </c>
      <c r="L980"/>
      <c r="N980"/>
      <c r="O980" s="4">
        <v>3547.4</v>
      </c>
      <c r="P980">
        <v>254</v>
      </c>
      <c r="Q980" s="4">
        <v>901039.6</v>
      </c>
      <c r="R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0</v>
      </c>
      <c r="AB980" s="3">
        <v>42562</v>
      </c>
      <c r="AC980" t="s">
        <v>53</v>
      </c>
      <c r="AD980" t="s">
        <v>53</v>
      </c>
      <c r="AK980">
        <v>0</v>
      </c>
      <c r="AU980" s="3">
        <v>42452</v>
      </c>
      <c r="AV980" s="3">
        <v>42452</v>
      </c>
      <c r="AW980" t="s">
        <v>54</v>
      </c>
      <c r="AX980" t="str">
        <f t="shared" si="123"/>
        <v>FOR</v>
      </c>
      <c r="AY980" t="s">
        <v>55</v>
      </c>
    </row>
    <row r="981" spans="1:51">
      <c r="A981">
        <v>100824</v>
      </c>
      <c r="B981" t="s">
        <v>164</v>
      </c>
      <c r="C981" t="str">
        <f t="shared" si="124"/>
        <v>05750470634</v>
      </c>
      <c r="D981" t="str">
        <f t="shared" si="124"/>
        <v>05750470634</v>
      </c>
      <c r="E981" t="s">
        <v>52</v>
      </c>
      <c r="F981">
        <v>2015</v>
      </c>
      <c r="G981" t="str">
        <f>"               3/202"</f>
        <v xml:space="preserve">               3/202</v>
      </c>
      <c r="H981" s="3">
        <v>42124</v>
      </c>
      <c r="I981" s="3">
        <v>42165</v>
      </c>
      <c r="J981" s="3">
        <v>42138</v>
      </c>
      <c r="K981" s="3">
        <v>42198</v>
      </c>
      <c r="L981" s="5">
        <v>1460</v>
      </c>
      <c r="M981">
        <v>289</v>
      </c>
      <c r="N981" s="5">
        <v>421940</v>
      </c>
      <c r="O981" s="4">
        <v>1460</v>
      </c>
      <c r="P981">
        <v>289</v>
      </c>
      <c r="Q981" s="4">
        <v>421940</v>
      </c>
      <c r="R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0</v>
      </c>
      <c r="AB981" s="3">
        <v>42562</v>
      </c>
      <c r="AC981" t="s">
        <v>53</v>
      </c>
      <c r="AD981" t="s">
        <v>53</v>
      </c>
      <c r="AK981">
        <v>0</v>
      </c>
      <c r="AU981" s="3">
        <v>42487</v>
      </c>
      <c r="AV981" s="3">
        <v>42487</v>
      </c>
      <c r="AW981" t="s">
        <v>54</v>
      </c>
      <c r="AX981" t="str">
        <f t="shared" si="123"/>
        <v>FOR</v>
      </c>
      <c r="AY981" t="s">
        <v>55</v>
      </c>
    </row>
    <row r="982" spans="1:51" hidden="1">
      <c r="A982">
        <v>100824</v>
      </c>
      <c r="B982" t="s">
        <v>164</v>
      </c>
      <c r="C982" t="str">
        <f t="shared" si="124"/>
        <v>05750470634</v>
      </c>
      <c r="D982" t="str">
        <f t="shared" si="124"/>
        <v>05750470634</v>
      </c>
      <c r="E982" t="s">
        <v>52</v>
      </c>
      <c r="F982">
        <v>2015</v>
      </c>
      <c r="G982" t="str">
        <f>"               3/203"</f>
        <v xml:space="preserve">               3/203</v>
      </c>
      <c r="H982" s="3">
        <v>42124</v>
      </c>
      <c r="I982" s="3">
        <v>42158</v>
      </c>
      <c r="J982" s="3">
        <v>42138</v>
      </c>
      <c r="K982" s="3">
        <v>42198</v>
      </c>
      <c r="L982"/>
      <c r="N982"/>
      <c r="O982" s="4">
        <v>2688</v>
      </c>
      <c r="P982">
        <v>254</v>
      </c>
      <c r="Q982" s="4">
        <v>682752</v>
      </c>
      <c r="R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0</v>
      </c>
      <c r="AB982" s="3">
        <v>42562</v>
      </c>
      <c r="AC982" t="s">
        <v>53</v>
      </c>
      <c r="AD982" t="s">
        <v>53</v>
      </c>
      <c r="AK982">
        <v>0</v>
      </c>
      <c r="AU982" s="3">
        <v>42452</v>
      </c>
      <c r="AV982" s="3">
        <v>42452</v>
      </c>
      <c r="AW982" t="s">
        <v>54</v>
      </c>
      <c r="AX982" t="str">
        <f t="shared" si="123"/>
        <v>FOR</v>
      </c>
      <c r="AY982" t="s">
        <v>55</v>
      </c>
    </row>
    <row r="983" spans="1:51" hidden="1">
      <c r="A983">
        <v>100824</v>
      </c>
      <c r="B983" t="s">
        <v>164</v>
      </c>
      <c r="C983" t="str">
        <f t="shared" si="124"/>
        <v>05750470634</v>
      </c>
      <c r="D983" t="str">
        <f t="shared" si="124"/>
        <v>05750470634</v>
      </c>
      <c r="E983" t="s">
        <v>52</v>
      </c>
      <c r="F983">
        <v>2015</v>
      </c>
      <c r="G983" t="str">
        <f>"               3/262"</f>
        <v xml:space="preserve">               3/262</v>
      </c>
      <c r="H983" s="3">
        <v>42144</v>
      </c>
      <c r="I983" s="3">
        <v>42160</v>
      </c>
      <c r="J983" s="3">
        <v>42145</v>
      </c>
      <c r="K983" s="3">
        <v>42205</v>
      </c>
      <c r="L983"/>
      <c r="N983"/>
      <c r="O983" s="4">
        <v>7488</v>
      </c>
      <c r="P983">
        <v>247</v>
      </c>
      <c r="Q983" s="4">
        <v>1849536</v>
      </c>
      <c r="R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 s="3">
        <v>42562</v>
      </c>
      <c r="AC983" t="s">
        <v>53</v>
      </c>
      <c r="AD983" t="s">
        <v>53</v>
      </c>
      <c r="AK983">
        <v>0</v>
      </c>
      <c r="AU983" s="3">
        <v>42452</v>
      </c>
      <c r="AV983" s="3">
        <v>42452</v>
      </c>
      <c r="AW983" t="s">
        <v>54</v>
      </c>
      <c r="AX983" t="str">
        <f t="shared" ref="AX983:AX1014" si="125">"FOR"</f>
        <v>FOR</v>
      </c>
      <c r="AY983" t="s">
        <v>55</v>
      </c>
    </row>
    <row r="984" spans="1:51" hidden="1">
      <c r="A984">
        <v>100824</v>
      </c>
      <c r="B984" t="s">
        <v>164</v>
      </c>
      <c r="C984" t="str">
        <f t="shared" si="124"/>
        <v>05750470634</v>
      </c>
      <c r="D984" t="str">
        <f t="shared" si="124"/>
        <v>05750470634</v>
      </c>
      <c r="E984" t="s">
        <v>52</v>
      </c>
      <c r="F984">
        <v>2015</v>
      </c>
      <c r="G984" t="str">
        <f>"               3/271"</f>
        <v xml:space="preserve">               3/271</v>
      </c>
      <c r="H984" s="3">
        <v>42146</v>
      </c>
      <c r="I984" s="3">
        <v>42165</v>
      </c>
      <c r="J984" s="3">
        <v>42148</v>
      </c>
      <c r="K984" s="3">
        <v>42208</v>
      </c>
      <c r="L984"/>
      <c r="N984"/>
      <c r="O984" s="4">
        <v>1152</v>
      </c>
      <c r="P984">
        <v>244</v>
      </c>
      <c r="Q984" s="4">
        <v>281088</v>
      </c>
      <c r="R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 s="3">
        <v>42562</v>
      </c>
      <c r="AC984" t="s">
        <v>53</v>
      </c>
      <c r="AD984" t="s">
        <v>53</v>
      </c>
      <c r="AK984">
        <v>0</v>
      </c>
      <c r="AU984" s="3">
        <v>42452</v>
      </c>
      <c r="AV984" s="3">
        <v>42452</v>
      </c>
      <c r="AW984" t="s">
        <v>54</v>
      </c>
      <c r="AX984" t="str">
        <f t="shared" si="125"/>
        <v>FOR</v>
      </c>
      <c r="AY984" t="s">
        <v>55</v>
      </c>
    </row>
    <row r="985" spans="1:51" hidden="1">
      <c r="A985">
        <v>100824</v>
      </c>
      <c r="B985" t="s">
        <v>164</v>
      </c>
      <c r="C985" t="str">
        <f t="shared" si="124"/>
        <v>05750470634</v>
      </c>
      <c r="D985" t="str">
        <f t="shared" si="124"/>
        <v>05750470634</v>
      </c>
      <c r="E985" t="s">
        <v>52</v>
      </c>
      <c r="F985">
        <v>2015</v>
      </c>
      <c r="G985" t="str">
        <f>"               3/285"</f>
        <v xml:space="preserve">               3/285</v>
      </c>
      <c r="H985" s="3">
        <v>42151</v>
      </c>
      <c r="I985" s="3">
        <v>42160</v>
      </c>
      <c r="J985" s="3">
        <v>42151</v>
      </c>
      <c r="K985" s="3">
        <v>42211</v>
      </c>
      <c r="L985"/>
      <c r="N985"/>
      <c r="O985">
        <v>480</v>
      </c>
      <c r="P985">
        <v>241</v>
      </c>
      <c r="Q985" s="4">
        <v>115680</v>
      </c>
      <c r="R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 s="3">
        <v>42562</v>
      </c>
      <c r="AC985" t="s">
        <v>53</v>
      </c>
      <c r="AD985" t="s">
        <v>53</v>
      </c>
      <c r="AK985">
        <v>0</v>
      </c>
      <c r="AU985" s="3">
        <v>42452</v>
      </c>
      <c r="AV985" s="3">
        <v>42452</v>
      </c>
      <c r="AW985" t="s">
        <v>54</v>
      </c>
      <c r="AX985" t="str">
        <f t="shared" si="125"/>
        <v>FOR</v>
      </c>
      <c r="AY985" t="s">
        <v>55</v>
      </c>
    </row>
    <row r="986" spans="1:51" hidden="1">
      <c r="A986">
        <v>100824</v>
      </c>
      <c r="B986" t="s">
        <v>164</v>
      </c>
      <c r="C986" t="str">
        <f t="shared" si="124"/>
        <v>05750470634</v>
      </c>
      <c r="D986" t="str">
        <f t="shared" si="124"/>
        <v>05750470634</v>
      </c>
      <c r="E986" t="s">
        <v>52</v>
      </c>
      <c r="F986">
        <v>2015</v>
      </c>
      <c r="G986" t="str">
        <f>"               3/286"</f>
        <v xml:space="preserve">               3/286</v>
      </c>
      <c r="H986" s="3">
        <v>42151</v>
      </c>
      <c r="I986" s="3">
        <v>42160</v>
      </c>
      <c r="J986" s="3">
        <v>42151</v>
      </c>
      <c r="K986" s="3">
        <v>42211</v>
      </c>
      <c r="L986"/>
      <c r="N986"/>
      <c r="O986">
        <v>400</v>
      </c>
      <c r="P986">
        <v>241</v>
      </c>
      <c r="Q986" s="4">
        <v>96400</v>
      </c>
      <c r="R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 s="3">
        <v>42562</v>
      </c>
      <c r="AC986" t="s">
        <v>53</v>
      </c>
      <c r="AD986" t="s">
        <v>53</v>
      </c>
      <c r="AK986">
        <v>0</v>
      </c>
      <c r="AU986" s="3">
        <v>42452</v>
      </c>
      <c r="AV986" s="3">
        <v>42452</v>
      </c>
      <c r="AW986" t="s">
        <v>54</v>
      </c>
      <c r="AX986" t="str">
        <f t="shared" si="125"/>
        <v>FOR</v>
      </c>
      <c r="AY986" t="s">
        <v>55</v>
      </c>
    </row>
    <row r="987" spans="1:51">
      <c r="A987">
        <v>100824</v>
      </c>
      <c r="B987" t="s">
        <v>164</v>
      </c>
      <c r="C987" t="str">
        <f t="shared" si="124"/>
        <v>05750470634</v>
      </c>
      <c r="D987" t="str">
        <f t="shared" si="124"/>
        <v>05750470634</v>
      </c>
      <c r="E987" t="s">
        <v>52</v>
      </c>
      <c r="F987">
        <v>2015</v>
      </c>
      <c r="G987" t="str">
        <f>"               3/310"</f>
        <v xml:space="preserve">               3/310</v>
      </c>
      <c r="H987" s="3">
        <v>42160</v>
      </c>
      <c r="I987" s="3">
        <v>42163</v>
      </c>
      <c r="J987" s="3">
        <v>42160</v>
      </c>
      <c r="K987" s="3">
        <v>42220</v>
      </c>
      <c r="L987" s="1">
        <v>144</v>
      </c>
      <c r="M987">
        <v>267</v>
      </c>
      <c r="N987" s="5">
        <v>38448</v>
      </c>
      <c r="O987">
        <v>144</v>
      </c>
      <c r="P987">
        <v>267</v>
      </c>
      <c r="Q987" s="4">
        <v>38448</v>
      </c>
      <c r="R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 s="3">
        <v>42562</v>
      </c>
      <c r="AC987" t="s">
        <v>53</v>
      </c>
      <c r="AD987" t="s">
        <v>53</v>
      </c>
      <c r="AK987">
        <v>0</v>
      </c>
      <c r="AU987" s="3">
        <v>42487</v>
      </c>
      <c r="AV987" s="3">
        <v>42487</v>
      </c>
      <c r="AW987" t="s">
        <v>54</v>
      </c>
      <c r="AX987" t="str">
        <f t="shared" si="125"/>
        <v>FOR</v>
      </c>
      <c r="AY987" t="s">
        <v>55</v>
      </c>
    </row>
    <row r="988" spans="1:51">
      <c r="A988">
        <v>100824</v>
      </c>
      <c r="B988" t="s">
        <v>164</v>
      </c>
      <c r="C988" t="str">
        <f t="shared" si="124"/>
        <v>05750470634</v>
      </c>
      <c r="D988" t="str">
        <f t="shared" si="124"/>
        <v>05750470634</v>
      </c>
      <c r="E988" t="s">
        <v>52</v>
      </c>
      <c r="F988">
        <v>2015</v>
      </c>
      <c r="G988" t="str">
        <f>"               3/346"</f>
        <v xml:space="preserve">               3/346</v>
      </c>
      <c r="H988" s="3">
        <v>42173</v>
      </c>
      <c r="I988" s="3">
        <v>42174</v>
      </c>
      <c r="J988" s="3">
        <v>42173</v>
      </c>
      <c r="K988" s="3">
        <v>42233</v>
      </c>
      <c r="L988" s="5">
        <v>11144.3</v>
      </c>
      <c r="M988">
        <v>254</v>
      </c>
      <c r="N988" s="5">
        <v>2830652.2</v>
      </c>
      <c r="O988" s="4">
        <v>11144.3</v>
      </c>
      <c r="P988">
        <v>254</v>
      </c>
      <c r="Q988" s="4">
        <v>2830652.2</v>
      </c>
      <c r="R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0</v>
      </c>
      <c r="AB988" s="3">
        <v>42562</v>
      </c>
      <c r="AC988" t="s">
        <v>53</v>
      </c>
      <c r="AD988" t="s">
        <v>53</v>
      </c>
      <c r="AK988">
        <v>0</v>
      </c>
      <c r="AU988" s="3">
        <v>42487</v>
      </c>
      <c r="AV988" s="3">
        <v>42487</v>
      </c>
      <c r="AW988" t="s">
        <v>54</v>
      </c>
      <c r="AX988" t="str">
        <f t="shared" si="125"/>
        <v>FOR</v>
      </c>
      <c r="AY988" t="s">
        <v>55</v>
      </c>
    </row>
    <row r="989" spans="1:51">
      <c r="A989">
        <v>100824</v>
      </c>
      <c r="B989" t="s">
        <v>164</v>
      </c>
      <c r="C989" t="str">
        <f t="shared" si="124"/>
        <v>05750470634</v>
      </c>
      <c r="D989" t="str">
        <f t="shared" si="124"/>
        <v>05750470634</v>
      </c>
      <c r="E989" t="s">
        <v>52</v>
      </c>
      <c r="F989">
        <v>2015</v>
      </c>
      <c r="G989" t="str">
        <f>"               3/348"</f>
        <v xml:space="preserve">               3/348</v>
      </c>
      <c r="H989" s="3">
        <v>42173</v>
      </c>
      <c r="I989" s="3">
        <v>42174</v>
      </c>
      <c r="J989" s="3">
        <v>42173</v>
      </c>
      <c r="K989" s="3">
        <v>42233</v>
      </c>
      <c r="L989" s="5">
        <v>2440.8000000000002</v>
      </c>
      <c r="M989">
        <v>254</v>
      </c>
      <c r="N989" s="5">
        <v>619963.19999999995</v>
      </c>
      <c r="O989" s="4">
        <v>2440.8000000000002</v>
      </c>
      <c r="P989">
        <v>254</v>
      </c>
      <c r="Q989" s="4">
        <v>619963.19999999995</v>
      </c>
      <c r="R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0</v>
      </c>
      <c r="AB989" s="3">
        <v>42562</v>
      </c>
      <c r="AC989" t="s">
        <v>53</v>
      </c>
      <c r="AD989" t="s">
        <v>53</v>
      </c>
      <c r="AK989">
        <v>0</v>
      </c>
      <c r="AU989" s="3">
        <v>42487</v>
      </c>
      <c r="AV989" s="3">
        <v>42487</v>
      </c>
      <c r="AW989" t="s">
        <v>54</v>
      </c>
      <c r="AX989" t="str">
        <f t="shared" si="125"/>
        <v>FOR</v>
      </c>
      <c r="AY989" t="s">
        <v>55</v>
      </c>
    </row>
    <row r="990" spans="1:51">
      <c r="A990">
        <v>100824</v>
      </c>
      <c r="B990" t="s">
        <v>164</v>
      </c>
      <c r="C990" t="str">
        <f t="shared" si="124"/>
        <v>05750470634</v>
      </c>
      <c r="D990" t="str">
        <f t="shared" si="124"/>
        <v>05750470634</v>
      </c>
      <c r="E990" t="s">
        <v>52</v>
      </c>
      <c r="F990">
        <v>2015</v>
      </c>
      <c r="G990" t="str">
        <f>"               3/349"</f>
        <v xml:space="preserve">               3/349</v>
      </c>
      <c r="H990" s="3">
        <v>42173</v>
      </c>
      <c r="I990" s="3">
        <v>42174</v>
      </c>
      <c r="J990" s="3">
        <v>42173</v>
      </c>
      <c r="K990" s="3">
        <v>42233</v>
      </c>
      <c r="L990" s="5">
        <v>6048</v>
      </c>
      <c r="M990">
        <v>254</v>
      </c>
      <c r="N990" s="5">
        <v>1536192</v>
      </c>
      <c r="O990" s="4">
        <v>6048</v>
      </c>
      <c r="P990">
        <v>254</v>
      </c>
      <c r="Q990" s="4">
        <v>1536192</v>
      </c>
      <c r="R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 s="3">
        <v>42562</v>
      </c>
      <c r="AC990" t="s">
        <v>53</v>
      </c>
      <c r="AD990" t="s">
        <v>53</v>
      </c>
      <c r="AK990">
        <v>0</v>
      </c>
      <c r="AU990" s="3">
        <v>42487</v>
      </c>
      <c r="AV990" s="3">
        <v>42487</v>
      </c>
      <c r="AW990" t="s">
        <v>54</v>
      </c>
      <c r="AX990" t="str">
        <f t="shared" si="125"/>
        <v>FOR</v>
      </c>
      <c r="AY990" t="s">
        <v>55</v>
      </c>
    </row>
    <row r="991" spans="1:51">
      <c r="A991">
        <v>100824</v>
      </c>
      <c r="B991" t="s">
        <v>164</v>
      </c>
      <c r="C991" t="str">
        <f t="shared" ref="C991:D999" si="126">"05750470634"</f>
        <v>05750470634</v>
      </c>
      <c r="D991" t="str">
        <f t="shared" si="126"/>
        <v>05750470634</v>
      </c>
      <c r="E991" t="s">
        <v>52</v>
      </c>
      <c r="F991">
        <v>2015</v>
      </c>
      <c r="G991" t="str">
        <f>"               3/350"</f>
        <v xml:space="preserve">               3/350</v>
      </c>
      <c r="H991" s="3">
        <v>42173</v>
      </c>
      <c r="I991" s="3">
        <v>42174</v>
      </c>
      <c r="J991" s="3">
        <v>42173</v>
      </c>
      <c r="K991" s="3">
        <v>42233</v>
      </c>
      <c r="L991" s="1">
        <v>480</v>
      </c>
      <c r="M991">
        <v>254</v>
      </c>
      <c r="N991" s="5">
        <v>121920</v>
      </c>
      <c r="O991">
        <v>480</v>
      </c>
      <c r="P991">
        <v>254</v>
      </c>
      <c r="Q991" s="4">
        <v>121920</v>
      </c>
      <c r="R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0</v>
      </c>
      <c r="AB991" s="3">
        <v>42562</v>
      </c>
      <c r="AC991" t="s">
        <v>53</v>
      </c>
      <c r="AD991" t="s">
        <v>53</v>
      </c>
      <c r="AK991">
        <v>0</v>
      </c>
      <c r="AU991" s="3">
        <v>42487</v>
      </c>
      <c r="AV991" s="3">
        <v>42487</v>
      </c>
      <c r="AW991" t="s">
        <v>54</v>
      </c>
      <c r="AX991" t="str">
        <f t="shared" si="125"/>
        <v>FOR</v>
      </c>
      <c r="AY991" t="s">
        <v>55</v>
      </c>
    </row>
    <row r="992" spans="1:51">
      <c r="A992">
        <v>100824</v>
      </c>
      <c r="B992" t="s">
        <v>164</v>
      </c>
      <c r="C992" t="str">
        <f t="shared" si="126"/>
        <v>05750470634</v>
      </c>
      <c r="D992" t="str">
        <f t="shared" si="126"/>
        <v>05750470634</v>
      </c>
      <c r="E992" t="s">
        <v>52</v>
      </c>
      <c r="F992">
        <v>2015</v>
      </c>
      <c r="G992" t="str">
        <f>"               3/362"</f>
        <v xml:space="preserve">               3/362</v>
      </c>
      <c r="H992" s="3">
        <v>42178</v>
      </c>
      <c r="I992" s="3">
        <v>42181</v>
      </c>
      <c r="J992" s="3">
        <v>42178</v>
      </c>
      <c r="K992" s="3">
        <v>42238</v>
      </c>
      <c r="L992" s="5">
        <v>3672</v>
      </c>
      <c r="M992">
        <v>249</v>
      </c>
      <c r="N992" s="5">
        <v>914328</v>
      </c>
      <c r="O992" s="4">
        <v>3672</v>
      </c>
      <c r="P992">
        <v>249</v>
      </c>
      <c r="Q992" s="4">
        <v>914328</v>
      </c>
      <c r="R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 s="3">
        <v>42562</v>
      </c>
      <c r="AC992" t="s">
        <v>53</v>
      </c>
      <c r="AD992" t="s">
        <v>53</v>
      </c>
      <c r="AK992">
        <v>0</v>
      </c>
      <c r="AU992" s="3">
        <v>42487</v>
      </c>
      <c r="AV992" s="3">
        <v>42487</v>
      </c>
      <c r="AW992" t="s">
        <v>54</v>
      </c>
      <c r="AX992" t="str">
        <f t="shared" si="125"/>
        <v>FOR</v>
      </c>
      <c r="AY992" t="s">
        <v>55</v>
      </c>
    </row>
    <row r="993" spans="1:51">
      <c r="A993">
        <v>100824</v>
      </c>
      <c r="B993" t="s">
        <v>164</v>
      </c>
      <c r="C993" t="str">
        <f t="shared" si="126"/>
        <v>05750470634</v>
      </c>
      <c r="D993" t="str">
        <f t="shared" si="126"/>
        <v>05750470634</v>
      </c>
      <c r="E993" t="s">
        <v>52</v>
      </c>
      <c r="F993">
        <v>2015</v>
      </c>
      <c r="G993" t="str">
        <f>"               3/380"</f>
        <v xml:space="preserve">               3/380</v>
      </c>
      <c r="H993" s="3">
        <v>42181</v>
      </c>
      <c r="I993" s="3">
        <v>42188</v>
      </c>
      <c r="J993" s="3">
        <v>42181</v>
      </c>
      <c r="K993" s="3">
        <v>42241</v>
      </c>
      <c r="L993" s="5">
        <v>3200.94</v>
      </c>
      <c r="M993">
        <v>246</v>
      </c>
      <c r="N993" s="5">
        <v>787431.24</v>
      </c>
      <c r="O993" s="4">
        <v>3200.94</v>
      </c>
      <c r="P993">
        <v>246</v>
      </c>
      <c r="Q993" s="4">
        <v>787431.24</v>
      </c>
      <c r="R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 s="3">
        <v>42562</v>
      </c>
      <c r="AC993" t="s">
        <v>53</v>
      </c>
      <c r="AD993" t="s">
        <v>53</v>
      </c>
      <c r="AK993">
        <v>0</v>
      </c>
      <c r="AU993" s="3">
        <v>42487</v>
      </c>
      <c r="AV993" s="3">
        <v>42487</v>
      </c>
      <c r="AW993" t="s">
        <v>54</v>
      </c>
      <c r="AX993" t="str">
        <f t="shared" si="125"/>
        <v>FOR</v>
      </c>
      <c r="AY993" t="s">
        <v>55</v>
      </c>
    </row>
    <row r="994" spans="1:51">
      <c r="A994">
        <v>100824</v>
      </c>
      <c r="B994" t="s">
        <v>164</v>
      </c>
      <c r="C994" t="str">
        <f t="shared" si="126"/>
        <v>05750470634</v>
      </c>
      <c r="D994" t="str">
        <f t="shared" si="126"/>
        <v>05750470634</v>
      </c>
      <c r="E994" t="s">
        <v>52</v>
      </c>
      <c r="F994">
        <v>2015</v>
      </c>
      <c r="G994" t="str">
        <f>"               3/381"</f>
        <v xml:space="preserve">               3/381</v>
      </c>
      <c r="H994" s="3">
        <v>42181</v>
      </c>
      <c r="I994" s="3">
        <v>42187</v>
      </c>
      <c r="J994" s="3">
        <v>42184</v>
      </c>
      <c r="K994" s="3">
        <v>42244</v>
      </c>
      <c r="L994" s="1">
        <v>800</v>
      </c>
      <c r="M994">
        <v>243</v>
      </c>
      <c r="N994" s="5">
        <v>194400</v>
      </c>
      <c r="O994">
        <v>800</v>
      </c>
      <c r="P994">
        <v>243</v>
      </c>
      <c r="Q994" s="4">
        <v>194400</v>
      </c>
      <c r="R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0</v>
      </c>
      <c r="AB994" s="3">
        <v>42562</v>
      </c>
      <c r="AC994" t="s">
        <v>53</v>
      </c>
      <c r="AD994" t="s">
        <v>53</v>
      </c>
      <c r="AK994">
        <v>0</v>
      </c>
      <c r="AU994" s="3">
        <v>42487</v>
      </c>
      <c r="AV994" s="3">
        <v>42487</v>
      </c>
      <c r="AW994" t="s">
        <v>54</v>
      </c>
      <c r="AX994" t="str">
        <f t="shared" si="125"/>
        <v>FOR</v>
      </c>
      <c r="AY994" t="s">
        <v>55</v>
      </c>
    </row>
    <row r="995" spans="1:51">
      <c r="A995">
        <v>100824</v>
      </c>
      <c r="B995" t="s">
        <v>164</v>
      </c>
      <c r="C995" t="str">
        <f t="shared" si="126"/>
        <v>05750470634</v>
      </c>
      <c r="D995" t="str">
        <f t="shared" si="126"/>
        <v>05750470634</v>
      </c>
      <c r="E995" t="s">
        <v>52</v>
      </c>
      <c r="F995">
        <v>2015</v>
      </c>
      <c r="G995" t="str">
        <f>"               3/382"</f>
        <v xml:space="preserve">               3/382</v>
      </c>
      <c r="H995" s="3">
        <v>42181</v>
      </c>
      <c r="I995" s="3">
        <v>42187</v>
      </c>
      <c r="J995" s="3">
        <v>42184</v>
      </c>
      <c r="K995" s="3">
        <v>42244</v>
      </c>
      <c r="L995" s="1">
        <v>391</v>
      </c>
      <c r="M995">
        <v>243</v>
      </c>
      <c r="N995" s="5">
        <v>95013</v>
      </c>
      <c r="O995">
        <v>391</v>
      </c>
      <c r="P995">
        <v>243</v>
      </c>
      <c r="Q995" s="4">
        <v>95013</v>
      </c>
      <c r="R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0</v>
      </c>
      <c r="AB995" s="3">
        <v>42562</v>
      </c>
      <c r="AC995" t="s">
        <v>53</v>
      </c>
      <c r="AD995" t="s">
        <v>53</v>
      </c>
      <c r="AK995">
        <v>0</v>
      </c>
      <c r="AU995" s="3">
        <v>42487</v>
      </c>
      <c r="AV995" s="3">
        <v>42487</v>
      </c>
      <c r="AW995" t="s">
        <v>54</v>
      </c>
      <c r="AX995" t="str">
        <f t="shared" si="125"/>
        <v>FOR</v>
      </c>
      <c r="AY995" t="s">
        <v>55</v>
      </c>
    </row>
    <row r="996" spans="1:51">
      <c r="A996">
        <v>100824</v>
      </c>
      <c r="B996" t="s">
        <v>164</v>
      </c>
      <c r="C996" t="str">
        <f t="shared" si="126"/>
        <v>05750470634</v>
      </c>
      <c r="D996" t="str">
        <f t="shared" si="126"/>
        <v>05750470634</v>
      </c>
      <c r="E996" t="s">
        <v>52</v>
      </c>
      <c r="F996">
        <v>2015</v>
      </c>
      <c r="G996" t="str">
        <f>"               3/465"</f>
        <v xml:space="preserve">               3/465</v>
      </c>
      <c r="H996" s="3">
        <v>42202</v>
      </c>
      <c r="I996" s="3">
        <v>42206</v>
      </c>
      <c r="J996" s="3">
        <v>42205</v>
      </c>
      <c r="K996" s="3">
        <v>42265</v>
      </c>
      <c r="L996" s="5">
        <v>2769.6</v>
      </c>
      <c r="M996">
        <v>263</v>
      </c>
      <c r="N996" s="5">
        <v>728404.8</v>
      </c>
      <c r="O996" s="4">
        <v>2769.6</v>
      </c>
      <c r="P996">
        <v>263</v>
      </c>
      <c r="Q996" s="4">
        <v>728404.8</v>
      </c>
      <c r="R996">
        <v>110.78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 s="3">
        <v>42562</v>
      </c>
      <c r="AC996" t="s">
        <v>53</v>
      </c>
      <c r="AD996" t="s">
        <v>53</v>
      </c>
      <c r="AK996">
        <v>110.78</v>
      </c>
      <c r="AU996" s="3">
        <v>42528</v>
      </c>
      <c r="AV996" s="3">
        <v>42528</v>
      </c>
      <c r="AW996" t="s">
        <v>54</v>
      </c>
      <c r="AX996" t="str">
        <f t="shared" si="125"/>
        <v>FOR</v>
      </c>
      <c r="AY996" t="s">
        <v>55</v>
      </c>
    </row>
    <row r="997" spans="1:51">
      <c r="A997">
        <v>100824</v>
      </c>
      <c r="B997" t="s">
        <v>164</v>
      </c>
      <c r="C997" t="str">
        <f t="shared" si="126"/>
        <v>05750470634</v>
      </c>
      <c r="D997" t="str">
        <f t="shared" si="126"/>
        <v>05750470634</v>
      </c>
      <c r="E997" t="s">
        <v>52</v>
      </c>
      <c r="F997">
        <v>2015</v>
      </c>
      <c r="G997" t="str">
        <f>"               3/466"</f>
        <v xml:space="preserve">               3/466</v>
      </c>
      <c r="H997" s="3">
        <v>42202</v>
      </c>
      <c r="I997" s="3">
        <v>42206</v>
      </c>
      <c r="J997" s="3">
        <v>42205</v>
      </c>
      <c r="K997" s="3">
        <v>42265</v>
      </c>
      <c r="L997" s="5">
        <v>6048</v>
      </c>
      <c r="M997">
        <v>263</v>
      </c>
      <c r="N997" s="5">
        <v>1590624</v>
      </c>
      <c r="O997" s="4">
        <v>6048</v>
      </c>
      <c r="P997">
        <v>263</v>
      </c>
      <c r="Q997" s="4">
        <v>1590624</v>
      </c>
      <c r="R997">
        <v>241.92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0</v>
      </c>
      <c r="AB997" s="3">
        <v>42562</v>
      </c>
      <c r="AC997" t="s">
        <v>53</v>
      </c>
      <c r="AD997" t="s">
        <v>53</v>
      </c>
      <c r="AK997">
        <v>241.92</v>
      </c>
      <c r="AU997" s="3">
        <v>42528</v>
      </c>
      <c r="AV997" s="3">
        <v>42528</v>
      </c>
      <c r="AW997" t="s">
        <v>54</v>
      </c>
      <c r="AX997" t="str">
        <f t="shared" si="125"/>
        <v>FOR</v>
      </c>
      <c r="AY997" t="s">
        <v>55</v>
      </c>
    </row>
    <row r="998" spans="1:51">
      <c r="A998">
        <v>100824</v>
      </c>
      <c r="B998" t="s">
        <v>164</v>
      </c>
      <c r="C998" t="str">
        <f t="shared" si="126"/>
        <v>05750470634</v>
      </c>
      <c r="D998" t="str">
        <f t="shared" si="126"/>
        <v>05750470634</v>
      </c>
      <c r="E998" t="s">
        <v>52</v>
      </c>
      <c r="F998">
        <v>2015</v>
      </c>
      <c r="G998" t="str">
        <f>"               3/467"</f>
        <v xml:space="preserve">               3/467</v>
      </c>
      <c r="H998" s="3">
        <v>42202</v>
      </c>
      <c r="I998" s="3">
        <v>42206</v>
      </c>
      <c r="J998" s="3">
        <v>42205</v>
      </c>
      <c r="K998" s="3">
        <v>42265</v>
      </c>
      <c r="L998" s="5">
        <v>11937.1</v>
      </c>
      <c r="M998">
        <v>263</v>
      </c>
      <c r="N998" s="5">
        <v>3139457.3</v>
      </c>
      <c r="O998" s="4">
        <v>11937.1</v>
      </c>
      <c r="P998">
        <v>263</v>
      </c>
      <c r="Q998" s="4">
        <v>3139457.3</v>
      </c>
      <c r="R998">
        <v>477.48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 s="3">
        <v>42562</v>
      </c>
      <c r="AC998" t="s">
        <v>53</v>
      </c>
      <c r="AD998" t="s">
        <v>53</v>
      </c>
      <c r="AK998">
        <v>477.48</v>
      </c>
      <c r="AU998" s="3">
        <v>42528</v>
      </c>
      <c r="AV998" s="3">
        <v>42528</v>
      </c>
      <c r="AW998" t="s">
        <v>54</v>
      </c>
      <c r="AX998" t="str">
        <f t="shared" si="125"/>
        <v>FOR</v>
      </c>
      <c r="AY998" t="s">
        <v>55</v>
      </c>
    </row>
    <row r="999" spans="1:51">
      <c r="A999">
        <v>100824</v>
      </c>
      <c r="B999" t="s">
        <v>164</v>
      </c>
      <c r="C999" t="str">
        <f t="shared" si="126"/>
        <v>05750470634</v>
      </c>
      <c r="D999" t="str">
        <f t="shared" si="126"/>
        <v>05750470634</v>
      </c>
      <c r="E999" t="s">
        <v>52</v>
      </c>
      <c r="F999">
        <v>2015</v>
      </c>
      <c r="G999" t="str">
        <f>"               3/472"</f>
        <v xml:space="preserve">               3/472</v>
      </c>
      <c r="H999" s="3">
        <v>42205</v>
      </c>
      <c r="I999" s="3">
        <v>42206</v>
      </c>
      <c r="J999" s="3">
        <v>42205</v>
      </c>
      <c r="K999" s="3">
        <v>42265</v>
      </c>
      <c r="L999" s="5">
        <v>2880</v>
      </c>
      <c r="M999">
        <v>263</v>
      </c>
      <c r="N999" s="5">
        <v>757440</v>
      </c>
      <c r="O999" s="4">
        <v>2880</v>
      </c>
      <c r="P999">
        <v>263</v>
      </c>
      <c r="Q999" s="4">
        <v>757440</v>
      </c>
      <c r="R999">
        <v>115.2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 s="3">
        <v>42562</v>
      </c>
      <c r="AC999" t="s">
        <v>53</v>
      </c>
      <c r="AD999" t="s">
        <v>53</v>
      </c>
      <c r="AK999">
        <v>115.2</v>
      </c>
      <c r="AU999" s="3">
        <v>42528</v>
      </c>
      <c r="AV999" s="3">
        <v>42528</v>
      </c>
      <c r="AW999" t="s">
        <v>54</v>
      </c>
      <c r="AX999" t="str">
        <f t="shared" si="125"/>
        <v>FOR</v>
      </c>
      <c r="AY999" t="s">
        <v>55</v>
      </c>
    </row>
    <row r="1000" spans="1:51">
      <c r="A1000">
        <v>100860</v>
      </c>
      <c r="B1000" t="s">
        <v>165</v>
      </c>
      <c r="C1000" t="str">
        <f>"03906850262"</f>
        <v>03906850262</v>
      </c>
      <c r="D1000" t="str">
        <f>"03906850262"</f>
        <v>03906850262</v>
      </c>
      <c r="E1000" t="s">
        <v>52</v>
      </c>
      <c r="F1000">
        <v>2015</v>
      </c>
      <c r="G1000" t="str">
        <f>"                  59"</f>
        <v xml:space="preserve">                  59</v>
      </c>
      <c r="H1000" s="3">
        <v>42185</v>
      </c>
      <c r="I1000" s="3">
        <v>42198</v>
      </c>
      <c r="J1000" s="3">
        <v>42193</v>
      </c>
      <c r="K1000" s="3">
        <v>42253</v>
      </c>
      <c r="L1000" s="1">
        <v>418.54</v>
      </c>
      <c r="M1000">
        <v>234</v>
      </c>
      <c r="N1000" s="5">
        <v>97938.36</v>
      </c>
      <c r="O1000">
        <v>418.54</v>
      </c>
      <c r="P1000">
        <v>234</v>
      </c>
      <c r="Q1000" s="4">
        <v>97938.36</v>
      </c>
      <c r="R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 s="3">
        <v>42562</v>
      </c>
      <c r="AC1000" t="s">
        <v>53</v>
      </c>
      <c r="AD1000" t="s">
        <v>53</v>
      </c>
      <c r="AK1000">
        <v>0</v>
      </c>
      <c r="AU1000" s="3">
        <v>42487</v>
      </c>
      <c r="AV1000" s="3">
        <v>42487</v>
      </c>
      <c r="AW1000" t="s">
        <v>54</v>
      </c>
      <c r="AX1000" t="str">
        <f t="shared" si="125"/>
        <v>FOR</v>
      </c>
      <c r="AY1000" t="s">
        <v>55</v>
      </c>
    </row>
    <row r="1001" spans="1:51" hidden="1">
      <c r="A1001">
        <v>100866</v>
      </c>
      <c r="B1001" t="s">
        <v>166</v>
      </c>
      <c r="C1001" t="str">
        <f t="shared" ref="C1001:D1007" si="127">"00753720879"</f>
        <v>00753720879</v>
      </c>
      <c r="D1001" t="str">
        <f t="shared" si="127"/>
        <v>00753720879</v>
      </c>
      <c r="E1001" t="s">
        <v>52</v>
      </c>
      <c r="F1001">
        <v>2015</v>
      </c>
      <c r="G1001" t="str">
        <f>"                 121"</f>
        <v xml:space="preserve">                 121</v>
      </c>
      <c r="H1001" s="3">
        <v>42047</v>
      </c>
      <c r="I1001" s="3">
        <v>42053</v>
      </c>
      <c r="J1001" s="3">
        <v>42053</v>
      </c>
      <c r="K1001" s="3">
        <v>42113</v>
      </c>
      <c r="L1001"/>
      <c r="N1001"/>
      <c r="O1001" s="4">
        <v>1569</v>
      </c>
      <c r="P1001">
        <v>295</v>
      </c>
      <c r="Q1001" s="4">
        <v>462855</v>
      </c>
      <c r="R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 s="3">
        <v>42562</v>
      </c>
      <c r="AC1001" t="s">
        <v>53</v>
      </c>
      <c r="AD1001" t="s">
        <v>53</v>
      </c>
      <c r="AK1001">
        <v>0</v>
      </c>
      <c r="AU1001" s="3">
        <v>42408</v>
      </c>
      <c r="AV1001" s="3">
        <v>42408</v>
      </c>
      <c r="AW1001" t="s">
        <v>54</v>
      </c>
      <c r="AX1001" t="str">
        <f t="shared" si="125"/>
        <v>FOR</v>
      </c>
      <c r="AY1001" t="s">
        <v>55</v>
      </c>
    </row>
    <row r="1002" spans="1:51" hidden="1">
      <c r="A1002">
        <v>100866</v>
      </c>
      <c r="B1002" t="s">
        <v>166</v>
      </c>
      <c r="C1002" t="str">
        <f t="shared" si="127"/>
        <v>00753720879</v>
      </c>
      <c r="D1002" t="str">
        <f t="shared" si="127"/>
        <v>00753720879</v>
      </c>
      <c r="E1002" t="s">
        <v>52</v>
      </c>
      <c r="F1002">
        <v>2015</v>
      </c>
      <c r="G1002" t="str">
        <f>"          000383/P15"</f>
        <v xml:space="preserve">          000383/P15</v>
      </c>
      <c r="H1002" s="3">
        <v>42116</v>
      </c>
      <c r="I1002" s="3">
        <v>42320</v>
      </c>
      <c r="J1002" s="3">
        <v>42320</v>
      </c>
      <c r="K1002" s="3">
        <v>42380</v>
      </c>
      <c r="L1002"/>
      <c r="N1002"/>
      <c r="O1002">
        <v>352.5</v>
      </c>
      <c r="P1002">
        <v>72</v>
      </c>
      <c r="Q1002" s="4">
        <v>25380</v>
      </c>
      <c r="R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0</v>
      </c>
      <c r="AB1002" s="3">
        <v>42562</v>
      </c>
      <c r="AC1002" t="s">
        <v>53</v>
      </c>
      <c r="AD1002" t="s">
        <v>53</v>
      </c>
      <c r="AK1002">
        <v>0</v>
      </c>
      <c r="AU1002" s="3">
        <v>42452</v>
      </c>
      <c r="AV1002" s="3">
        <v>42452</v>
      </c>
      <c r="AW1002" t="s">
        <v>54</v>
      </c>
      <c r="AX1002" t="str">
        <f t="shared" si="125"/>
        <v>FOR</v>
      </c>
      <c r="AY1002" t="s">
        <v>55</v>
      </c>
    </row>
    <row r="1003" spans="1:51" hidden="1">
      <c r="A1003">
        <v>100866</v>
      </c>
      <c r="B1003" t="s">
        <v>166</v>
      </c>
      <c r="C1003" t="str">
        <f t="shared" si="127"/>
        <v>00753720879</v>
      </c>
      <c r="D1003" t="str">
        <f t="shared" si="127"/>
        <v>00753720879</v>
      </c>
      <c r="E1003" t="s">
        <v>52</v>
      </c>
      <c r="F1003">
        <v>2015</v>
      </c>
      <c r="G1003" t="str">
        <f>"          000563/P15"</f>
        <v xml:space="preserve">          000563/P15</v>
      </c>
      <c r="H1003" s="3">
        <v>42153</v>
      </c>
      <c r="I1003" s="3">
        <v>42282</v>
      </c>
      <c r="J1003" s="3">
        <v>42278</v>
      </c>
      <c r="K1003" s="3">
        <v>42338</v>
      </c>
      <c r="L1003"/>
      <c r="N1003"/>
      <c r="O1003">
        <v>902</v>
      </c>
      <c r="P1003">
        <v>114</v>
      </c>
      <c r="Q1003" s="4">
        <v>102828</v>
      </c>
      <c r="R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 s="3">
        <v>42562</v>
      </c>
      <c r="AC1003" t="s">
        <v>53</v>
      </c>
      <c r="AD1003" t="s">
        <v>53</v>
      </c>
      <c r="AK1003">
        <v>0</v>
      </c>
      <c r="AU1003" s="3">
        <v>42452</v>
      </c>
      <c r="AV1003" s="3">
        <v>42452</v>
      </c>
      <c r="AW1003" t="s">
        <v>54</v>
      </c>
      <c r="AX1003" t="str">
        <f t="shared" si="125"/>
        <v>FOR</v>
      </c>
      <c r="AY1003" t="s">
        <v>55</v>
      </c>
    </row>
    <row r="1004" spans="1:51">
      <c r="A1004">
        <v>100866</v>
      </c>
      <c r="B1004" t="s">
        <v>166</v>
      </c>
      <c r="C1004" t="str">
        <f t="shared" si="127"/>
        <v>00753720879</v>
      </c>
      <c r="D1004" t="str">
        <f t="shared" si="127"/>
        <v>00753720879</v>
      </c>
      <c r="E1004" t="s">
        <v>52</v>
      </c>
      <c r="F1004">
        <v>2015</v>
      </c>
      <c r="G1004" t="str">
        <f>"          000671/P15"</f>
        <v xml:space="preserve">          000671/P15</v>
      </c>
      <c r="H1004" s="3">
        <v>42185</v>
      </c>
      <c r="I1004" s="3">
        <v>42282</v>
      </c>
      <c r="J1004" s="3">
        <v>42278</v>
      </c>
      <c r="K1004" s="3">
        <v>42338</v>
      </c>
      <c r="L1004" s="5">
        <v>2236</v>
      </c>
      <c r="M1004">
        <v>182</v>
      </c>
      <c r="N1004" s="5">
        <v>406952</v>
      </c>
      <c r="O1004" s="4">
        <v>2236</v>
      </c>
      <c r="P1004">
        <v>182</v>
      </c>
      <c r="Q1004" s="4">
        <v>406952</v>
      </c>
      <c r="R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 s="3">
        <v>42562</v>
      </c>
      <c r="AC1004" t="s">
        <v>53</v>
      </c>
      <c r="AD1004" t="s">
        <v>53</v>
      </c>
      <c r="AK1004">
        <v>0</v>
      </c>
      <c r="AU1004" s="3">
        <v>42520</v>
      </c>
      <c r="AV1004" s="3">
        <v>42520</v>
      </c>
      <c r="AW1004" t="s">
        <v>54</v>
      </c>
      <c r="AX1004" t="str">
        <f t="shared" si="125"/>
        <v>FOR</v>
      </c>
      <c r="AY1004" t="s">
        <v>55</v>
      </c>
    </row>
    <row r="1005" spans="1:51">
      <c r="A1005">
        <v>100866</v>
      </c>
      <c r="B1005" t="s">
        <v>166</v>
      </c>
      <c r="C1005" t="str">
        <f t="shared" si="127"/>
        <v>00753720879</v>
      </c>
      <c r="D1005" t="str">
        <f t="shared" si="127"/>
        <v>00753720879</v>
      </c>
      <c r="E1005" t="s">
        <v>52</v>
      </c>
      <c r="F1005">
        <v>2015</v>
      </c>
      <c r="G1005" t="str">
        <f>"          001031/P15"</f>
        <v xml:space="preserve">          001031/P15</v>
      </c>
      <c r="H1005" s="3">
        <v>42269</v>
      </c>
      <c r="I1005" s="3">
        <v>42296</v>
      </c>
      <c r="J1005" s="3">
        <v>42293</v>
      </c>
      <c r="K1005" s="3">
        <v>42353</v>
      </c>
      <c r="L1005" s="5">
        <v>1569</v>
      </c>
      <c r="M1005">
        <v>167</v>
      </c>
      <c r="N1005" s="5">
        <v>262023</v>
      </c>
      <c r="O1005" s="4">
        <v>1569</v>
      </c>
      <c r="P1005">
        <v>167</v>
      </c>
      <c r="Q1005" s="4">
        <v>262023</v>
      </c>
      <c r="R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 s="3">
        <v>42562</v>
      </c>
      <c r="AC1005" t="s">
        <v>53</v>
      </c>
      <c r="AD1005" t="s">
        <v>53</v>
      </c>
      <c r="AK1005">
        <v>0</v>
      </c>
      <c r="AU1005" s="3">
        <v>42520</v>
      </c>
      <c r="AV1005" s="3">
        <v>42520</v>
      </c>
      <c r="AW1005" t="s">
        <v>54</v>
      </c>
      <c r="AX1005" t="str">
        <f t="shared" si="125"/>
        <v>FOR</v>
      </c>
      <c r="AY1005" t="s">
        <v>55</v>
      </c>
    </row>
    <row r="1006" spans="1:51">
      <c r="A1006">
        <v>100866</v>
      </c>
      <c r="B1006" t="s">
        <v>166</v>
      </c>
      <c r="C1006" t="str">
        <f t="shared" si="127"/>
        <v>00753720879</v>
      </c>
      <c r="D1006" t="str">
        <f t="shared" si="127"/>
        <v>00753720879</v>
      </c>
      <c r="E1006" t="s">
        <v>52</v>
      </c>
      <c r="F1006">
        <v>2015</v>
      </c>
      <c r="G1006" t="str">
        <f>"          001206/P15"</f>
        <v xml:space="preserve">          001206/P15</v>
      </c>
      <c r="H1006" s="3">
        <v>42305</v>
      </c>
      <c r="I1006" s="3">
        <v>42320</v>
      </c>
      <c r="J1006" s="3">
        <v>42319</v>
      </c>
      <c r="K1006" s="3">
        <v>42379</v>
      </c>
      <c r="L1006" s="1">
        <v>470</v>
      </c>
      <c r="M1006">
        <v>141</v>
      </c>
      <c r="N1006" s="5">
        <v>66270</v>
      </c>
      <c r="O1006">
        <v>470</v>
      </c>
      <c r="P1006">
        <v>141</v>
      </c>
      <c r="Q1006" s="4">
        <v>66270</v>
      </c>
      <c r="R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 s="3">
        <v>42562</v>
      </c>
      <c r="AC1006" t="s">
        <v>53</v>
      </c>
      <c r="AD1006" t="s">
        <v>53</v>
      </c>
      <c r="AK1006">
        <v>0</v>
      </c>
      <c r="AU1006" s="3">
        <v>42520</v>
      </c>
      <c r="AV1006" s="3">
        <v>42520</v>
      </c>
      <c r="AW1006" t="s">
        <v>54</v>
      </c>
      <c r="AX1006" t="str">
        <f t="shared" si="125"/>
        <v>FOR</v>
      </c>
      <c r="AY1006" t="s">
        <v>55</v>
      </c>
    </row>
    <row r="1007" spans="1:51">
      <c r="A1007">
        <v>100866</v>
      </c>
      <c r="B1007" t="s">
        <v>166</v>
      </c>
      <c r="C1007" t="str">
        <f t="shared" si="127"/>
        <v>00753720879</v>
      </c>
      <c r="D1007" t="str">
        <f t="shared" si="127"/>
        <v>00753720879</v>
      </c>
      <c r="E1007" t="s">
        <v>52</v>
      </c>
      <c r="F1007">
        <v>2015</v>
      </c>
      <c r="G1007" t="str">
        <f>"          001328/P15"</f>
        <v xml:space="preserve">          001328/P15</v>
      </c>
      <c r="H1007" s="3">
        <v>42349</v>
      </c>
      <c r="I1007" s="3">
        <v>42366</v>
      </c>
      <c r="J1007" s="3">
        <v>42362</v>
      </c>
      <c r="K1007" s="3">
        <v>42422</v>
      </c>
      <c r="L1007" s="5">
        <v>1353</v>
      </c>
      <c r="M1007">
        <v>98</v>
      </c>
      <c r="N1007" s="5">
        <v>132594</v>
      </c>
      <c r="O1007" s="4">
        <v>1353</v>
      </c>
      <c r="P1007">
        <v>98</v>
      </c>
      <c r="Q1007" s="4">
        <v>132594</v>
      </c>
      <c r="R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0</v>
      </c>
      <c r="AB1007" s="3">
        <v>42562</v>
      </c>
      <c r="AC1007" t="s">
        <v>53</v>
      </c>
      <c r="AD1007" t="s">
        <v>53</v>
      </c>
      <c r="AK1007">
        <v>0</v>
      </c>
      <c r="AU1007" s="3">
        <v>42520</v>
      </c>
      <c r="AV1007" s="3">
        <v>42520</v>
      </c>
      <c r="AW1007" t="s">
        <v>54</v>
      </c>
      <c r="AX1007" t="str">
        <f t="shared" si="125"/>
        <v>FOR</v>
      </c>
      <c r="AY1007" t="s">
        <v>55</v>
      </c>
    </row>
    <row r="1008" spans="1:51" hidden="1">
      <c r="A1008">
        <v>100879</v>
      </c>
      <c r="B1008" t="s">
        <v>167</v>
      </c>
      <c r="C1008" t="str">
        <f t="shared" ref="C1008:C1031" si="128">"01354901215"</f>
        <v>01354901215</v>
      </c>
      <c r="D1008" t="str">
        <f t="shared" ref="D1008:D1031" si="129">"04720630633"</f>
        <v>04720630633</v>
      </c>
      <c r="E1008" t="s">
        <v>52</v>
      </c>
      <c r="F1008">
        <v>2015</v>
      </c>
      <c r="G1008" t="str">
        <f>"                2590"</f>
        <v xml:space="preserve">                2590</v>
      </c>
      <c r="H1008" s="3">
        <v>42054</v>
      </c>
      <c r="I1008" s="3">
        <v>42296</v>
      </c>
      <c r="J1008" s="3">
        <v>42296</v>
      </c>
      <c r="K1008" s="3">
        <v>42356</v>
      </c>
      <c r="L1008"/>
      <c r="N1008"/>
      <c r="O1008" s="4">
        <v>6750</v>
      </c>
      <c r="P1008">
        <v>48</v>
      </c>
      <c r="Q1008" s="4">
        <v>324000</v>
      </c>
      <c r="R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 s="3">
        <v>42562</v>
      </c>
      <c r="AC1008" t="s">
        <v>53</v>
      </c>
      <c r="AD1008" t="s">
        <v>53</v>
      </c>
      <c r="AK1008">
        <v>0</v>
      </c>
      <c r="AU1008" s="3">
        <v>42404</v>
      </c>
      <c r="AV1008" s="3">
        <v>42404</v>
      </c>
      <c r="AW1008" t="s">
        <v>54</v>
      </c>
      <c r="AX1008" t="str">
        <f t="shared" si="125"/>
        <v>FOR</v>
      </c>
      <c r="AY1008" t="s">
        <v>55</v>
      </c>
    </row>
    <row r="1009" spans="1:51" hidden="1">
      <c r="A1009">
        <v>100879</v>
      </c>
      <c r="B1009" t="s">
        <v>167</v>
      </c>
      <c r="C1009" t="str">
        <f t="shared" si="128"/>
        <v>01354901215</v>
      </c>
      <c r="D1009" t="str">
        <f t="shared" si="129"/>
        <v>04720630633</v>
      </c>
      <c r="E1009" t="s">
        <v>52</v>
      </c>
      <c r="F1009">
        <v>2015</v>
      </c>
      <c r="G1009" t="str">
        <f>"               133/W"</f>
        <v xml:space="preserve">               133/W</v>
      </c>
      <c r="H1009" s="3">
        <v>42101</v>
      </c>
      <c r="I1009" s="3">
        <v>42104</v>
      </c>
      <c r="J1009" s="3">
        <v>42103</v>
      </c>
      <c r="K1009" s="3">
        <v>42163</v>
      </c>
      <c r="L1009"/>
      <c r="N1009"/>
      <c r="O1009">
        <v>385</v>
      </c>
      <c r="P1009">
        <v>289</v>
      </c>
      <c r="Q1009" s="4">
        <v>111265</v>
      </c>
      <c r="R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0</v>
      </c>
      <c r="AB1009" s="3">
        <v>42562</v>
      </c>
      <c r="AC1009" t="s">
        <v>53</v>
      </c>
      <c r="AD1009" t="s">
        <v>53</v>
      </c>
      <c r="AK1009">
        <v>0</v>
      </c>
      <c r="AU1009" s="3">
        <v>42452</v>
      </c>
      <c r="AV1009" s="3">
        <v>42452</v>
      </c>
      <c r="AW1009" t="s">
        <v>54</v>
      </c>
      <c r="AX1009" t="str">
        <f t="shared" si="125"/>
        <v>FOR</v>
      </c>
      <c r="AY1009" t="s">
        <v>55</v>
      </c>
    </row>
    <row r="1010" spans="1:51">
      <c r="A1010">
        <v>100879</v>
      </c>
      <c r="B1010" t="s">
        <v>167</v>
      </c>
      <c r="C1010" t="str">
        <f t="shared" si="128"/>
        <v>01354901215</v>
      </c>
      <c r="D1010" t="str">
        <f t="shared" si="129"/>
        <v>04720630633</v>
      </c>
      <c r="E1010" t="s">
        <v>52</v>
      </c>
      <c r="F1010">
        <v>2015</v>
      </c>
      <c r="G1010" t="str">
        <f>"              6120/W"</f>
        <v xml:space="preserve">              6120/W</v>
      </c>
      <c r="H1010" s="3">
        <v>42270</v>
      </c>
      <c r="I1010" s="3">
        <v>42272</v>
      </c>
      <c r="J1010" s="3">
        <v>42271</v>
      </c>
      <c r="K1010" s="3">
        <v>42331</v>
      </c>
      <c r="L1010" s="1">
        <v>262.5</v>
      </c>
      <c r="M1010">
        <v>156</v>
      </c>
      <c r="N1010" s="5">
        <v>40950</v>
      </c>
      <c r="O1010">
        <v>262.5</v>
      </c>
      <c r="P1010">
        <v>156</v>
      </c>
      <c r="Q1010" s="4">
        <v>40950</v>
      </c>
      <c r="R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0</v>
      </c>
      <c r="AB1010" s="3">
        <v>42562</v>
      </c>
      <c r="AC1010" t="s">
        <v>53</v>
      </c>
      <c r="AD1010" t="s">
        <v>53</v>
      </c>
      <c r="AK1010">
        <v>0</v>
      </c>
      <c r="AU1010" s="3">
        <v>42487</v>
      </c>
      <c r="AV1010" s="3">
        <v>42487</v>
      </c>
      <c r="AW1010" t="s">
        <v>54</v>
      </c>
      <c r="AX1010" t="str">
        <f t="shared" si="125"/>
        <v>FOR</v>
      </c>
      <c r="AY1010" t="s">
        <v>55</v>
      </c>
    </row>
    <row r="1011" spans="1:51">
      <c r="A1011">
        <v>100879</v>
      </c>
      <c r="B1011" t="s">
        <v>167</v>
      </c>
      <c r="C1011" t="str">
        <f t="shared" si="128"/>
        <v>01354901215</v>
      </c>
      <c r="D1011" t="str">
        <f t="shared" si="129"/>
        <v>04720630633</v>
      </c>
      <c r="E1011" t="s">
        <v>52</v>
      </c>
      <c r="F1011">
        <v>2015</v>
      </c>
      <c r="G1011" t="str">
        <f>"              6509/W"</f>
        <v xml:space="preserve">              6509/W</v>
      </c>
      <c r="H1011" s="3">
        <v>42283</v>
      </c>
      <c r="I1011" s="3">
        <v>42289</v>
      </c>
      <c r="J1011" s="3">
        <v>42284</v>
      </c>
      <c r="K1011" s="3">
        <v>42344</v>
      </c>
      <c r="L1011" s="1">
        <v>680</v>
      </c>
      <c r="M1011">
        <v>143</v>
      </c>
      <c r="N1011" s="5">
        <v>97240</v>
      </c>
      <c r="O1011">
        <v>680</v>
      </c>
      <c r="P1011">
        <v>143</v>
      </c>
      <c r="Q1011" s="4">
        <v>97240</v>
      </c>
      <c r="R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0</v>
      </c>
      <c r="AB1011" s="3">
        <v>42562</v>
      </c>
      <c r="AC1011" t="s">
        <v>53</v>
      </c>
      <c r="AD1011" t="s">
        <v>53</v>
      </c>
      <c r="AK1011">
        <v>0</v>
      </c>
      <c r="AU1011" s="3">
        <v>42487</v>
      </c>
      <c r="AV1011" s="3">
        <v>42487</v>
      </c>
      <c r="AW1011" t="s">
        <v>54</v>
      </c>
      <c r="AX1011" t="str">
        <f t="shared" si="125"/>
        <v>FOR</v>
      </c>
      <c r="AY1011" t="s">
        <v>55</v>
      </c>
    </row>
    <row r="1012" spans="1:51">
      <c r="A1012">
        <v>100879</v>
      </c>
      <c r="B1012" t="s">
        <v>167</v>
      </c>
      <c r="C1012" t="str">
        <f t="shared" si="128"/>
        <v>01354901215</v>
      </c>
      <c r="D1012" t="str">
        <f t="shared" si="129"/>
        <v>04720630633</v>
      </c>
      <c r="E1012" t="s">
        <v>52</v>
      </c>
      <c r="F1012">
        <v>2015</v>
      </c>
      <c r="G1012" t="str">
        <f>"              6510/W"</f>
        <v xml:space="preserve">              6510/W</v>
      </c>
      <c r="H1012" s="3">
        <v>42283</v>
      </c>
      <c r="I1012" s="3">
        <v>42289</v>
      </c>
      <c r="J1012" s="3">
        <v>42284</v>
      </c>
      <c r="K1012" s="3">
        <v>42344</v>
      </c>
      <c r="L1012" s="1">
        <v>222.2</v>
      </c>
      <c r="M1012">
        <v>143</v>
      </c>
      <c r="N1012" s="5">
        <v>31774.6</v>
      </c>
      <c r="O1012">
        <v>222.2</v>
      </c>
      <c r="P1012">
        <v>143</v>
      </c>
      <c r="Q1012" s="4">
        <v>31774.6</v>
      </c>
      <c r="R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 s="3">
        <v>42562</v>
      </c>
      <c r="AC1012" t="s">
        <v>53</v>
      </c>
      <c r="AD1012" t="s">
        <v>53</v>
      </c>
      <c r="AK1012">
        <v>0</v>
      </c>
      <c r="AU1012" s="3">
        <v>42487</v>
      </c>
      <c r="AV1012" s="3">
        <v>42487</v>
      </c>
      <c r="AW1012" t="s">
        <v>54</v>
      </c>
      <c r="AX1012" t="str">
        <f t="shared" si="125"/>
        <v>FOR</v>
      </c>
      <c r="AY1012" t="s">
        <v>55</v>
      </c>
    </row>
    <row r="1013" spans="1:51">
      <c r="A1013">
        <v>100879</v>
      </c>
      <c r="B1013" t="s">
        <v>167</v>
      </c>
      <c r="C1013" t="str">
        <f t="shared" si="128"/>
        <v>01354901215</v>
      </c>
      <c r="D1013" t="str">
        <f t="shared" si="129"/>
        <v>04720630633</v>
      </c>
      <c r="E1013" t="s">
        <v>52</v>
      </c>
      <c r="F1013">
        <v>2015</v>
      </c>
      <c r="G1013" t="str">
        <f>"              6633/W"</f>
        <v xml:space="preserve">              6633/W</v>
      </c>
      <c r="H1013" s="3">
        <v>42286</v>
      </c>
      <c r="I1013" s="3">
        <v>42291</v>
      </c>
      <c r="J1013" s="3">
        <v>42289</v>
      </c>
      <c r="K1013" s="3">
        <v>42349</v>
      </c>
      <c r="L1013" s="1">
        <v>142</v>
      </c>
      <c r="M1013">
        <v>138</v>
      </c>
      <c r="N1013" s="5">
        <v>19596</v>
      </c>
      <c r="O1013">
        <v>142</v>
      </c>
      <c r="P1013">
        <v>138</v>
      </c>
      <c r="Q1013" s="4">
        <v>19596</v>
      </c>
      <c r="R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 s="3">
        <v>42562</v>
      </c>
      <c r="AC1013" t="s">
        <v>53</v>
      </c>
      <c r="AD1013" t="s">
        <v>53</v>
      </c>
      <c r="AK1013">
        <v>0</v>
      </c>
      <c r="AU1013" s="3">
        <v>42487</v>
      </c>
      <c r="AV1013" s="3">
        <v>42487</v>
      </c>
      <c r="AW1013" t="s">
        <v>54</v>
      </c>
      <c r="AX1013" t="str">
        <f t="shared" si="125"/>
        <v>FOR</v>
      </c>
      <c r="AY1013" t="s">
        <v>55</v>
      </c>
    </row>
    <row r="1014" spans="1:51">
      <c r="A1014">
        <v>100879</v>
      </c>
      <c r="B1014" t="s">
        <v>167</v>
      </c>
      <c r="C1014" t="str">
        <f t="shared" si="128"/>
        <v>01354901215</v>
      </c>
      <c r="D1014" t="str">
        <f t="shared" si="129"/>
        <v>04720630633</v>
      </c>
      <c r="E1014" t="s">
        <v>52</v>
      </c>
      <c r="F1014">
        <v>2015</v>
      </c>
      <c r="G1014" t="str">
        <f>"              6888/W"</f>
        <v xml:space="preserve">              6888/W</v>
      </c>
      <c r="H1014" s="3">
        <v>42296</v>
      </c>
      <c r="I1014" s="3">
        <v>42300</v>
      </c>
      <c r="J1014" s="3">
        <v>42299</v>
      </c>
      <c r="K1014" s="3">
        <v>42359</v>
      </c>
      <c r="L1014" s="1">
        <v>83</v>
      </c>
      <c r="M1014">
        <v>128</v>
      </c>
      <c r="N1014" s="5">
        <v>10624</v>
      </c>
      <c r="O1014">
        <v>83</v>
      </c>
      <c r="P1014">
        <v>128</v>
      </c>
      <c r="Q1014" s="4">
        <v>10624</v>
      </c>
      <c r="R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 s="3">
        <v>42562</v>
      </c>
      <c r="AC1014" t="s">
        <v>53</v>
      </c>
      <c r="AD1014" t="s">
        <v>53</v>
      </c>
      <c r="AK1014">
        <v>0</v>
      </c>
      <c r="AU1014" s="3">
        <v>42487</v>
      </c>
      <c r="AV1014" s="3">
        <v>42487</v>
      </c>
      <c r="AW1014" t="s">
        <v>54</v>
      </c>
      <c r="AX1014" t="str">
        <f t="shared" si="125"/>
        <v>FOR</v>
      </c>
      <c r="AY1014" t="s">
        <v>55</v>
      </c>
    </row>
    <row r="1015" spans="1:51">
      <c r="A1015">
        <v>100879</v>
      </c>
      <c r="B1015" t="s">
        <v>167</v>
      </c>
      <c r="C1015" t="str">
        <f t="shared" si="128"/>
        <v>01354901215</v>
      </c>
      <c r="D1015" t="str">
        <f t="shared" si="129"/>
        <v>04720630633</v>
      </c>
      <c r="E1015" t="s">
        <v>52</v>
      </c>
      <c r="F1015">
        <v>2015</v>
      </c>
      <c r="G1015" t="str">
        <f>"              6889/W"</f>
        <v xml:space="preserve">              6889/W</v>
      </c>
      <c r="H1015" s="3">
        <v>42296</v>
      </c>
      <c r="I1015" s="3">
        <v>42300</v>
      </c>
      <c r="J1015" s="3">
        <v>42299</v>
      </c>
      <c r="K1015" s="3">
        <v>42359</v>
      </c>
      <c r="L1015" s="5">
        <v>1391.8</v>
      </c>
      <c r="M1015">
        <v>128</v>
      </c>
      <c r="N1015" s="5">
        <v>178150.39999999999</v>
      </c>
      <c r="O1015" s="4">
        <v>1391.8</v>
      </c>
      <c r="P1015">
        <v>128</v>
      </c>
      <c r="Q1015" s="4">
        <v>178150.39999999999</v>
      </c>
      <c r="R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 s="3">
        <v>42562</v>
      </c>
      <c r="AC1015" t="s">
        <v>53</v>
      </c>
      <c r="AD1015" t="s">
        <v>53</v>
      </c>
      <c r="AK1015">
        <v>0</v>
      </c>
      <c r="AU1015" s="3">
        <v>42487</v>
      </c>
      <c r="AV1015" s="3">
        <v>42487</v>
      </c>
      <c r="AW1015" t="s">
        <v>54</v>
      </c>
      <c r="AX1015" t="str">
        <f t="shared" ref="AX1015:AX1046" si="130">"FOR"</f>
        <v>FOR</v>
      </c>
      <c r="AY1015" t="s">
        <v>55</v>
      </c>
    </row>
    <row r="1016" spans="1:51">
      <c r="A1016">
        <v>100879</v>
      </c>
      <c r="B1016" t="s">
        <v>167</v>
      </c>
      <c r="C1016" t="str">
        <f t="shared" si="128"/>
        <v>01354901215</v>
      </c>
      <c r="D1016" t="str">
        <f t="shared" si="129"/>
        <v>04720630633</v>
      </c>
      <c r="E1016" t="s">
        <v>52</v>
      </c>
      <c r="F1016">
        <v>2015</v>
      </c>
      <c r="G1016" t="str">
        <f>"              6890/W"</f>
        <v xml:space="preserve">              6890/W</v>
      </c>
      <c r="H1016" s="3">
        <v>42296</v>
      </c>
      <c r="I1016" s="3">
        <v>42300</v>
      </c>
      <c r="J1016" s="3">
        <v>42299</v>
      </c>
      <c r="K1016" s="3">
        <v>42359</v>
      </c>
      <c r="L1016" s="1">
        <v>895</v>
      </c>
      <c r="M1016">
        <v>128</v>
      </c>
      <c r="N1016" s="5">
        <v>114560</v>
      </c>
      <c r="O1016">
        <v>895</v>
      </c>
      <c r="P1016">
        <v>128</v>
      </c>
      <c r="Q1016" s="4">
        <v>114560</v>
      </c>
      <c r="R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 s="3">
        <v>42562</v>
      </c>
      <c r="AC1016" t="s">
        <v>53</v>
      </c>
      <c r="AD1016" t="s">
        <v>53</v>
      </c>
      <c r="AK1016">
        <v>0</v>
      </c>
      <c r="AU1016" s="3">
        <v>42487</v>
      </c>
      <c r="AV1016" s="3">
        <v>42487</v>
      </c>
      <c r="AW1016" t="s">
        <v>54</v>
      </c>
      <c r="AX1016" t="str">
        <f t="shared" si="130"/>
        <v>FOR</v>
      </c>
      <c r="AY1016" t="s">
        <v>55</v>
      </c>
    </row>
    <row r="1017" spans="1:51">
      <c r="A1017">
        <v>100879</v>
      </c>
      <c r="B1017" t="s">
        <v>167</v>
      </c>
      <c r="C1017" t="str">
        <f t="shared" si="128"/>
        <v>01354901215</v>
      </c>
      <c r="D1017" t="str">
        <f t="shared" si="129"/>
        <v>04720630633</v>
      </c>
      <c r="E1017" t="s">
        <v>52</v>
      </c>
      <c r="F1017">
        <v>2015</v>
      </c>
      <c r="G1017" t="str">
        <f>"              7203/W"</f>
        <v xml:space="preserve">              7203/W</v>
      </c>
      <c r="H1017" s="3">
        <v>42304</v>
      </c>
      <c r="I1017" s="3">
        <v>42307</v>
      </c>
      <c r="J1017" s="3">
        <v>42306</v>
      </c>
      <c r="K1017" s="3">
        <v>42366</v>
      </c>
      <c r="L1017" s="1">
        <v>198</v>
      </c>
      <c r="M1017">
        <v>121</v>
      </c>
      <c r="N1017" s="5">
        <v>23958</v>
      </c>
      <c r="O1017">
        <v>198</v>
      </c>
      <c r="P1017">
        <v>121</v>
      </c>
      <c r="Q1017" s="4">
        <v>23958</v>
      </c>
      <c r="R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 s="3">
        <v>42562</v>
      </c>
      <c r="AC1017" t="s">
        <v>53</v>
      </c>
      <c r="AD1017" t="s">
        <v>53</v>
      </c>
      <c r="AK1017">
        <v>0</v>
      </c>
      <c r="AU1017" s="3">
        <v>42487</v>
      </c>
      <c r="AV1017" s="3">
        <v>42487</v>
      </c>
      <c r="AW1017" t="s">
        <v>54</v>
      </c>
      <c r="AX1017" t="str">
        <f t="shared" si="130"/>
        <v>FOR</v>
      </c>
      <c r="AY1017" t="s">
        <v>55</v>
      </c>
    </row>
    <row r="1018" spans="1:51">
      <c r="A1018">
        <v>100879</v>
      </c>
      <c r="B1018" t="s">
        <v>167</v>
      </c>
      <c r="C1018" t="str">
        <f t="shared" si="128"/>
        <v>01354901215</v>
      </c>
      <c r="D1018" t="str">
        <f t="shared" si="129"/>
        <v>04720630633</v>
      </c>
      <c r="E1018" t="s">
        <v>52</v>
      </c>
      <c r="F1018">
        <v>2015</v>
      </c>
      <c r="G1018" t="str">
        <f>"              7204/W"</f>
        <v xml:space="preserve">              7204/W</v>
      </c>
      <c r="H1018" s="3">
        <v>42304</v>
      </c>
      <c r="I1018" s="3">
        <v>42307</v>
      </c>
      <c r="J1018" s="3">
        <v>42306</v>
      </c>
      <c r="K1018" s="3">
        <v>42366</v>
      </c>
      <c r="L1018" s="1">
        <v>220</v>
      </c>
      <c r="M1018">
        <v>121</v>
      </c>
      <c r="N1018" s="5">
        <v>26620</v>
      </c>
      <c r="O1018">
        <v>220</v>
      </c>
      <c r="P1018">
        <v>121</v>
      </c>
      <c r="Q1018" s="4">
        <v>26620</v>
      </c>
      <c r="R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 s="3">
        <v>42562</v>
      </c>
      <c r="AC1018" t="s">
        <v>53</v>
      </c>
      <c r="AD1018" t="s">
        <v>53</v>
      </c>
      <c r="AK1018">
        <v>0</v>
      </c>
      <c r="AU1018" s="3">
        <v>42487</v>
      </c>
      <c r="AV1018" s="3">
        <v>42487</v>
      </c>
      <c r="AW1018" t="s">
        <v>54</v>
      </c>
      <c r="AX1018" t="str">
        <f t="shared" si="130"/>
        <v>FOR</v>
      </c>
      <c r="AY1018" t="s">
        <v>55</v>
      </c>
    </row>
    <row r="1019" spans="1:51">
      <c r="A1019">
        <v>100879</v>
      </c>
      <c r="B1019" t="s">
        <v>167</v>
      </c>
      <c r="C1019" t="str">
        <f t="shared" si="128"/>
        <v>01354901215</v>
      </c>
      <c r="D1019" t="str">
        <f t="shared" si="129"/>
        <v>04720630633</v>
      </c>
      <c r="E1019" t="s">
        <v>52</v>
      </c>
      <c r="F1019">
        <v>2015</v>
      </c>
      <c r="G1019" t="str">
        <f>"              7492/W"</f>
        <v xml:space="preserve">              7492/W</v>
      </c>
      <c r="H1019" s="3">
        <v>42312</v>
      </c>
      <c r="I1019" s="3">
        <v>42318</v>
      </c>
      <c r="J1019" s="3">
        <v>42317</v>
      </c>
      <c r="K1019" s="3">
        <v>42377</v>
      </c>
      <c r="L1019" s="5">
        <v>4050</v>
      </c>
      <c r="M1019">
        <v>110</v>
      </c>
      <c r="N1019" s="5">
        <v>445500</v>
      </c>
      <c r="O1019" s="4">
        <v>4050</v>
      </c>
      <c r="P1019">
        <v>110</v>
      </c>
      <c r="Q1019" s="4">
        <v>445500</v>
      </c>
      <c r="R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0</v>
      </c>
      <c r="AB1019" s="3">
        <v>42562</v>
      </c>
      <c r="AC1019" t="s">
        <v>53</v>
      </c>
      <c r="AD1019" t="s">
        <v>53</v>
      </c>
      <c r="AK1019">
        <v>0</v>
      </c>
      <c r="AU1019" s="3">
        <v>42487</v>
      </c>
      <c r="AV1019" s="3">
        <v>42487</v>
      </c>
      <c r="AW1019" t="s">
        <v>54</v>
      </c>
      <c r="AX1019" t="str">
        <f t="shared" si="130"/>
        <v>FOR</v>
      </c>
      <c r="AY1019" t="s">
        <v>55</v>
      </c>
    </row>
    <row r="1020" spans="1:51">
      <c r="A1020">
        <v>100879</v>
      </c>
      <c r="B1020" t="s">
        <v>167</v>
      </c>
      <c r="C1020" t="str">
        <f t="shared" si="128"/>
        <v>01354901215</v>
      </c>
      <c r="D1020" t="str">
        <f t="shared" si="129"/>
        <v>04720630633</v>
      </c>
      <c r="E1020" t="s">
        <v>52</v>
      </c>
      <c r="F1020">
        <v>2015</v>
      </c>
      <c r="G1020" t="str">
        <f>"              7493/W"</f>
        <v xml:space="preserve">              7493/W</v>
      </c>
      <c r="H1020" s="3">
        <v>42312</v>
      </c>
      <c r="I1020" s="3">
        <v>42318</v>
      </c>
      <c r="J1020" s="3">
        <v>42317</v>
      </c>
      <c r="K1020" s="3">
        <v>42377</v>
      </c>
      <c r="L1020" s="5">
        <v>1940</v>
      </c>
      <c r="M1020">
        <v>110</v>
      </c>
      <c r="N1020" s="5">
        <v>213400</v>
      </c>
      <c r="O1020" s="4">
        <v>1940</v>
      </c>
      <c r="P1020">
        <v>110</v>
      </c>
      <c r="Q1020" s="4">
        <v>213400</v>
      </c>
      <c r="R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 s="3">
        <v>42562</v>
      </c>
      <c r="AC1020" t="s">
        <v>53</v>
      </c>
      <c r="AD1020" t="s">
        <v>53</v>
      </c>
      <c r="AK1020">
        <v>0</v>
      </c>
      <c r="AU1020" s="3">
        <v>42487</v>
      </c>
      <c r="AV1020" s="3">
        <v>42487</v>
      </c>
      <c r="AW1020" t="s">
        <v>54</v>
      </c>
      <c r="AX1020" t="str">
        <f t="shared" si="130"/>
        <v>FOR</v>
      </c>
      <c r="AY1020" t="s">
        <v>55</v>
      </c>
    </row>
    <row r="1021" spans="1:51">
      <c r="A1021">
        <v>100879</v>
      </c>
      <c r="B1021" t="s">
        <v>167</v>
      </c>
      <c r="C1021" t="str">
        <f t="shared" si="128"/>
        <v>01354901215</v>
      </c>
      <c r="D1021" t="str">
        <f t="shared" si="129"/>
        <v>04720630633</v>
      </c>
      <c r="E1021" t="s">
        <v>52</v>
      </c>
      <c r="F1021">
        <v>2015</v>
      </c>
      <c r="G1021" t="str">
        <f>"              7617/W"</f>
        <v xml:space="preserve">              7617/W</v>
      </c>
      <c r="H1021" s="3">
        <v>42317</v>
      </c>
      <c r="I1021" s="3">
        <v>42318</v>
      </c>
      <c r="J1021" s="3">
        <v>42318</v>
      </c>
      <c r="K1021" s="3">
        <v>42378</v>
      </c>
      <c r="L1021" s="1">
        <v>325</v>
      </c>
      <c r="M1021">
        <v>109</v>
      </c>
      <c r="N1021" s="5">
        <v>35425</v>
      </c>
      <c r="O1021">
        <v>325</v>
      </c>
      <c r="P1021">
        <v>109</v>
      </c>
      <c r="Q1021" s="4">
        <v>35425</v>
      </c>
      <c r="R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 s="3">
        <v>42562</v>
      </c>
      <c r="AC1021" t="s">
        <v>53</v>
      </c>
      <c r="AD1021" t="s">
        <v>53</v>
      </c>
      <c r="AK1021">
        <v>0</v>
      </c>
      <c r="AU1021" s="3">
        <v>42487</v>
      </c>
      <c r="AV1021" s="3">
        <v>42487</v>
      </c>
      <c r="AW1021" t="s">
        <v>54</v>
      </c>
      <c r="AX1021" t="str">
        <f t="shared" si="130"/>
        <v>FOR</v>
      </c>
      <c r="AY1021" t="s">
        <v>55</v>
      </c>
    </row>
    <row r="1022" spans="1:51">
      <c r="A1022">
        <v>100879</v>
      </c>
      <c r="B1022" t="s">
        <v>167</v>
      </c>
      <c r="C1022" t="str">
        <f t="shared" si="128"/>
        <v>01354901215</v>
      </c>
      <c r="D1022" t="str">
        <f t="shared" si="129"/>
        <v>04720630633</v>
      </c>
      <c r="E1022" t="s">
        <v>52</v>
      </c>
      <c r="F1022">
        <v>2015</v>
      </c>
      <c r="G1022" t="str">
        <f>"              7787/W"</f>
        <v xml:space="preserve">              7787/W</v>
      </c>
      <c r="H1022" s="3">
        <v>42320</v>
      </c>
      <c r="I1022" s="3">
        <v>42326</v>
      </c>
      <c r="J1022" s="3">
        <v>42324</v>
      </c>
      <c r="K1022" s="3">
        <v>42384</v>
      </c>
      <c r="L1022" s="1">
        <v>668</v>
      </c>
      <c r="M1022">
        <v>103</v>
      </c>
      <c r="N1022" s="5">
        <v>68804</v>
      </c>
      <c r="O1022">
        <v>668</v>
      </c>
      <c r="P1022">
        <v>103</v>
      </c>
      <c r="Q1022" s="4">
        <v>68804</v>
      </c>
      <c r="R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 s="3">
        <v>42562</v>
      </c>
      <c r="AC1022" t="s">
        <v>53</v>
      </c>
      <c r="AD1022" t="s">
        <v>53</v>
      </c>
      <c r="AK1022">
        <v>0</v>
      </c>
      <c r="AU1022" s="3">
        <v>42487</v>
      </c>
      <c r="AV1022" s="3">
        <v>42487</v>
      </c>
      <c r="AW1022" t="s">
        <v>54</v>
      </c>
      <c r="AX1022" t="str">
        <f t="shared" si="130"/>
        <v>FOR</v>
      </c>
      <c r="AY1022" t="s">
        <v>55</v>
      </c>
    </row>
    <row r="1023" spans="1:51">
      <c r="A1023">
        <v>100879</v>
      </c>
      <c r="B1023" t="s">
        <v>167</v>
      </c>
      <c r="C1023" t="str">
        <f t="shared" si="128"/>
        <v>01354901215</v>
      </c>
      <c r="D1023" t="str">
        <f t="shared" si="129"/>
        <v>04720630633</v>
      </c>
      <c r="E1023" t="s">
        <v>52</v>
      </c>
      <c r="F1023">
        <v>2015</v>
      </c>
      <c r="G1023" t="str">
        <f>"              7884/W"</f>
        <v xml:space="preserve">              7884/W</v>
      </c>
      <c r="H1023" s="3">
        <v>42324</v>
      </c>
      <c r="I1023" s="3">
        <v>42327</v>
      </c>
      <c r="J1023" s="3">
        <v>42326</v>
      </c>
      <c r="K1023" s="3">
        <v>42386</v>
      </c>
      <c r="L1023" s="1">
        <v>770</v>
      </c>
      <c r="M1023">
        <v>101</v>
      </c>
      <c r="N1023" s="5">
        <v>77770</v>
      </c>
      <c r="O1023">
        <v>770</v>
      </c>
      <c r="P1023">
        <v>101</v>
      </c>
      <c r="Q1023" s="4">
        <v>77770</v>
      </c>
      <c r="R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0</v>
      </c>
      <c r="AB1023" s="3">
        <v>42562</v>
      </c>
      <c r="AC1023" t="s">
        <v>53</v>
      </c>
      <c r="AD1023" t="s">
        <v>53</v>
      </c>
      <c r="AK1023">
        <v>0</v>
      </c>
      <c r="AU1023" s="3">
        <v>42487</v>
      </c>
      <c r="AV1023" s="3">
        <v>42487</v>
      </c>
      <c r="AW1023" t="s">
        <v>54</v>
      </c>
      <c r="AX1023" t="str">
        <f t="shared" si="130"/>
        <v>FOR</v>
      </c>
      <c r="AY1023" t="s">
        <v>55</v>
      </c>
    </row>
    <row r="1024" spans="1:51">
      <c r="A1024">
        <v>100879</v>
      </c>
      <c r="B1024" t="s">
        <v>167</v>
      </c>
      <c r="C1024" t="str">
        <f t="shared" si="128"/>
        <v>01354901215</v>
      </c>
      <c r="D1024" t="str">
        <f t="shared" si="129"/>
        <v>04720630633</v>
      </c>
      <c r="E1024" t="s">
        <v>52</v>
      </c>
      <c r="F1024">
        <v>2015</v>
      </c>
      <c r="G1024" t="str">
        <f>"              7885/W"</f>
        <v xml:space="preserve">              7885/W</v>
      </c>
      <c r="H1024" s="3">
        <v>42324</v>
      </c>
      <c r="I1024" s="3">
        <v>42327</v>
      </c>
      <c r="J1024" s="3">
        <v>42326</v>
      </c>
      <c r="K1024" s="3">
        <v>42386</v>
      </c>
      <c r="L1024" s="1">
        <v>402</v>
      </c>
      <c r="M1024">
        <v>134</v>
      </c>
      <c r="N1024" s="5">
        <v>53868</v>
      </c>
      <c r="O1024">
        <v>402</v>
      </c>
      <c r="P1024">
        <v>134</v>
      </c>
      <c r="Q1024" s="4">
        <v>53868</v>
      </c>
      <c r="R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0</v>
      </c>
      <c r="AB1024" s="3">
        <v>42562</v>
      </c>
      <c r="AC1024" t="s">
        <v>53</v>
      </c>
      <c r="AD1024" t="s">
        <v>53</v>
      </c>
      <c r="AK1024">
        <v>0</v>
      </c>
      <c r="AU1024" s="3">
        <v>42520</v>
      </c>
      <c r="AV1024" s="3">
        <v>42520</v>
      </c>
      <c r="AW1024" t="s">
        <v>54</v>
      </c>
      <c r="AX1024" t="str">
        <f t="shared" si="130"/>
        <v>FOR</v>
      </c>
      <c r="AY1024" t="s">
        <v>55</v>
      </c>
    </row>
    <row r="1025" spans="1:51">
      <c r="A1025">
        <v>100879</v>
      </c>
      <c r="B1025" t="s">
        <v>167</v>
      </c>
      <c r="C1025" t="str">
        <f t="shared" si="128"/>
        <v>01354901215</v>
      </c>
      <c r="D1025" t="str">
        <f t="shared" si="129"/>
        <v>04720630633</v>
      </c>
      <c r="E1025" t="s">
        <v>52</v>
      </c>
      <c r="F1025">
        <v>2015</v>
      </c>
      <c r="G1025" t="str">
        <f>"              8162/W"</f>
        <v xml:space="preserve">              8162/W</v>
      </c>
      <c r="H1025" s="3">
        <v>42331</v>
      </c>
      <c r="I1025" s="3">
        <v>42333</v>
      </c>
      <c r="J1025" s="3">
        <v>42332</v>
      </c>
      <c r="K1025" s="3">
        <v>42392</v>
      </c>
      <c r="L1025" s="1">
        <v>121</v>
      </c>
      <c r="M1025">
        <v>128</v>
      </c>
      <c r="N1025" s="5">
        <v>15488</v>
      </c>
      <c r="O1025">
        <v>121</v>
      </c>
      <c r="P1025">
        <v>128</v>
      </c>
      <c r="Q1025" s="4">
        <v>15488</v>
      </c>
      <c r="R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0</v>
      </c>
      <c r="AB1025" s="3">
        <v>42562</v>
      </c>
      <c r="AC1025" t="s">
        <v>53</v>
      </c>
      <c r="AD1025" t="s">
        <v>53</v>
      </c>
      <c r="AK1025">
        <v>0</v>
      </c>
      <c r="AU1025" s="3">
        <v>42520</v>
      </c>
      <c r="AV1025" s="3">
        <v>42520</v>
      </c>
      <c r="AW1025" t="s">
        <v>54</v>
      </c>
      <c r="AX1025" t="str">
        <f t="shared" si="130"/>
        <v>FOR</v>
      </c>
      <c r="AY1025" t="s">
        <v>55</v>
      </c>
    </row>
    <row r="1026" spans="1:51">
      <c r="A1026">
        <v>100879</v>
      </c>
      <c r="B1026" t="s">
        <v>167</v>
      </c>
      <c r="C1026" t="str">
        <f t="shared" si="128"/>
        <v>01354901215</v>
      </c>
      <c r="D1026" t="str">
        <f t="shared" si="129"/>
        <v>04720630633</v>
      </c>
      <c r="E1026" t="s">
        <v>52</v>
      </c>
      <c r="F1026">
        <v>2015</v>
      </c>
      <c r="G1026" t="str">
        <f>"              8163/W"</f>
        <v xml:space="preserve">              8163/W</v>
      </c>
      <c r="H1026" s="3">
        <v>42331</v>
      </c>
      <c r="I1026" s="3">
        <v>42333</v>
      </c>
      <c r="J1026" s="3">
        <v>42332</v>
      </c>
      <c r="K1026" s="3">
        <v>42392</v>
      </c>
      <c r="L1026" s="1">
        <v>25.83</v>
      </c>
      <c r="M1026">
        <v>128</v>
      </c>
      <c r="N1026" s="5">
        <v>3306.24</v>
      </c>
      <c r="O1026">
        <v>25.83</v>
      </c>
      <c r="P1026">
        <v>128</v>
      </c>
      <c r="Q1026" s="4">
        <v>3306.24</v>
      </c>
      <c r="R1026">
        <v>0</v>
      </c>
      <c r="V1026">
        <v>0</v>
      </c>
      <c r="W1026">
        <v>0</v>
      </c>
      <c r="X1026">
        <v>0</v>
      </c>
      <c r="Y1026">
        <v>0</v>
      </c>
      <c r="Z1026">
        <v>0</v>
      </c>
      <c r="AA1026">
        <v>0</v>
      </c>
      <c r="AB1026" s="3">
        <v>42562</v>
      </c>
      <c r="AC1026" t="s">
        <v>53</v>
      </c>
      <c r="AD1026" t="s">
        <v>53</v>
      </c>
      <c r="AK1026">
        <v>0</v>
      </c>
      <c r="AU1026" s="3">
        <v>42520</v>
      </c>
      <c r="AV1026" s="3">
        <v>42520</v>
      </c>
      <c r="AW1026" t="s">
        <v>54</v>
      </c>
      <c r="AX1026" t="str">
        <f t="shared" si="130"/>
        <v>FOR</v>
      </c>
      <c r="AY1026" t="s">
        <v>55</v>
      </c>
    </row>
    <row r="1027" spans="1:51">
      <c r="A1027">
        <v>100879</v>
      </c>
      <c r="B1027" t="s">
        <v>167</v>
      </c>
      <c r="C1027" t="str">
        <f t="shared" si="128"/>
        <v>01354901215</v>
      </c>
      <c r="D1027" t="str">
        <f t="shared" si="129"/>
        <v>04720630633</v>
      </c>
      <c r="E1027" t="s">
        <v>52</v>
      </c>
      <c r="F1027">
        <v>2015</v>
      </c>
      <c r="G1027" t="str">
        <f>"              8164/W"</f>
        <v xml:space="preserve">              8164/W</v>
      </c>
      <c r="H1027" s="3">
        <v>42331</v>
      </c>
      <c r="I1027" s="3">
        <v>42333</v>
      </c>
      <c r="J1027" s="3">
        <v>42332</v>
      </c>
      <c r="K1027" s="3">
        <v>42392</v>
      </c>
      <c r="L1027" s="1">
        <v>332</v>
      </c>
      <c r="M1027">
        <v>128</v>
      </c>
      <c r="N1027" s="5">
        <v>42496</v>
      </c>
      <c r="O1027">
        <v>332</v>
      </c>
      <c r="P1027">
        <v>128</v>
      </c>
      <c r="Q1027" s="4">
        <v>42496</v>
      </c>
      <c r="R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0</v>
      </c>
      <c r="AB1027" s="3">
        <v>42562</v>
      </c>
      <c r="AC1027" t="s">
        <v>53</v>
      </c>
      <c r="AD1027" t="s">
        <v>53</v>
      </c>
      <c r="AK1027">
        <v>0</v>
      </c>
      <c r="AU1027" s="3">
        <v>42520</v>
      </c>
      <c r="AV1027" s="3">
        <v>42520</v>
      </c>
      <c r="AW1027" t="s">
        <v>54</v>
      </c>
      <c r="AX1027" t="str">
        <f t="shared" si="130"/>
        <v>FOR</v>
      </c>
      <c r="AY1027" t="s">
        <v>55</v>
      </c>
    </row>
    <row r="1028" spans="1:51">
      <c r="A1028">
        <v>100879</v>
      </c>
      <c r="B1028" t="s">
        <v>167</v>
      </c>
      <c r="C1028" t="str">
        <f t="shared" si="128"/>
        <v>01354901215</v>
      </c>
      <c r="D1028" t="str">
        <f t="shared" si="129"/>
        <v>04720630633</v>
      </c>
      <c r="E1028" t="s">
        <v>52</v>
      </c>
      <c r="F1028">
        <v>2015</v>
      </c>
      <c r="G1028" t="str">
        <f>"              8165/W"</f>
        <v xml:space="preserve">              8165/W</v>
      </c>
      <c r="H1028" s="3">
        <v>42331</v>
      </c>
      <c r="I1028" s="3">
        <v>42333</v>
      </c>
      <c r="J1028" s="3">
        <v>42332</v>
      </c>
      <c r="K1028" s="3">
        <v>42392</v>
      </c>
      <c r="L1028" s="1">
        <v>83</v>
      </c>
      <c r="M1028">
        <v>128</v>
      </c>
      <c r="N1028" s="5">
        <v>10624</v>
      </c>
      <c r="O1028">
        <v>83</v>
      </c>
      <c r="P1028">
        <v>128</v>
      </c>
      <c r="Q1028" s="4">
        <v>10624</v>
      </c>
      <c r="R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 s="3">
        <v>42562</v>
      </c>
      <c r="AC1028" t="s">
        <v>53</v>
      </c>
      <c r="AD1028" t="s">
        <v>53</v>
      </c>
      <c r="AK1028">
        <v>0</v>
      </c>
      <c r="AU1028" s="3">
        <v>42520</v>
      </c>
      <c r="AV1028" s="3">
        <v>42520</v>
      </c>
      <c r="AW1028" t="s">
        <v>54</v>
      </c>
      <c r="AX1028" t="str">
        <f t="shared" si="130"/>
        <v>FOR</v>
      </c>
      <c r="AY1028" t="s">
        <v>55</v>
      </c>
    </row>
    <row r="1029" spans="1:51">
      <c r="A1029">
        <v>100879</v>
      </c>
      <c r="B1029" t="s">
        <v>167</v>
      </c>
      <c r="C1029" t="str">
        <f t="shared" si="128"/>
        <v>01354901215</v>
      </c>
      <c r="D1029" t="str">
        <f t="shared" si="129"/>
        <v>04720630633</v>
      </c>
      <c r="E1029" t="s">
        <v>52</v>
      </c>
      <c r="F1029">
        <v>2015</v>
      </c>
      <c r="G1029" t="str">
        <f>"              8496/W"</f>
        <v xml:space="preserve">              8496/W</v>
      </c>
      <c r="H1029" s="3">
        <v>42338</v>
      </c>
      <c r="I1029" s="3">
        <v>42341</v>
      </c>
      <c r="J1029" s="3">
        <v>42340</v>
      </c>
      <c r="K1029" s="3">
        <v>42400</v>
      </c>
      <c r="L1029" s="5">
        <v>1838.2</v>
      </c>
      <c r="M1029">
        <v>120</v>
      </c>
      <c r="N1029" s="5">
        <v>220584</v>
      </c>
      <c r="O1029" s="4">
        <v>1838.2</v>
      </c>
      <c r="P1029">
        <v>120</v>
      </c>
      <c r="Q1029" s="4">
        <v>220584</v>
      </c>
      <c r="R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 s="3">
        <v>42562</v>
      </c>
      <c r="AC1029" t="s">
        <v>53</v>
      </c>
      <c r="AD1029" t="s">
        <v>53</v>
      </c>
      <c r="AK1029">
        <v>0</v>
      </c>
      <c r="AU1029" s="3">
        <v>42520</v>
      </c>
      <c r="AV1029" s="3">
        <v>42520</v>
      </c>
      <c r="AW1029" t="s">
        <v>54</v>
      </c>
      <c r="AX1029" t="str">
        <f t="shared" si="130"/>
        <v>FOR</v>
      </c>
      <c r="AY1029" t="s">
        <v>55</v>
      </c>
    </row>
    <row r="1030" spans="1:51">
      <c r="A1030">
        <v>100879</v>
      </c>
      <c r="B1030" t="s">
        <v>167</v>
      </c>
      <c r="C1030" t="str">
        <f t="shared" si="128"/>
        <v>01354901215</v>
      </c>
      <c r="D1030" t="str">
        <f t="shared" si="129"/>
        <v>04720630633</v>
      </c>
      <c r="E1030" t="s">
        <v>52</v>
      </c>
      <c r="F1030">
        <v>2015</v>
      </c>
      <c r="G1030" t="str">
        <f>"              8497/W"</f>
        <v xml:space="preserve">              8497/W</v>
      </c>
      <c r="H1030" s="3">
        <v>42338</v>
      </c>
      <c r="I1030" s="3">
        <v>42341</v>
      </c>
      <c r="J1030" s="3">
        <v>42340</v>
      </c>
      <c r="K1030" s="3">
        <v>42400</v>
      </c>
      <c r="L1030" s="1">
        <v>181.8</v>
      </c>
      <c r="M1030">
        <v>120</v>
      </c>
      <c r="N1030" s="5">
        <v>21816</v>
      </c>
      <c r="O1030">
        <v>181.8</v>
      </c>
      <c r="P1030">
        <v>120</v>
      </c>
      <c r="Q1030" s="4">
        <v>21816</v>
      </c>
      <c r="R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0</v>
      </c>
      <c r="AB1030" s="3">
        <v>42562</v>
      </c>
      <c r="AC1030" t="s">
        <v>53</v>
      </c>
      <c r="AD1030" t="s">
        <v>53</v>
      </c>
      <c r="AK1030">
        <v>0</v>
      </c>
      <c r="AU1030" s="3">
        <v>42520</v>
      </c>
      <c r="AV1030" s="3">
        <v>42520</v>
      </c>
      <c r="AW1030" t="s">
        <v>54</v>
      </c>
      <c r="AX1030" t="str">
        <f t="shared" si="130"/>
        <v>FOR</v>
      </c>
      <c r="AY1030" t="s">
        <v>55</v>
      </c>
    </row>
    <row r="1031" spans="1:51">
      <c r="A1031">
        <v>100879</v>
      </c>
      <c r="B1031" t="s">
        <v>167</v>
      </c>
      <c r="C1031" t="str">
        <f t="shared" si="128"/>
        <v>01354901215</v>
      </c>
      <c r="D1031" t="str">
        <f t="shared" si="129"/>
        <v>04720630633</v>
      </c>
      <c r="E1031" t="s">
        <v>52</v>
      </c>
      <c r="F1031">
        <v>2016</v>
      </c>
      <c r="G1031" t="str">
        <f>"                31/J"</f>
        <v xml:space="preserve">                31/J</v>
      </c>
      <c r="H1031" s="3">
        <v>42451</v>
      </c>
      <c r="I1031" s="3">
        <v>42460</v>
      </c>
      <c r="J1031" s="3">
        <v>42451</v>
      </c>
      <c r="K1031" s="3">
        <v>42511</v>
      </c>
      <c r="L1031" s="1">
        <v>878.52</v>
      </c>
      <c r="M1031">
        <v>-46</v>
      </c>
      <c r="N1031" s="5">
        <v>-40411.919999999998</v>
      </c>
      <c r="O1031">
        <v>878.52</v>
      </c>
      <c r="P1031">
        <v>-46</v>
      </c>
      <c r="Q1031" s="4">
        <v>-40411.919999999998</v>
      </c>
      <c r="R1031">
        <v>0</v>
      </c>
      <c r="V1031">
        <v>0</v>
      </c>
      <c r="W1031">
        <v>0</v>
      </c>
      <c r="X1031">
        <v>0</v>
      </c>
      <c r="Y1031">
        <v>878.52</v>
      </c>
      <c r="Z1031">
        <v>878.52</v>
      </c>
      <c r="AA1031">
        <v>878.52</v>
      </c>
      <c r="AB1031" s="3">
        <v>42562</v>
      </c>
      <c r="AC1031" t="s">
        <v>53</v>
      </c>
      <c r="AD1031" t="s">
        <v>53</v>
      </c>
      <c r="AK1031">
        <v>0</v>
      </c>
      <c r="AU1031" s="3">
        <v>42465</v>
      </c>
      <c r="AV1031" s="3">
        <v>42465</v>
      </c>
      <c r="AW1031" t="s">
        <v>54</v>
      </c>
      <c r="AX1031" t="str">
        <f t="shared" si="130"/>
        <v>FOR</v>
      </c>
      <c r="AY1031" t="s">
        <v>55</v>
      </c>
    </row>
    <row r="1032" spans="1:51" hidden="1">
      <c r="A1032">
        <v>100905</v>
      </c>
      <c r="B1032" t="s">
        <v>168</v>
      </c>
      <c r="C1032" t="str">
        <f>"09279340153"</f>
        <v>09279340153</v>
      </c>
      <c r="D1032" t="str">
        <f>"06614040159"</f>
        <v>06614040159</v>
      </c>
      <c r="E1032" t="s">
        <v>52</v>
      </c>
      <c r="F1032">
        <v>2015</v>
      </c>
      <c r="G1032" t="str">
        <f>"            15103050"</f>
        <v xml:space="preserve">            15103050</v>
      </c>
      <c r="H1032" s="3">
        <v>42149</v>
      </c>
      <c r="I1032" s="3">
        <v>42172</v>
      </c>
      <c r="J1032" s="3">
        <v>42171</v>
      </c>
      <c r="K1032" s="3">
        <v>42231</v>
      </c>
      <c r="L1032"/>
      <c r="N1032"/>
      <c r="O1032" s="4">
        <v>6400</v>
      </c>
      <c r="P1032">
        <v>221</v>
      </c>
      <c r="Q1032" s="4">
        <v>1414400</v>
      </c>
      <c r="R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 s="3">
        <v>42562</v>
      </c>
      <c r="AC1032" t="s">
        <v>53</v>
      </c>
      <c r="AD1032" t="s">
        <v>53</v>
      </c>
      <c r="AK1032">
        <v>0</v>
      </c>
      <c r="AU1032" s="3">
        <v>42452</v>
      </c>
      <c r="AV1032" s="3">
        <v>42452</v>
      </c>
      <c r="AW1032" t="s">
        <v>54</v>
      </c>
      <c r="AX1032" t="str">
        <f t="shared" si="130"/>
        <v>FOR</v>
      </c>
      <c r="AY1032" t="s">
        <v>55</v>
      </c>
    </row>
    <row r="1033" spans="1:51" hidden="1">
      <c r="A1033">
        <v>100905</v>
      </c>
      <c r="B1033" t="s">
        <v>168</v>
      </c>
      <c r="C1033" t="str">
        <f>"09279340153"</f>
        <v>09279340153</v>
      </c>
      <c r="D1033" t="str">
        <f>"06614040159"</f>
        <v>06614040159</v>
      </c>
      <c r="E1033" t="s">
        <v>52</v>
      </c>
      <c r="F1033">
        <v>2015</v>
      </c>
      <c r="G1033" t="str">
        <f>"            15103649"</f>
        <v xml:space="preserve">            15103649</v>
      </c>
      <c r="H1033" s="3">
        <v>42180</v>
      </c>
      <c r="I1033" s="3">
        <v>42195</v>
      </c>
      <c r="J1033" s="3">
        <v>42193</v>
      </c>
      <c r="K1033" s="3">
        <v>42253</v>
      </c>
      <c r="L1033"/>
      <c r="N1033"/>
      <c r="O1033">
        <v>940</v>
      </c>
      <c r="P1033">
        <v>199</v>
      </c>
      <c r="Q1033" s="4">
        <v>187060</v>
      </c>
      <c r="R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0</v>
      </c>
      <c r="AB1033" s="3">
        <v>42562</v>
      </c>
      <c r="AC1033" t="s">
        <v>53</v>
      </c>
      <c r="AD1033" t="s">
        <v>53</v>
      </c>
      <c r="AK1033">
        <v>0</v>
      </c>
      <c r="AU1033" s="3">
        <v>42452</v>
      </c>
      <c r="AV1033" s="3">
        <v>42452</v>
      </c>
      <c r="AW1033" t="s">
        <v>54</v>
      </c>
      <c r="AX1033" t="str">
        <f t="shared" si="130"/>
        <v>FOR</v>
      </c>
      <c r="AY1033" t="s">
        <v>55</v>
      </c>
    </row>
    <row r="1034" spans="1:51">
      <c r="A1034">
        <v>100905</v>
      </c>
      <c r="B1034" t="s">
        <v>168</v>
      </c>
      <c r="C1034" t="str">
        <f>"09279340153"</f>
        <v>09279340153</v>
      </c>
      <c r="D1034" t="str">
        <f>"06614040159"</f>
        <v>06614040159</v>
      </c>
      <c r="E1034" t="s">
        <v>52</v>
      </c>
      <c r="F1034">
        <v>2015</v>
      </c>
      <c r="G1034" t="str">
        <f>"            15103907"</f>
        <v xml:space="preserve">            15103907</v>
      </c>
      <c r="H1034" s="3">
        <v>42191</v>
      </c>
      <c r="I1034" s="3">
        <v>42207</v>
      </c>
      <c r="J1034" s="3">
        <v>42207</v>
      </c>
      <c r="K1034" s="3">
        <v>42267</v>
      </c>
      <c r="L1034" s="5">
        <v>6400</v>
      </c>
      <c r="M1034">
        <v>260</v>
      </c>
      <c r="N1034" s="5">
        <v>1664000</v>
      </c>
      <c r="O1034" s="4">
        <v>6400</v>
      </c>
      <c r="P1034">
        <v>260</v>
      </c>
      <c r="Q1034" s="4">
        <v>1664000</v>
      </c>
      <c r="R1034" s="4">
        <v>1408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0</v>
      </c>
      <c r="AB1034" s="3">
        <v>42562</v>
      </c>
      <c r="AC1034" t="s">
        <v>53</v>
      </c>
      <c r="AD1034" t="s">
        <v>53</v>
      </c>
      <c r="AK1034" s="4">
        <v>1408</v>
      </c>
      <c r="AU1034" s="3">
        <v>42527</v>
      </c>
      <c r="AV1034" s="3">
        <v>42527</v>
      </c>
      <c r="AW1034" t="s">
        <v>54</v>
      </c>
      <c r="AX1034" t="str">
        <f t="shared" si="130"/>
        <v>FOR</v>
      </c>
      <c r="AY1034" t="s">
        <v>55</v>
      </c>
    </row>
    <row r="1035" spans="1:51" hidden="1">
      <c r="A1035">
        <v>100906</v>
      </c>
      <c r="B1035" t="s">
        <v>169</v>
      </c>
      <c r="C1035" t="str">
        <f t="shared" ref="C1035:D1054" si="131">"06978161005"</f>
        <v>06978161005</v>
      </c>
      <c r="D1035" t="str">
        <f t="shared" si="131"/>
        <v>06978161005</v>
      </c>
      <c r="E1035" t="s">
        <v>52</v>
      </c>
      <c r="F1035">
        <v>2016</v>
      </c>
      <c r="G1035" t="str">
        <f>"                  40"</f>
        <v xml:space="preserve">                  40</v>
      </c>
      <c r="H1035" s="3">
        <v>42431</v>
      </c>
      <c r="I1035" s="3">
        <v>42431</v>
      </c>
      <c r="J1035" s="3">
        <v>42431</v>
      </c>
      <c r="K1035" s="3">
        <v>42491</v>
      </c>
      <c r="L1035"/>
      <c r="N1035"/>
      <c r="O1035" s="4">
        <v>14959.69</v>
      </c>
      <c r="P1035">
        <v>-55</v>
      </c>
      <c r="Q1035" s="4">
        <v>-822782.95</v>
      </c>
      <c r="R1035">
        <v>0</v>
      </c>
      <c r="V1035">
        <v>0</v>
      </c>
      <c r="W1035">
        <v>0</v>
      </c>
      <c r="X1035">
        <v>0</v>
      </c>
      <c r="Y1035" s="4">
        <v>14959.69</v>
      </c>
      <c r="Z1035" s="4">
        <v>14959.69</v>
      </c>
      <c r="AA1035" s="4">
        <v>14959.69</v>
      </c>
      <c r="AB1035" s="3">
        <v>42562</v>
      </c>
      <c r="AC1035" t="s">
        <v>53</v>
      </c>
      <c r="AD1035" t="s">
        <v>53</v>
      </c>
      <c r="AK1035">
        <v>0</v>
      </c>
      <c r="AU1035" s="3">
        <v>42436</v>
      </c>
      <c r="AV1035" s="3">
        <v>42436</v>
      </c>
      <c r="AW1035" t="s">
        <v>54</v>
      </c>
      <c r="AX1035" t="str">
        <f t="shared" si="130"/>
        <v>FOR</v>
      </c>
      <c r="AY1035" t="s">
        <v>55</v>
      </c>
    </row>
    <row r="1036" spans="1:51" hidden="1">
      <c r="A1036">
        <v>100906</v>
      </c>
      <c r="B1036" t="s">
        <v>169</v>
      </c>
      <c r="C1036" t="str">
        <f t="shared" si="131"/>
        <v>06978161005</v>
      </c>
      <c r="D1036" t="str">
        <f t="shared" si="131"/>
        <v>06978161005</v>
      </c>
      <c r="E1036" t="s">
        <v>52</v>
      </c>
      <c r="F1036">
        <v>2016</v>
      </c>
      <c r="G1036" t="str">
        <f>"                  41"</f>
        <v xml:space="preserve">                  41</v>
      </c>
      <c r="H1036" s="3">
        <v>42431</v>
      </c>
      <c r="I1036" s="3">
        <v>42431</v>
      </c>
      <c r="J1036" s="3">
        <v>42431</v>
      </c>
      <c r="K1036" s="3">
        <v>42491</v>
      </c>
      <c r="L1036"/>
      <c r="N1036"/>
      <c r="O1036" s="4">
        <v>14959.69</v>
      </c>
      <c r="P1036">
        <v>-55</v>
      </c>
      <c r="Q1036" s="4">
        <v>-822782.95</v>
      </c>
      <c r="R1036">
        <v>0</v>
      </c>
      <c r="V1036">
        <v>0</v>
      </c>
      <c r="W1036">
        <v>0</v>
      </c>
      <c r="X1036">
        <v>0</v>
      </c>
      <c r="Y1036" s="4">
        <v>14959.69</v>
      </c>
      <c r="Z1036" s="4">
        <v>14959.69</v>
      </c>
      <c r="AA1036" s="4">
        <v>14959.69</v>
      </c>
      <c r="AB1036" s="3">
        <v>42562</v>
      </c>
      <c r="AC1036" t="s">
        <v>53</v>
      </c>
      <c r="AD1036" t="s">
        <v>53</v>
      </c>
      <c r="AK1036">
        <v>0</v>
      </c>
      <c r="AU1036" s="3">
        <v>42436</v>
      </c>
      <c r="AV1036" s="3">
        <v>42436</v>
      </c>
      <c r="AW1036" t="s">
        <v>54</v>
      </c>
      <c r="AX1036" t="str">
        <f t="shared" si="130"/>
        <v>FOR</v>
      </c>
      <c r="AY1036" t="s">
        <v>55</v>
      </c>
    </row>
    <row r="1037" spans="1:51" hidden="1">
      <c r="A1037">
        <v>100906</v>
      </c>
      <c r="B1037" t="s">
        <v>169</v>
      </c>
      <c r="C1037" t="str">
        <f t="shared" si="131"/>
        <v>06978161005</v>
      </c>
      <c r="D1037" t="str">
        <f t="shared" si="131"/>
        <v>06978161005</v>
      </c>
      <c r="E1037" t="s">
        <v>52</v>
      </c>
      <c r="F1037">
        <v>2016</v>
      </c>
      <c r="G1037" t="str">
        <f>"                  42"</f>
        <v xml:space="preserve">                  42</v>
      </c>
      <c r="H1037" s="3">
        <v>42431</v>
      </c>
      <c r="I1037" s="3">
        <v>42431</v>
      </c>
      <c r="J1037" s="3">
        <v>42431</v>
      </c>
      <c r="K1037" s="3">
        <v>42491</v>
      </c>
      <c r="L1037"/>
      <c r="N1037"/>
      <c r="O1037" s="4">
        <v>14959</v>
      </c>
      <c r="P1037">
        <v>-55</v>
      </c>
      <c r="Q1037" s="4">
        <v>-822745</v>
      </c>
      <c r="R1037">
        <v>0</v>
      </c>
      <c r="V1037">
        <v>0</v>
      </c>
      <c r="W1037">
        <v>0</v>
      </c>
      <c r="X1037">
        <v>0</v>
      </c>
      <c r="Y1037" s="4">
        <v>14959</v>
      </c>
      <c r="Z1037" s="4">
        <v>14959</v>
      </c>
      <c r="AA1037" s="4">
        <v>14959</v>
      </c>
      <c r="AB1037" s="3">
        <v>42562</v>
      </c>
      <c r="AC1037" t="s">
        <v>53</v>
      </c>
      <c r="AD1037" t="s">
        <v>53</v>
      </c>
      <c r="AK1037">
        <v>0</v>
      </c>
      <c r="AU1037" s="3">
        <v>42436</v>
      </c>
      <c r="AV1037" s="3">
        <v>42436</v>
      </c>
      <c r="AW1037" t="s">
        <v>54</v>
      </c>
      <c r="AX1037" t="str">
        <f t="shared" si="130"/>
        <v>FOR</v>
      </c>
      <c r="AY1037" t="s">
        <v>55</v>
      </c>
    </row>
    <row r="1038" spans="1:51" hidden="1">
      <c r="A1038">
        <v>100906</v>
      </c>
      <c r="B1038" t="s">
        <v>169</v>
      </c>
      <c r="C1038" t="str">
        <f t="shared" si="131"/>
        <v>06978161005</v>
      </c>
      <c r="D1038" t="str">
        <f t="shared" si="131"/>
        <v>06978161005</v>
      </c>
      <c r="E1038" t="s">
        <v>52</v>
      </c>
      <c r="F1038">
        <v>2016</v>
      </c>
      <c r="G1038" t="str">
        <f>"                  43"</f>
        <v xml:space="preserve">                  43</v>
      </c>
      <c r="H1038" s="3">
        <v>42431</v>
      </c>
      <c r="I1038" s="3">
        <v>42431</v>
      </c>
      <c r="J1038" s="3">
        <v>42431</v>
      </c>
      <c r="K1038" s="3">
        <v>42491</v>
      </c>
      <c r="L1038"/>
      <c r="N1038"/>
      <c r="O1038" s="4">
        <v>14959</v>
      </c>
      <c r="P1038">
        <v>-55</v>
      </c>
      <c r="Q1038" s="4">
        <v>-822745</v>
      </c>
      <c r="R1038">
        <v>0</v>
      </c>
      <c r="V1038">
        <v>0</v>
      </c>
      <c r="W1038">
        <v>0</v>
      </c>
      <c r="X1038">
        <v>0</v>
      </c>
      <c r="Y1038" s="4">
        <v>14959</v>
      </c>
      <c r="Z1038" s="4">
        <v>14959</v>
      </c>
      <c r="AA1038" s="4">
        <v>14959</v>
      </c>
      <c r="AB1038" s="3">
        <v>42562</v>
      </c>
      <c r="AC1038" t="s">
        <v>53</v>
      </c>
      <c r="AD1038" t="s">
        <v>53</v>
      </c>
      <c r="AK1038">
        <v>0</v>
      </c>
      <c r="AU1038" s="3">
        <v>42436</v>
      </c>
      <c r="AV1038" s="3">
        <v>42436</v>
      </c>
      <c r="AW1038" t="s">
        <v>54</v>
      </c>
      <c r="AX1038" t="str">
        <f t="shared" si="130"/>
        <v>FOR</v>
      </c>
      <c r="AY1038" t="s">
        <v>55</v>
      </c>
    </row>
    <row r="1039" spans="1:51" hidden="1">
      <c r="A1039">
        <v>100906</v>
      </c>
      <c r="B1039" t="s">
        <v>169</v>
      </c>
      <c r="C1039" t="str">
        <f t="shared" si="131"/>
        <v>06978161005</v>
      </c>
      <c r="D1039" t="str">
        <f t="shared" si="131"/>
        <v>06978161005</v>
      </c>
      <c r="E1039" t="s">
        <v>52</v>
      </c>
      <c r="F1039">
        <v>2016</v>
      </c>
      <c r="G1039" t="str">
        <f>"                  44"</f>
        <v xml:space="preserve">                  44</v>
      </c>
      <c r="H1039" s="3">
        <v>42431</v>
      </c>
      <c r="I1039" s="3">
        <v>42431</v>
      </c>
      <c r="J1039" s="3">
        <v>42431</v>
      </c>
      <c r="K1039" s="3">
        <v>42491</v>
      </c>
      <c r="L1039"/>
      <c r="N1039"/>
      <c r="O1039">
        <v>75.319999999999993</v>
      </c>
      <c r="P1039">
        <v>-55</v>
      </c>
      <c r="Q1039" s="4">
        <v>-4142.6000000000004</v>
      </c>
      <c r="R1039">
        <v>0</v>
      </c>
      <c r="V1039">
        <v>0</v>
      </c>
      <c r="W1039">
        <v>0</v>
      </c>
      <c r="X1039">
        <v>0</v>
      </c>
      <c r="Y1039">
        <v>75.319999999999993</v>
      </c>
      <c r="Z1039">
        <v>75.319999999999993</v>
      </c>
      <c r="AA1039">
        <v>75.319999999999993</v>
      </c>
      <c r="AB1039" s="3">
        <v>42562</v>
      </c>
      <c r="AC1039" t="s">
        <v>53</v>
      </c>
      <c r="AD1039" t="s">
        <v>53</v>
      </c>
      <c r="AK1039">
        <v>0</v>
      </c>
      <c r="AU1039" s="3">
        <v>42436</v>
      </c>
      <c r="AV1039" s="3">
        <v>42436</v>
      </c>
      <c r="AW1039" t="s">
        <v>54</v>
      </c>
      <c r="AX1039" t="str">
        <f t="shared" si="130"/>
        <v>FOR</v>
      </c>
      <c r="AY1039" t="s">
        <v>55</v>
      </c>
    </row>
    <row r="1040" spans="1:51" hidden="1">
      <c r="A1040">
        <v>100906</v>
      </c>
      <c r="B1040" t="s">
        <v>169</v>
      </c>
      <c r="C1040" t="str">
        <f t="shared" si="131"/>
        <v>06978161005</v>
      </c>
      <c r="D1040" t="str">
        <f t="shared" si="131"/>
        <v>06978161005</v>
      </c>
      <c r="E1040" t="s">
        <v>52</v>
      </c>
      <c r="F1040">
        <v>2016</v>
      </c>
      <c r="G1040" t="str">
        <f>"                  45"</f>
        <v xml:space="preserve">                  45</v>
      </c>
      <c r="H1040" s="3">
        <v>42431</v>
      </c>
      <c r="I1040" s="3">
        <v>42431</v>
      </c>
      <c r="J1040" s="3">
        <v>42431</v>
      </c>
      <c r="K1040" s="3">
        <v>42491</v>
      </c>
      <c r="L1040"/>
      <c r="N1040"/>
      <c r="O1040">
        <v>90</v>
      </c>
      <c r="P1040">
        <v>-55</v>
      </c>
      <c r="Q1040" s="4">
        <v>-4950</v>
      </c>
      <c r="R1040">
        <v>0</v>
      </c>
      <c r="V1040">
        <v>0</v>
      </c>
      <c r="W1040">
        <v>0</v>
      </c>
      <c r="X1040">
        <v>0</v>
      </c>
      <c r="Y1040">
        <v>90</v>
      </c>
      <c r="Z1040">
        <v>90</v>
      </c>
      <c r="AA1040">
        <v>90</v>
      </c>
      <c r="AB1040" s="3">
        <v>42562</v>
      </c>
      <c r="AC1040" t="s">
        <v>53</v>
      </c>
      <c r="AD1040" t="s">
        <v>53</v>
      </c>
      <c r="AK1040">
        <v>0</v>
      </c>
      <c r="AU1040" s="3">
        <v>42436</v>
      </c>
      <c r="AV1040" s="3">
        <v>42436</v>
      </c>
      <c r="AW1040" t="s">
        <v>54</v>
      </c>
      <c r="AX1040" t="str">
        <f t="shared" si="130"/>
        <v>FOR</v>
      </c>
      <c r="AY1040" t="s">
        <v>55</v>
      </c>
    </row>
    <row r="1041" spans="1:51" hidden="1">
      <c r="A1041">
        <v>100906</v>
      </c>
      <c r="B1041" t="s">
        <v>169</v>
      </c>
      <c r="C1041" t="str">
        <f t="shared" si="131"/>
        <v>06978161005</v>
      </c>
      <c r="D1041" t="str">
        <f t="shared" si="131"/>
        <v>06978161005</v>
      </c>
      <c r="E1041" t="s">
        <v>52</v>
      </c>
      <c r="F1041">
        <v>2016</v>
      </c>
      <c r="G1041" t="str">
        <f>"                  46"</f>
        <v xml:space="preserve">                  46</v>
      </c>
      <c r="H1041" s="3">
        <v>42431</v>
      </c>
      <c r="I1041" s="3">
        <v>42431</v>
      </c>
      <c r="J1041" s="3">
        <v>42431</v>
      </c>
      <c r="K1041" s="3">
        <v>42491</v>
      </c>
      <c r="L1041"/>
      <c r="N1041"/>
      <c r="O1041">
        <v>120.66</v>
      </c>
      <c r="P1041">
        <v>-55</v>
      </c>
      <c r="Q1041" s="4">
        <v>-6636.3</v>
      </c>
      <c r="R1041">
        <v>0</v>
      </c>
      <c r="V1041">
        <v>0</v>
      </c>
      <c r="W1041">
        <v>0</v>
      </c>
      <c r="X1041">
        <v>0</v>
      </c>
      <c r="Y1041">
        <v>120.66</v>
      </c>
      <c r="Z1041">
        <v>120.66</v>
      </c>
      <c r="AA1041">
        <v>120.66</v>
      </c>
      <c r="AB1041" s="3">
        <v>42562</v>
      </c>
      <c r="AC1041" t="s">
        <v>53</v>
      </c>
      <c r="AD1041" t="s">
        <v>53</v>
      </c>
      <c r="AK1041">
        <v>0</v>
      </c>
      <c r="AU1041" s="3">
        <v>42436</v>
      </c>
      <c r="AV1041" s="3">
        <v>42436</v>
      </c>
      <c r="AW1041" t="s">
        <v>54</v>
      </c>
      <c r="AX1041" t="str">
        <f t="shared" si="130"/>
        <v>FOR</v>
      </c>
      <c r="AY1041" t="s">
        <v>55</v>
      </c>
    </row>
    <row r="1042" spans="1:51" hidden="1">
      <c r="A1042">
        <v>100906</v>
      </c>
      <c r="B1042" t="s">
        <v>169</v>
      </c>
      <c r="C1042" t="str">
        <f t="shared" si="131"/>
        <v>06978161005</v>
      </c>
      <c r="D1042" t="str">
        <f t="shared" si="131"/>
        <v>06978161005</v>
      </c>
      <c r="E1042" t="s">
        <v>52</v>
      </c>
      <c r="F1042">
        <v>2016</v>
      </c>
      <c r="G1042" t="str">
        <f>"                  47"</f>
        <v xml:space="preserve">                  47</v>
      </c>
      <c r="H1042" s="3">
        <v>42431</v>
      </c>
      <c r="I1042" s="3">
        <v>42431</v>
      </c>
      <c r="J1042" s="3">
        <v>42431</v>
      </c>
      <c r="K1042" s="3">
        <v>42491</v>
      </c>
      <c r="L1042"/>
      <c r="N1042"/>
      <c r="O1042">
        <v>447.99</v>
      </c>
      <c r="P1042">
        <v>-55</v>
      </c>
      <c r="Q1042" s="4">
        <v>-24639.45</v>
      </c>
      <c r="R1042">
        <v>0</v>
      </c>
      <c r="V1042">
        <v>0</v>
      </c>
      <c r="W1042">
        <v>0</v>
      </c>
      <c r="X1042">
        <v>0</v>
      </c>
      <c r="Y1042">
        <v>447.99</v>
      </c>
      <c r="Z1042">
        <v>447.99</v>
      </c>
      <c r="AA1042">
        <v>447.99</v>
      </c>
      <c r="AB1042" s="3">
        <v>42562</v>
      </c>
      <c r="AC1042" t="s">
        <v>53</v>
      </c>
      <c r="AD1042" t="s">
        <v>53</v>
      </c>
      <c r="AK1042">
        <v>0</v>
      </c>
      <c r="AU1042" s="3">
        <v>42436</v>
      </c>
      <c r="AV1042" s="3">
        <v>42436</v>
      </c>
      <c r="AW1042" t="s">
        <v>54</v>
      </c>
      <c r="AX1042" t="str">
        <f t="shared" si="130"/>
        <v>FOR</v>
      </c>
      <c r="AY1042" t="s">
        <v>55</v>
      </c>
    </row>
    <row r="1043" spans="1:51" hidden="1">
      <c r="A1043">
        <v>100906</v>
      </c>
      <c r="B1043" t="s">
        <v>169</v>
      </c>
      <c r="C1043" t="str">
        <f t="shared" si="131"/>
        <v>06978161005</v>
      </c>
      <c r="D1043" t="str">
        <f t="shared" si="131"/>
        <v>06978161005</v>
      </c>
      <c r="E1043" t="s">
        <v>52</v>
      </c>
      <c r="F1043">
        <v>2016</v>
      </c>
      <c r="G1043" t="str">
        <f>"                  48"</f>
        <v xml:space="preserve">                  48</v>
      </c>
      <c r="H1043" s="3">
        <v>42431</v>
      </c>
      <c r="I1043" s="3">
        <v>42431</v>
      </c>
      <c r="J1043" s="3">
        <v>42431</v>
      </c>
      <c r="K1043" s="3">
        <v>42491</v>
      </c>
      <c r="L1043"/>
      <c r="N1043"/>
      <c r="O1043">
        <v>128.35</v>
      </c>
      <c r="P1043">
        <v>-55</v>
      </c>
      <c r="Q1043" s="4">
        <v>-7059.25</v>
      </c>
      <c r="R1043">
        <v>0</v>
      </c>
      <c r="V1043">
        <v>0</v>
      </c>
      <c r="W1043">
        <v>0</v>
      </c>
      <c r="X1043">
        <v>0</v>
      </c>
      <c r="Y1043">
        <v>128.35</v>
      </c>
      <c r="Z1043">
        <v>128.35</v>
      </c>
      <c r="AA1043">
        <v>128.35</v>
      </c>
      <c r="AB1043" s="3">
        <v>42562</v>
      </c>
      <c r="AC1043" t="s">
        <v>53</v>
      </c>
      <c r="AD1043" t="s">
        <v>53</v>
      </c>
      <c r="AK1043">
        <v>0</v>
      </c>
      <c r="AU1043" s="3">
        <v>42436</v>
      </c>
      <c r="AV1043" s="3">
        <v>42436</v>
      </c>
      <c r="AW1043" t="s">
        <v>54</v>
      </c>
      <c r="AX1043" t="str">
        <f t="shared" si="130"/>
        <v>FOR</v>
      </c>
      <c r="AY1043" t="s">
        <v>55</v>
      </c>
    </row>
    <row r="1044" spans="1:51" hidden="1">
      <c r="A1044">
        <v>100906</v>
      </c>
      <c r="B1044" t="s">
        <v>169</v>
      </c>
      <c r="C1044" t="str">
        <f t="shared" si="131"/>
        <v>06978161005</v>
      </c>
      <c r="D1044" t="str">
        <f t="shared" si="131"/>
        <v>06978161005</v>
      </c>
      <c r="E1044" t="s">
        <v>52</v>
      </c>
      <c r="F1044">
        <v>2016</v>
      </c>
      <c r="G1044" t="str">
        <f>"                  49"</f>
        <v xml:space="preserve">                  49</v>
      </c>
      <c r="H1044" s="3">
        <v>42431</v>
      </c>
      <c r="I1044" s="3">
        <v>42431</v>
      </c>
      <c r="J1044" s="3">
        <v>42431</v>
      </c>
      <c r="K1044" s="3">
        <v>42491</v>
      </c>
      <c r="L1044"/>
      <c r="N1044"/>
      <c r="O1044">
        <v>408.56</v>
      </c>
      <c r="P1044">
        <v>-55</v>
      </c>
      <c r="Q1044" s="4">
        <v>-22470.799999999999</v>
      </c>
      <c r="R1044">
        <v>0</v>
      </c>
      <c r="V1044">
        <v>0</v>
      </c>
      <c r="W1044">
        <v>0</v>
      </c>
      <c r="X1044">
        <v>0</v>
      </c>
      <c r="Y1044">
        <v>0</v>
      </c>
      <c r="Z1044">
        <v>408.56</v>
      </c>
      <c r="AA1044">
        <v>408.56</v>
      </c>
      <c r="AB1044" s="3">
        <v>42562</v>
      </c>
      <c r="AC1044" t="s">
        <v>53</v>
      </c>
      <c r="AD1044" t="s">
        <v>53</v>
      </c>
      <c r="AK1044">
        <v>0</v>
      </c>
      <c r="AU1044" s="3">
        <v>42436</v>
      </c>
      <c r="AV1044" s="3">
        <v>42436</v>
      </c>
      <c r="AW1044" t="s">
        <v>54</v>
      </c>
      <c r="AX1044" t="str">
        <f t="shared" si="130"/>
        <v>FOR</v>
      </c>
      <c r="AY1044" t="s">
        <v>55</v>
      </c>
    </row>
    <row r="1045" spans="1:51" hidden="1">
      <c r="A1045">
        <v>100906</v>
      </c>
      <c r="B1045" t="s">
        <v>169</v>
      </c>
      <c r="C1045" t="str">
        <f t="shared" si="131"/>
        <v>06978161005</v>
      </c>
      <c r="D1045" t="str">
        <f t="shared" si="131"/>
        <v>06978161005</v>
      </c>
      <c r="E1045" t="s">
        <v>52</v>
      </c>
      <c r="F1045">
        <v>2016</v>
      </c>
      <c r="G1045" t="str">
        <f>"                  50"</f>
        <v xml:space="preserve">                  50</v>
      </c>
      <c r="H1045" s="3">
        <v>42431</v>
      </c>
      <c r="I1045" s="3">
        <v>42431</v>
      </c>
      <c r="J1045" s="3">
        <v>42431</v>
      </c>
      <c r="K1045" s="3">
        <v>42491</v>
      </c>
      <c r="L1045"/>
      <c r="N1045"/>
      <c r="O1045">
        <v>105.37</v>
      </c>
      <c r="P1045">
        <v>-55</v>
      </c>
      <c r="Q1045" s="4">
        <v>-5795.35</v>
      </c>
      <c r="R1045">
        <v>0</v>
      </c>
      <c r="V1045">
        <v>0</v>
      </c>
      <c r="W1045">
        <v>0</v>
      </c>
      <c r="X1045">
        <v>0</v>
      </c>
      <c r="Y1045">
        <v>0</v>
      </c>
      <c r="Z1045">
        <v>105.37</v>
      </c>
      <c r="AA1045">
        <v>105.37</v>
      </c>
      <c r="AB1045" s="3">
        <v>42562</v>
      </c>
      <c r="AC1045" t="s">
        <v>53</v>
      </c>
      <c r="AD1045" t="s">
        <v>53</v>
      </c>
      <c r="AK1045">
        <v>0</v>
      </c>
      <c r="AU1045" s="3">
        <v>42436</v>
      </c>
      <c r="AV1045" s="3">
        <v>42436</v>
      </c>
      <c r="AW1045" t="s">
        <v>54</v>
      </c>
      <c r="AX1045" t="str">
        <f t="shared" si="130"/>
        <v>FOR</v>
      </c>
      <c r="AY1045" t="s">
        <v>55</v>
      </c>
    </row>
    <row r="1046" spans="1:51" hidden="1">
      <c r="A1046">
        <v>100906</v>
      </c>
      <c r="B1046" t="s">
        <v>169</v>
      </c>
      <c r="C1046" t="str">
        <f t="shared" si="131"/>
        <v>06978161005</v>
      </c>
      <c r="D1046" t="str">
        <f t="shared" si="131"/>
        <v>06978161005</v>
      </c>
      <c r="E1046" t="s">
        <v>52</v>
      </c>
      <c r="F1046">
        <v>2016</v>
      </c>
      <c r="G1046" t="str">
        <f>"                  51"</f>
        <v xml:space="preserve">                  51</v>
      </c>
      <c r="H1046" s="3">
        <v>42431</v>
      </c>
      <c r="I1046" s="3">
        <v>42431</v>
      </c>
      <c r="J1046" s="3">
        <v>42431</v>
      </c>
      <c r="K1046" s="3">
        <v>42491</v>
      </c>
      <c r="L1046"/>
      <c r="N1046"/>
      <c r="O1046">
        <v>131.76</v>
      </c>
      <c r="P1046">
        <v>-55</v>
      </c>
      <c r="Q1046" s="4">
        <v>-7246.8</v>
      </c>
      <c r="R1046">
        <v>0</v>
      </c>
      <c r="V1046">
        <v>0</v>
      </c>
      <c r="W1046">
        <v>0</v>
      </c>
      <c r="X1046">
        <v>0</v>
      </c>
      <c r="Y1046">
        <v>0</v>
      </c>
      <c r="Z1046">
        <v>131.76</v>
      </c>
      <c r="AA1046">
        <v>131.76</v>
      </c>
      <c r="AB1046" s="3">
        <v>42562</v>
      </c>
      <c r="AC1046" t="s">
        <v>53</v>
      </c>
      <c r="AD1046" t="s">
        <v>53</v>
      </c>
      <c r="AK1046">
        <v>0</v>
      </c>
      <c r="AU1046" s="3">
        <v>42436</v>
      </c>
      <c r="AV1046" s="3">
        <v>42436</v>
      </c>
      <c r="AW1046" t="s">
        <v>54</v>
      </c>
      <c r="AX1046" t="str">
        <f t="shared" si="130"/>
        <v>FOR</v>
      </c>
      <c r="AY1046" t="s">
        <v>55</v>
      </c>
    </row>
    <row r="1047" spans="1:51" hidden="1">
      <c r="A1047">
        <v>100906</v>
      </c>
      <c r="B1047" t="s">
        <v>169</v>
      </c>
      <c r="C1047" t="str">
        <f t="shared" si="131"/>
        <v>06978161005</v>
      </c>
      <c r="D1047" t="str">
        <f t="shared" si="131"/>
        <v>06978161005</v>
      </c>
      <c r="E1047" t="s">
        <v>52</v>
      </c>
      <c r="F1047">
        <v>2016</v>
      </c>
      <c r="G1047" t="str">
        <f>"                  52"</f>
        <v xml:space="preserve">                  52</v>
      </c>
      <c r="H1047" s="3">
        <v>42431</v>
      </c>
      <c r="I1047" s="3">
        <v>42431</v>
      </c>
      <c r="J1047" s="3">
        <v>42431</v>
      </c>
      <c r="K1047" s="3">
        <v>42491</v>
      </c>
      <c r="L1047"/>
      <c r="N1047"/>
      <c r="O1047">
        <v>2</v>
      </c>
      <c r="P1047">
        <v>-55</v>
      </c>
      <c r="Q1047">
        <v>-110</v>
      </c>
      <c r="R1047">
        <v>0</v>
      </c>
      <c r="V1047">
        <v>0</v>
      </c>
      <c r="W1047">
        <v>0</v>
      </c>
      <c r="X1047">
        <v>0</v>
      </c>
      <c r="Y1047">
        <v>2</v>
      </c>
      <c r="Z1047">
        <v>2</v>
      </c>
      <c r="AA1047">
        <v>2</v>
      </c>
      <c r="AB1047" s="3">
        <v>42562</v>
      </c>
      <c r="AC1047" t="s">
        <v>53</v>
      </c>
      <c r="AD1047" t="s">
        <v>53</v>
      </c>
      <c r="AK1047">
        <v>0</v>
      </c>
      <c r="AU1047" s="3">
        <v>42436</v>
      </c>
      <c r="AV1047" s="3">
        <v>42436</v>
      </c>
      <c r="AW1047" t="s">
        <v>54</v>
      </c>
      <c r="AX1047" t="str">
        <f t="shared" ref="AX1047:AX1078" si="132">"FOR"</f>
        <v>FOR</v>
      </c>
      <c r="AY1047" t="s">
        <v>55</v>
      </c>
    </row>
    <row r="1048" spans="1:51" hidden="1">
      <c r="A1048">
        <v>100906</v>
      </c>
      <c r="B1048" t="s">
        <v>169</v>
      </c>
      <c r="C1048" t="str">
        <f t="shared" si="131"/>
        <v>06978161005</v>
      </c>
      <c r="D1048" t="str">
        <f t="shared" si="131"/>
        <v>06978161005</v>
      </c>
      <c r="E1048" t="s">
        <v>52</v>
      </c>
      <c r="F1048">
        <v>2016</v>
      </c>
      <c r="G1048" t="str">
        <f>"                  53"</f>
        <v xml:space="preserve">                  53</v>
      </c>
      <c r="H1048" s="3">
        <v>42431</v>
      </c>
      <c r="I1048" s="3">
        <v>42431</v>
      </c>
      <c r="J1048" s="3">
        <v>42431</v>
      </c>
      <c r="K1048" s="3">
        <v>42491</v>
      </c>
      <c r="L1048"/>
      <c r="N1048"/>
      <c r="O1048">
        <v>74.89</v>
      </c>
      <c r="P1048">
        <v>-55</v>
      </c>
      <c r="Q1048" s="4">
        <v>-4118.95</v>
      </c>
      <c r="R1048">
        <v>0</v>
      </c>
      <c r="V1048">
        <v>0</v>
      </c>
      <c r="W1048">
        <v>0</v>
      </c>
      <c r="X1048">
        <v>0</v>
      </c>
      <c r="Y1048">
        <v>0</v>
      </c>
      <c r="Z1048">
        <v>74.89</v>
      </c>
      <c r="AA1048">
        <v>74.89</v>
      </c>
      <c r="AB1048" s="3">
        <v>42562</v>
      </c>
      <c r="AC1048" t="s">
        <v>53</v>
      </c>
      <c r="AD1048" t="s">
        <v>53</v>
      </c>
      <c r="AK1048">
        <v>0</v>
      </c>
      <c r="AU1048" s="3">
        <v>42436</v>
      </c>
      <c r="AV1048" s="3">
        <v>42436</v>
      </c>
      <c r="AW1048" t="s">
        <v>54</v>
      </c>
      <c r="AX1048" t="str">
        <f t="shared" si="132"/>
        <v>FOR</v>
      </c>
      <c r="AY1048" t="s">
        <v>55</v>
      </c>
    </row>
    <row r="1049" spans="1:51" hidden="1">
      <c r="A1049">
        <v>100906</v>
      </c>
      <c r="B1049" t="s">
        <v>169</v>
      </c>
      <c r="C1049" t="str">
        <f t="shared" si="131"/>
        <v>06978161005</v>
      </c>
      <c r="D1049" t="str">
        <f t="shared" si="131"/>
        <v>06978161005</v>
      </c>
      <c r="E1049" t="s">
        <v>52</v>
      </c>
      <c r="F1049">
        <v>2016</v>
      </c>
      <c r="G1049" t="str">
        <f>"                  54"</f>
        <v xml:space="preserve">                  54</v>
      </c>
      <c r="H1049" s="3">
        <v>42431</v>
      </c>
      <c r="I1049" s="3">
        <v>42431</v>
      </c>
      <c r="J1049" s="3">
        <v>42431</v>
      </c>
      <c r="K1049" s="3">
        <v>42491</v>
      </c>
      <c r="L1049"/>
      <c r="N1049"/>
      <c r="O1049">
        <v>782.05</v>
      </c>
      <c r="P1049">
        <v>-55</v>
      </c>
      <c r="Q1049" s="4">
        <v>-43012.75</v>
      </c>
      <c r="R1049">
        <v>0</v>
      </c>
      <c r="V1049">
        <v>0</v>
      </c>
      <c r="W1049">
        <v>0</v>
      </c>
      <c r="X1049">
        <v>0</v>
      </c>
      <c r="Y1049">
        <v>0</v>
      </c>
      <c r="Z1049">
        <v>782.05</v>
      </c>
      <c r="AA1049">
        <v>782.05</v>
      </c>
      <c r="AB1049" s="3">
        <v>42562</v>
      </c>
      <c r="AC1049" t="s">
        <v>53</v>
      </c>
      <c r="AD1049" t="s">
        <v>53</v>
      </c>
      <c r="AK1049">
        <v>0</v>
      </c>
      <c r="AU1049" s="3">
        <v>42436</v>
      </c>
      <c r="AV1049" s="3">
        <v>42436</v>
      </c>
      <c r="AW1049" t="s">
        <v>54</v>
      </c>
      <c r="AX1049" t="str">
        <f t="shared" si="132"/>
        <v>FOR</v>
      </c>
      <c r="AY1049" t="s">
        <v>55</v>
      </c>
    </row>
    <row r="1050" spans="1:51" hidden="1">
      <c r="A1050">
        <v>100906</v>
      </c>
      <c r="B1050" t="s">
        <v>169</v>
      </c>
      <c r="C1050" t="str">
        <f t="shared" si="131"/>
        <v>06978161005</v>
      </c>
      <c r="D1050" t="str">
        <f t="shared" si="131"/>
        <v>06978161005</v>
      </c>
      <c r="E1050" t="s">
        <v>52</v>
      </c>
      <c r="F1050">
        <v>2016</v>
      </c>
      <c r="G1050" t="str">
        <f>"                  55"</f>
        <v xml:space="preserve">                  55</v>
      </c>
      <c r="H1050" s="3">
        <v>42431</v>
      </c>
      <c r="I1050" s="3">
        <v>42431</v>
      </c>
      <c r="J1050" s="3">
        <v>42431</v>
      </c>
      <c r="K1050" s="3">
        <v>42491</v>
      </c>
      <c r="L1050"/>
      <c r="N1050"/>
      <c r="O1050">
        <v>174.59</v>
      </c>
      <c r="P1050">
        <v>-55</v>
      </c>
      <c r="Q1050" s="4">
        <v>-9602.4500000000007</v>
      </c>
      <c r="R1050">
        <v>0</v>
      </c>
      <c r="V1050">
        <v>0</v>
      </c>
      <c r="W1050">
        <v>0</v>
      </c>
      <c r="X1050">
        <v>0</v>
      </c>
      <c r="Y1050">
        <v>0</v>
      </c>
      <c r="Z1050">
        <v>174.59</v>
      </c>
      <c r="AA1050">
        <v>174.59</v>
      </c>
      <c r="AB1050" s="3">
        <v>42562</v>
      </c>
      <c r="AC1050" t="s">
        <v>53</v>
      </c>
      <c r="AD1050" t="s">
        <v>53</v>
      </c>
      <c r="AK1050">
        <v>0</v>
      </c>
      <c r="AU1050" s="3">
        <v>42436</v>
      </c>
      <c r="AV1050" s="3">
        <v>42436</v>
      </c>
      <c r="AW1050" t="s">
        <v>54</v>
      </c>
      <c r="AX1050" t="str">
        <f t="shared" si="132"/>
        <v>FOR</v>
      </c>
      <c r="AY1050" t="s">
        <v>55</v>
      </c>
    </row>
    <row r="1051" spans="1:51" hidden="1">
      <c r="A1051">
        <v>100906</v>
      </c>
      <c r="B1051" t="s">
        <v>169</v>
      </c>
      <c r="C1051" t="str">
        <f t="shared" si="131"/>
        <v>06978161005</v>
      </c>
      <c r="D1051" t="str">
        <f t="shared" si="131"/>
        <v>06978161005</v>
      </c>
      <c r="E1051" t="s">
        <v>52</v>
      </c>
      <c r="F1051">
        <v>2016</v>
      </c>
      <c r="G1051" t="str">
        <f>"                  56"</f>
        <v xml:space="preserve">                  56</v>
      </c>
      <c r="H1051" s="3">
        <v>42431</v>
      </c>
      <c r="I1051" s="3">
        <v>42431</v>
      </c>
      <c r="J1051" s="3">
        <v>42431</v>
      </c>
      <c r="K1051" s="3">
        <v>42491</v>
      </c>
      <c r="L1051"/>
      <c r="N1051"/>
      <c r="O1051">
        <v>90</v>
      </c>
      <c r="P1051">
        <v>-55</v>
      </c>
      <c r="Q1051" s="4">
        <v>-4950</v>
      </c>
      <c r="R1051">
        <v>0</v>
      </c>
      <c r="V1051">
        <v>0</v>
      </c>
      <c r="W1051">
        <v>0</v>
      </c>
      <c r="X1051">
        <v>0</v>
      </c>
      <c r="Y1051">
        <v>0</v>
      </c>
      <c r="Z1051">
        <v>90</v>
      </c>
      <c r="AA1051">
        <v>90</v>
      </c>
      <c r="AB1051" s="3">
        <v>42562</v>
      </c>
      <c r="AC1051" t="s">
        <v>53</v>
      </c>
      <c r="AD1051" t="s">
        <v>53</v>
      </c>
      <c r="AK1051">
        <v>0</v>
      </c>
      <c r="AU1051" s="3">
        <v>42436</v>
      </c>
      <c r="AV1051" s="3">
        <v>42436</v>
      </c>
      <c r="AW1051" t="s">
        <v>54</v>
      </c>
      <c r="AX1051" t="str">
        <f t="shared" si="132"/>
        <v>FOR</v>
      </c>
      <c r="AY1051" t="s">
        <v>55</v>
      </c>
    </row>
    <row r="1052" spans="1:51" hidden="1">
      <c r="A1052">
        <v>100906</v>
      </c>
      <c r="B1052" t="s">
        <v>169</v>
      </c>
      <c r="C1052" t="str">
        <f t="shared" si="131"/>
        <v>06978161005</v>
      </c>
      <c r="D1052" t="str">
        <f t="shared" si="131"/>
        <v>06978161005</v>
      </c>
      <c r="E1052" t="s">
        <v>52</v>
      </c>
      <c r="F1052">
        <v>2016</v>
      </c>
      <c r="G1052" t="str">
        <f>"                  60"</f>
        <v xml:space="preserve">                  60</v>
      </c>
      <c r="H1052" s="3">
        <v>42443</v>
      </c>
      <c r="I1052" s="3">
        <v>42443</v>
      </c>
      <c r="J1052" s="3">
        <v>42443</v>
      </c>
      <c r="K1052" s="3">
        <v>42503</v>
      </c>
      <c r="L1052"/>
      <c r="N1052"/>
      <c r="O1052">
        <v>2</v>
      </c>
      <c r="P1052">
        <v>-60</v>
      </c>
      <c r="Q1052">
        <v>-120</v>
      </c>
      <c r="R1052">
        <v>0</v>
      </c>
      <c r="V1052">
        <v>0</v>
      </c>
      <c r="W1052">
        <v>0</v>
      </c>
      <c r="X1052">
        <v>0</v>
      </c>
      <c r="Y1052">
        <v>2</v>
      </c>
      <c r="Z1052">
        <v>2</v>
      </c>
      <c r="AA1052">
        <v>2</v>
      </c>
      <c r="AB1052" s="3">
        <v>42562</v>
      </c>
      <c r="AC1052" t="s">
        <v>53</v>
      </c>
      <c r="AD1052" t="s">
        <v>53</v>
      </c>
      <c r="AK1052">
        <v>0</v>
      </c>
      <c r="AU1052" s="3">
        <v>42443</v>
      </c>
      <c r="AV1052" s="3">
        <v>42443</v>
      </c>
      <c r="AW1052" t="s">
        <v>54</v>
      </c>
      <c r="AX1052" t="str">
        <f t="shared" si="132"/>
        <v>FOR</v>
      </c>
      <c r="AY1052" t="s">
        <v>55</v>
      </c>
    </row>
    <row r="1053" spans="1:51" hidden="1">
      <c r="A1053">
        <v>100906</v>
      </c>
      <c r="B1053" t="s">
        <v>169</v>
      </c>
      <c r="C1053" t="str">
        <f t="shared" si="131"/>
        <v>06978161005</v>
      </c>
      <c r="D1053" t="str">
        <f t="shared" si="131"/>
        <v>06978161005</v>
      </c>
      <c r="E1053" t="s">
        <v>52</v>
      </c>
      <c r="F1053">
        <v>2016</v>
      </c>
      <c r="G1053" t="str">
        <f>"                  61"</f>
        <v xml:space="preserve">                  61</v>
      </c>
      <c r="H1053" s="3">
        <v>42443</v>
      </c>
      <c r="I1053" s="3">
        <v>42443</v>
      </c>
      <c r="J1053" s="3">
        <v>42443</v>
      </c>
      <c r="K1053" s="3">
        <v>42503</v>
      </c>
      <c r="L1053"/>
      <c r="N1053"/>
      <c r="O1053" s="4">
        <v>14959.69</v>
      </c>
      <c r="P1053">
        <v>-60</v>
      </c>
      <c r="Q1053" s="4">
        <v>-897581.4</v>
      </c>
      <c r="R1053">
        <v>0</v>
      </c>
      <c r="V1053">
        <v>0</v>
      </c>
      <c r="W1053">
        <v>0</v>
      </c>
      <c r="X1053">
        <v>0</v>
      </c>
      <c r="Y1053" s="4">
        <v>14959.69</v>
      </c>
      <c r="Z1053" s="4">
        <v>14959.69</v>
      </c>
      <c r="AA1053" s="4">
        <v>14959.69</v>
      </c>
      <c r="AB1053" s="3">
        <v>42562</v>
      </c>
      <c r="AC1053" t="s">
        <v>53</v>
      </c>
      <c r="AD1053" t="s">
        <v>53</v>
      </c>
      <c r="AK1053">
        <v>0</v>
      </c>
      <c r="AU1053" s="3">
        <v>42443</v>
      </c>
      <c r="AV1053" s="3">
        <v>42443</v>
      </c>
      <c r="AW1053" t="s">
        <v>54</v>
      </c>
      <c r="AX1053" t="str">
        <f t="shared" si="132"/>
        <v>FOR</v>
      </c>
      <c r="AY1053" t="s">
        <v>55</v>
      </c>
    </row>
    <row r="1054" spans="1:51" hidden="1">
      <c r="A1054">
        <v>100906</v>
      </c>
      <c r="B1054" t="s">
        <v>169</v>
      </c>
      <c r="C1054" t="str">
        <f t="shared" si="131"/>
        <v>06978161005</v>
      </c>
      <c r="D1054" t="str">
        <f t="shared" si="131"/>
        <v>06978161005</v>
      </c>
      <c r="E1054" t="s">
        <v>52</v>
      </c>
      <c r="F1054">
        <v>2016</v>
      </c>
      <c r="G1054" t="str">
        <f>"                  66"</f>
        <v xml:space="preserve">                  66</v>
      </c>
      <c r="H1054" s="3">
        <v>42464</v>
      </c>
      <c r="I1054" s="3">
        <v>42464</v>
      </c>
      <c r="J1054" s="3">
        <v>42464</v>
      </c>
      <c r="K1054" s="3">
        <v>42524</v>
      </c>
      <c r="L1054" s="4">
        <v>8749.07</v>
      </c>
      <c r="M1054">
        <v>-60</v>
      </c>
      <c r="N1054" s="4">
        <v>-524944.19999999995</v>
      </c>
      <c r="O1054" s="4">
        <v>8749.07</v>
      </c>
      <c r="P1054">
        <v>-60</v>
      </c>
      <c r="Q1054" s="4">
        <v>-524944.19999999995</v>
      </c>
      <c r="R1054">
        <v>0</v>
      </c>
      <c r="V1054" s="4">
        <v>8749.07</v>
      </c>
      <c r="W1054" s="4">
        <v>8749.07</v>
      </c>
      <c r="X1054" s="4">
        <v>8749.07</v>
      </c>
      <c r="Y1054" s="4">
        <v>8749.07</v>
      </c>
      <c r="Z1054" s="4">
        <v>8749.07</v>
      </c>
      <c r="AA1054" s="4">
        <v>8749.07</v>
      </c>
      <c r="AB1054" s="3">
        <v>42562</v>
      </c>
      <c r="AC1054" t="s">
        <v>53</v>
      </c>
      <c r="AD1054" t="s">
        <v>53</v>
      </c>
      <c r="AK1054">
        <v>0</v>
      </c>
      <c r="AU1054" s="3">
        <v>42464</v>
      </c>
      <c r="AV1054" s="3">
        <v>42464</v>
      </c>
      <c r="AW1054" t="s">
        <v>54</v>
      </c>
      <c r="AX1054" t="str">
        <f t="shared" si="132"/>
        <v>FOR</v>
      </c>
      <c r="AY1054" t="s">
        <v>55</v>
      </c>
    </row>
    <row r="1055" spans="1:51" hidden="1">
      <c r="A1055">
        <v>100906</v>
      </c>
      <c r="B1055" t="s">
        <v>169</v>
      </c>
      <c r="C1055" t="str">
        <f t="shared" ref="C1055:D1074" si="133">"06978161005"</f>
        <v>06978161005</v>
      </c>
      <c r="D1055" t="str">
        <f t="shared" si="133"/>
        <v>06978161005</v>
      </c>
      <c r="E1055" t="s">
        <v>52</v>
      </c>
      <c r="F1055">
        <v>2016</v>
      </c>
      <c r="G1055" t="str">
        <f>"                  67"</f>
        <v xml:space="preserve">                  67</v>
      </c>
      <c r="H1055" s="3">
        <v>42464</v>
      </c>
      <c r="I1055" s="3">
        <v>42464</v>
      </c>
      <c r="J1055" s="3">
        <v>42464</v>
      </c>
      <c r="K1055" s="3">
        <v>42524</v>
      </c>
      <c r="L1055" s="4">
        <v>14959</v>
      </c>
      <c r="M1055">
        <v>-60</v>
      </c>
      <c r="N1055" s="4">
        <v>-897540</v>
      </c>
      <c r="O1055" s="4">
        <v>14959</v>
      </c>
      <c r="P1055">
        <v>-60</v>
      </c>
      <c r="Q1055" s="4">
        <v>-897540</v>
      </c>
      <c r="R1055">
        <v>0</v>
      </c>
      <c r="V1055" s="4">
        <v>14959</v>
      </c>
      <c r="W1055" s="4">
        <v>14959</v>
      </c>
      <c r="X1055" s="4">
        <v>14959</v>
      </c>
      <c r="Y1055" s="4">
        <v>14959</v>
      </c>
      <c r="Z1055" s="4">
        <v>14959</v>
      </c>
      <c r="AA1055" s="4">
        <v>14959</v>
      </c>
      <c r="AB1055" s="3">
        <v>42562</v>
      </c>
      <c r="AC1055" t="s">
        <v>53</v>
      </c>
      <c r="AD1055" t="s">
        <v>53</v>
      </c>
      <c r="AK1055">
        <v>0</v>
      </c>
      <c r="AU1055" s="3">
        <v>42464</v>
      </c>
      <c r="AV1055" s="3">
        <v>42464</v>
      </c>
      <c r="AW1055" t="s">
        <v>54</v>
      </c>
      <c r="AX1055" t="str">
        <f t="shared" si="132"/>
        <v>FOR</v>
      </c>
      <c r="AY1055" t="s">
        <v>55</v>
      </c>
    </row>
    <row r="1056" spans="1:51" hidden="1">
      <c r="A1056">
        <v>100906</v>
      </c>
      <c r="B1056" t="s">
        <v>169</v>
      </c>
      <c r="C1056" t="str">
        <f t="shared" si="133"/>
        <v>06978161005</v>
      </c>
      <c r="D1056" t="str">
        <f t="shared" si="133"/>
        <v>06978161005</v>
      </c>
      <c r="E1056" t="s">
        <v>52</v>
      </c>
      <c r="F1056">
        <v>2016</v>
      </c>
      <c r="G1056" t="str">
        <f>"                  68"</f>
        <v xml:space="preserve">                  68</v>
      </c>
      <c r="H1056" s="3">
        <v>42464</v>
      </c>
      <c r="I1056" s="3">
        <v>42464</v>
      </c>
      <c r="J1056" s="3">
        <v>42464</v>
      </c>
      <c r="K1056" s="3">
        <v>42524</v>
      </c>
      <c r="L1056">
        <v>441.97</v>
      </c>
      <c r="M1056">
        <v>-60</v>
      </c>
      <c r="N1056" s="4">
        <v>-26518.2</v>
      </c>
      <c r="O1056">
        <v>441.97</v>
      </c>
      <c r="P1056">
        <v>-60</v>
      </c>
      <c r="Q1056" s="4">
        <v>-26518.2</v>
      </c>
      <c r="R1056">
        <v>0</v>
      </c>
      <c r="V1056">
        <v>441.97</v>
      </c>
      <c r="W1056">
        <v>441.97</v>
      </c>
      <c r="X1056">
        <v>441.97</v>
      </c>
      <c r="Y1056">
        <v>441.97</v>
      </c>
      <c r="Z1056">
        <v>441.97</v>
      </c>
      <c r="AA1056">
        <v>441.97</v>
      </c>
      <c r="AB1056" s="3">
        <v>42562</v>
      </c>
      <c r="AC1056" t="s">
        <v>53</v>
      </c>
      <c r="AD1056" t="s">
        <v>53</v>
      </c>
      <c r="AK1056">
        <v>0</v>
      </c>
      <c r="AU1056" s="3">
        <v>42464</v>
      </c>
      <c r="AV1056" s="3">
        <v>42464</v>
      </c>
      <c r="AW1056" t="s">
        <v>54</v>
      </c>
      <c r="AX1056" t="str">
        <f t="shared" si="132"/>
        <v>FOR</v>
      </c>
      <c r="AY1056" t="s">
        <v>55</v>
      </c>
    </row>
    <row r="1057" spans="1:51" hidden="1">
      <c r="A1057">
        <v>100906</v>
      </c>
      <c r="B1057" t="s">
        <v>169</v>
      </c>
      <c r="C1057" t="str">
        <f t="shared" si="133"/>
        <v>06978161005</v>
      </c>
      <c r="D1057" t="str">
        <f t="shared" si="133"/>
        <v>06978161005</v>
      </c>
      <c r="E1057" t="s">
        <v>52</v>
      </c>
      <c r="F1057">
        <v>2016</v>
      </c>
      <c r="G1057" t="str">
        <f>"                  69"</f>
        <v xml:space="preserve">                  69</v>
      </c>
      <c r="H1057" s="3">
        <v>42464</v>
      </c>
      <c r="I1057" s="3">
        <v>42464</v>
      </c>
      <c r="J1057" s="3">
        <v>42464</v>
      </c>
      <c r="K1057" s="3">
        <v>42524</v>
      </c>
      <c r="L1057">
        <v>112.82</v>
      </c>
      <c r="M1057">
        <v>-60</v>
      </c>
      <c r="N1057" s="4">
        <v>-6769.2</v>
      </c>
      <c r="O1057">
        <v>112.82</v>
      </c>
      <c r="P1057">
        <v>-60</v>
      </c>
      <c r="Q1057" s="4">
        <v>-6769.2</v>
      </c>
      <c r="R1057">
        <v>0</v>
      </c>
      <c r="V1057">
        <v>112.82</v>
      </c>
      <c r="W1057">
        <v>112.82</v>
      </c>
      <c r="X1057">
        <v>112.82</v>
      </c>
      <c r="Y1057">
        <v>112.82</v>
      </c>
      <c r="Z1057">
        <v>112.82</v>
      </c>
      <c r="AA1057">
        <v>112.82</v>
      </c>
      <c r="AB1057" s="3">
        <v>42562</v>
      </c>
      <c r="AC1057" t="s">
        <v>53</v>
      </c>
      <c r="AD1057" t="s">
        <v>53</v>
      </c>
      <c r="AK1057">
        <v>0</v>
      </c>
      <c r="AU1057" s="3">
        <v>42464</v>
      </c>
      <c r="AV1057" s="3">
        <v>42464</v>
      </c>
      <c r="AW1057" t="s">
        <v>54</v>
      </c>
      <c r="AX1057" t="str">
        <f t="shared" si="132"/>
        <v>FOR</v>
      </c>
      <c r="AY1057" t="s">
        <v>55</v>
      </c>
    </row>
    <row r="1058" spans="1:51" hidden="1">
      <c r="A1058">
        <v>100906</v>
      </c>
      <c r="B1058" t="s">
        <v>169</v>
      </c>
      <c r="C1058" t="str">
        <f t="shared" si="133"/>
        <v>06978161005</v>
      </c>
      <c r="D1058" t="str">
        <f t="shared" si="133"/>
        <v>06978161005</v>
      </c>
      <c r="E1058" t="s">
        <v>52</v>
      </c>
      <c r="F1058">
        <v>2016</v>
      </c>
      <c r="G1058" t="str">
        <f>"                  70"</f>
        <v xml:space="preserve">                  70</v>
      </c>
      <c r="H1058" s="3">
        <v>42464</v>
      </c>
      <c r="I1058" s="3">
        <v>42464</v>
      </c>
      <c r="J1058" s="3">
        <v>42464</v>
      </c>
      <c r="K1058" s="3">
        <v>42524</v>
      </c>
      <c r="L1058">
        <v>90</v>
      </c>
      <c r="M1058">
        <v>-60</v>
      </c>
      <c r="N1058" s="4">
        <v>-5400</v>
      </c>
      <c r="O1058">
        <v>90</v>
      </c>
      <c r="P1058">
        <v>-60</v>
      </c>
      <c r="Q1058" s="4">
        <v>-5400</v>
      </c>
      <c r="R1058">
        <v>0</v>
      </c>
      <c r="V1058">
        <v>90</v>
      </c>
      <c r="W1058">
        <v>90</v>
      </c>
      <c r="X1058">
        <v>90</v>
      </c>
      <c r="Y1058">
        <v>90</v>
      </c>
      <c r="Z1058">
        <v>90</v>
      </c>
      <c r="AA1058">
        <v>90</v>
      </c>
      <c r="AB1058" s="3">
        <v>42562</v>
      </c>
      <c r="AC1058" t="s">
        <v>53</v>
      </c>
      <c r="AD1058" t="s">
        <v>53</v>
      </c>
      <c r="AK1058">
        <v>0</v>
      </c>
      <c r="AU1058" s="3">
        <v>42464</v>
      </c>
      <c r="AV1058" s="3">
        <v>42464</v>
      </c>
      <c r="AW1058" t="s">
        <v>54</v>
      </c>
      <c r="AX1058" t="str">
        <f t="shared" si="132"/>
        <v>FOR</v>
      </c>
      <c r="AY1058" t="s">
        <v>55</v>
      </c>
    </row>
    <row r="1059" spans="1:51" hidden="1">
      <c r="A1059">
        <v>100906</v>
      </c>
      <c r="B1059" t="s">
        <v>169</v>
      </c>
      <c r="C1059" t="str">
        <f t="shared" si="133"/>
        <v>06978161005</v>
      </c>
      <c r="D1059" t="str">
        <f t="shared" si="133"/>
        <v>06978161005</v>
      </c>
      <c r="E1059" t="s">
        <v>52</v>
      </c>
      <c r="F1059">
        <v>2016</v>
      </c>
      <c r="G1059" t="str">
        <f>"                  71"</f>
        <v xml:space="preserve">                  71</v>
      </c>
      <c r="H1059" s="3">
        <v>42464</v>
      </c>
      <c r="I1059" s="3">
        <v>42464</v>
      </c>
      <c r="J1059" s="3">
        <v>42464</v>
      </c>
      <c r="K1059" s="3">
        <v>42524</v>
      </c>
      <c r="L1059">
        <v>134.72</v>
      </c>
      <c r="M1059">
        <v>-60</v>
      </c>
      <c r="N1059" s="4">
        <v>-8083.2</v>
      </c>
      <c r="O1059">
        <v>134.72</v>
      </c>
      <c r="P1059">
        <v>-60</v>
      </c>
      <c r="Q1059" s="4">
        <v>-8083.2</v>
      </c>
      <c r="R1059">
        <v>0</v>
      </c>
      <c r="V1059">
        <v>134.72</v>
      </c>
      <c r="W1059">
        <v>134.72</v>
      </c>
      <c r="X1059">
        <v>134.72</v>
      </c>
      <c r="Y1059">
        <v>134.72</v>
      </c>
      <c r="Z1059">
        <v>134.72</v>
      </c>
      <c r="AA1059">
        <v>134.72</v>
      </c>
      <c r="AB1059" s="3">
        <v>42562</v>
      </c>
      <c r="AC1059" t="s">
        <v>53</v>
      </c>
      <c r="AD1059" t="s">
        <v>53</v>
      </c>
      <c r="AK1059">
        <v>0</v>
      </c>
      <c r="AU1059" s="3">
        <v>42464</v>
      </c>
      <c r="AV1059" s="3">
        <v>42464</v>
      </c>
      <c r="AW1059" t="s">
        <v>54</v>
      </c>
      <c r="AX1059" t="str">
        <f t="shared" si="132"/>
        <v>FOR</v>
      </c>
      <c r="AY1059" t="s">
        <v>55</v>
      </c>
    </row>
    <row r="1060" spans="1:51" hidden="1">
      <c r="A1060">
        <v>100906</v>
      </c>
      <c r="B1060" t="s">
        <v>169</v>
      </c>
      <c r="C1060" t="str">
        <f t="shared" si="133"/>
        <v>06978161005</v>
      </c>
      <c r="D1060" t="str">
        <f t="shared" si="133"/>
        <v>06978161005</v>
      </c>
      <c r="E1060" t="s">
        <v>52</v>
      </c>
      <c r="F1060">
        <v>2016</v>
      </c>
      <c r="G1060" t="str">
        <f>"                  72"</f>
        <v xml:space="preserve">                  72</v>
      </c>
      <c r="H1060" s="3">
        <v>42464</v>
      </c>
      <c r="I1060" s="3">
        <v>42464</v>
      </c>
      <c r="J1060" s="3">
        <v>42464</v>
      </c>
      <c r="K1060" s="3">
        <v>42524</v>
      </c>
      <c r="L1060">
        <v>162.43</v>
      </c>
      <c r="M1060">
        <v>-60</v>
      </c>
      <c r="N1060" s="4">
        <v>-9745.7999999999993</v>
      </c>
      <c r="O1060">
        <v>162.43</v>
      </c>
      <c r="P1060">
        <v>-60</v>
      </c>
      <c r="Q1060" s="4">
        <v>-9745.7999999999993</v>
      </c>
      <c r="R1060">
        <v>0</v>
      </c>
      <c r="V1060">
        <v>162.43</v>
      </c>
      <c r="W1060">
        <v>162.43</v>
      </c>
      <c r="X1060">
        <v>162.43</v>
      </c>
      <c r="Y1060">
        <v>162.43</v>
      </c>
      <c r="Z1060">
        <v>162.43</v>
      </c>
      <c r="AA1060">
        <v>162.43</v>
      </c>
      <c r="AB1060" s="3">
        <v>42562</v>
      </c>
      <c r="AC1060" t="s">
        <v>53</v>
      </c>
      <c r="AD1060" t="s">
        <v>53</v>
      </c>
      <c r="AK1060">
        <v>0</v>
      </c>
      <c r="AU1060" s="3">
        <v>42464</v>
      </c>
      <c r="AV1060" s="3">
        <v>42464</v>
      </c>
      <c r="AW1060" t="s">
        <v>54</v>
      </c>
      <c r="AX1060" t="str">
        <f t="shared" si="132"/>
        <v>FOR</v>
      </c>
      <c r="AY1060" t="s">
        <v>55</v>
      </c>
    </row>
    <row r="1061" spans="1:51" hidden="1">
      <c r="A1061">
        <v>100906</v>
      </c>
      <c r="B1061" t="s">
        <v>169</v>
      </c>
      <c r="C1061" t="str">
        <f t="shared" si="133"/>
        <v>06978161005</v>
      </c>
      <c r="D1061" t="str">
        <f t="shared" si="133"/>
        <v>06978161005</v>
      </c>
      <c r="E1061" t="s">
        <v>52</v>
      </c>
      <c r="F1061">
        <v>2016</v>
      </c>
      <c r="G1061" t="str">
        <f>"                  73"</f>
        <v xml:space="preserve">                  73</v>
      </c>
      <c r="H1061" s="3">
        <v>42464</v>
      </c>
      <c r="I1061" s="3">
        <v>42464</v>
      </c>
      <c r="J1061" s="3">
        <v>42464</v>
      </c>
      <c r="K1061" s="3">
        <v>42524</v>
      </c>
      <c r="L1061">
        <v>83.75</v>
      </c>
      <c r="M1061">
        <v>-60</v>
      </c>
      <c r="N1061" s="4">
        <v>-5025</v>
      </c>
      <c r="O1061">
        <v>83.75</v>
      </c>
      <c r="P1061">
        <v>-60</v>
      </c>
      <c r="Q1061" s="4">
        <v>-5025</v>
      </c>
      <c r="R1061">
        <v>0</v>
      </c>
      <c r="V1061">
        <v>83.75</v>
      </c>
      <c r="W1061">
        <v>83.75</v>
      </c>
      <c r="X1061">
        <v>83.75</v>
      </c>
      <c r="Y1061">
        <v>83.75</v>
      </c>
      <c r="Z1061">
        <v>83.75</v>
      </c>
      <c r="AA1061">
        <v>83.75</v>
      </c>
      <c r="AB1061" s="3">
        <v>42562</v>
      </c>
      <c r="AC1061" t="s">
        <v>53</v>
      </c>
      <c r="AD1061" t="s">
        <v>53</v>
      </c>
      <c r="AK1061">
        <v>0</v>
      </c>
      <c r="AU1061" s="3">
        <v>42464</v>
      </c>
      <c r="AV1061" s="3">
        <v>42464</v>
      </c>
      <c r="AW1061" t="s">
        <v>54</v>
      </c>
      <c r="AX1061" t="str">
        <f t="shared" si="132"/>
        <v>FOR</v>
      </c>
      <c r="AY1061" t="s">
        <v>55</v>
      </c>
    </row>
    <row r="1062" spans="1:51" hidden="1">
      <c r="A1062">
        <v>100906</v>
      </c>
      <c r="B1062" t="s">
        <v>169</v>
      </c>
      <c r="C1062" t="str">
        <f t="shared" si="133"/>
        <v>06978161005</v>
      </c>
      <c r="D1062" t="str">
        <f t="shared" si="133"/>
        <v>06978161005</v>
      </c>
      <c r="E1062" t="s">
        <v>52</v>
      </c>
      <c r="F1062">
        <v>2016</v>
      </c>
      <c r="G1062" t="str">
        <f>"                  94"</f>
        <v xml:space="preserve">                  94</v>
      </c>
      <c r="H1062" s="3">
        <v>42480</v>
      </c>
      <c r="I1062" s="3">
        <v>42480</v>
      </c>
      <c r="J1062" s="3">
        <v>42480</v>
      </c>
      <c r="K1062" s="3">
        <v>42540</v>
      </c>
      <c r="L1062">
        <v>155.81</v>
      </c>
      <c r="M1062">
        <v>-60</v>
      </c>
      <c r="N1062" s="4">
        <v>-9348.6</v>
      </c>
      <c r="O1062">
        <v>155.81</v>
      </c>
      <c r="P1062">
        <v>-60</v>
      </c>
      <c r="Q1062" s="4">
        <v>-9348.6</v>
      </c>
      <c r="R1062">
        <v>0</v>
      </c>
      <c r="V1062">
        <v>155.81</v>
      </c>
      <c r="W1062">
        <v>155.81</v>
      </c>
      <c r="X1062">
        <v>155.81</v>
      </c>
      <c r="Y1062">
        <v>155.81</v>
      </c>
      <c r="Z1062">
        <v>155.81</v>
      </c>
      <c r="AA1062">
        <v>155.81</v>
      </c>
      <c r="AB1062" s="3">
        <v>42562</v>
      </c>
      <c r="AC1062" t="s">
        <v>53</v>
      </c>
      <c r="AD1062" t="s">
        <v>53</v>
      </c>
      <c r="AK1062">
        <v>0</v>
      </c>
      <c r="AU1062" s="3">
        <v>42480</v>
      </c>
      <c r="AV1062" s="3">
        <v>42480</v>
      </c>
      <c r="AW1062" t="s">
        <v>54</v>
      </c>
      <c r="AX1062" t="str">
        <f t="shared" si="132"/>
        <v>FOR</v>
      </c>
      <c r="AY1062" t="s">
        <v>55</v>
      </c>
    </row>
    <row r="1063" spans="1:51" hidden="1">
      <c r="A1063">
        <v>100906</v>
      </c>
      <c r="B1063" t="s">
        <v>169</v>
      </c>
      <c r="C1063" t="str">
        <f t="shared" si="133"/>
        <v>06978161005</v>
      </c>
      <c r="D1063" t="str">
        <f t="shared" si="133"/>
        <v>06978161005</v>
      </c>
      <c r="E1063" t="s">
        <v>52</v>
      </c>
      <c r="F1063">
        <v>2016</v>
      </c>
      <c r="G1063" t="str">
        <f>"                  95"</f>
        <v xml:space="preserve">                  95</v>
      </c>
      <c r="H1063" s="3">
        <v>42480</v>
      </c>
      <c r="I1063" s="3">
        <v>42480</v>
      </c>
      <c r="J1063" s="3">
        <v>42480</v>
      </c>
      <c r="K1063" s="3">
        <v>42540</v>
      </c>
      <c r="L1063">
        <v>155.75</v>
      </c>
      <c r="M1063">
        <v>-60</v>
      </c>
      <c r="N1063" s="4">
        <v>-9345</v>
      </c>
      <c r="O1063">
        <v>155.75</v>
      </c>
      <c r="P1063">
        <v>-60</v>
      </c>
      <c r="Q1063" s="4">
        <v>-9345</v>
      </c>
      <c r="R1063">
        <v>0</v>
      </c>
      <c r="V1063">
        <v>155.75</v>
      </c>
      <c r="W1063">
        <v>155.75</v>
      </c>
      <c r="X1063">
        <v>155.75</v>
      </c>
      <c r="Y1063">
        <v>155.75</v>
      </c>
      <c r="Z1063">
        <v>155.75</v>
      </c>
      <c r="AA1063">
        <v>155.75</v>
      </c>
      <c r="AB1063" s="3">
        <v>42562</v>
      </c>
      <c r="AC1063" t="s">
        <v>53</v>
      </c>
      <c r="AD1063" t="s">
        <v>53</v>
      </c>
      <c r="AK1063">
        <v>0</v>
      </c>
      <c r="AU1063" s="3">
        <v>42480</v>
      </c>
      <c r="AV1063" s="3">
        <v>42480</v>
      </c>
      <c r="AW1063" t="s">
        <v>54</v>
      </c>
      <c r="AX1063" t="str">
        <f t="shared" si="132"/>
        <v>FOR</v>
      </c>
      <c r="AY1063" t="s">
        <v>55</v>
      </c>
    </row>
    <row r="1064" spans="1:51" hidden="1">
      <c r="A1064">
        <v>100906</v>
      </c>
      <c r="B1064" t="s">
        <v>169</v>
      </c>
      <c r="C1064" t="str">
        <f t="shared" si="133"/>
        <v>06978161005</v>
      </c>
      <c r="D1064" t="str">
        <f t="shared" si="133"/>
        <v>06978161005</v>
      </c>
      <c r="E1064" t="s">
        <v>52</v>
      </c>
      <c r="F1064">
        <v>2016</v>
      </c>
      <c r="G1064" t="str">
        <f>"                  96"</f>
        <v xml:space="preserve">                  96</v>
      </c>
      <c r="H1064" s="3">
        <v>42480</v>
      </c>
      <c r="I1064" s="3">
        <v>42480</v>
      </c>
      <c r="J1064" s="3">
        <v>42480</v>
      </c>
      <c r="K1064" s="3">
        <v>42540</v>
      </c>
      <c r="L1064">
        <v>2</v>
      </c>
      <c r="M1064">
        <v>-60</v>
      </c>
      <c r="N1064">
        <v>-120</v>
      </c>
      <c r="O1064">
        <v>2</v>
      </c>
      <c r="P1064">
        <v>-60</v>
      </c>
      <c r="Q1064">
        <v>-120</v>
      </c>
      <c r="R1064">
        <v>0</v>
      </c>
      <c r="V1064">
        <v>2</v>
      </c>
      <c r="W1064">
        <v>2</v>
      </c>
      <c r="X1064">
        <v>2</v>
      </c>
      <c r="Y1064">
        <v>2</v>
      </c>
      <c r="Z1064">
        <v>2</v>
      </c>
      <c r="AA1064">
        <v>2</v>
      </c>
      <c r="AB1064" s="3">
        <v>42562</v>
      </c>
      <c r="AC1064" t="s">
        <v>53</v>
      </c>
      <c r="AD1064" t="s">
        <v>53</v>
      </c>
      <c r="AK1064">
        <v>0</v>
      </c>
      <c r="AU1064" s="3">
        <v>42480</v>
      </c>
      <c r="AV1064" s="3">
        <v>42480</v>
      </c>
      <c r="AW1064" t="s">
        <v>54</v>
      </c>
      <c r="AX1064" t="str">
        <f t="shared" si="132"/>
        <v>FOR</v>
      </c>
      <c r="AY1064" t="s">
        <v>55</v>
      </c>
    </row>
    <row r="1065" spans="1:51" hidden="1">
      <c r="A1065">
        <v>100906</v>
      </c>
      <c r="B1065" t="s">
        <v>169</v>
      </c>
      <c r="C1065" t="str">
        <f t="shared" si="133"/>
        <v>06978161005</v>
      </c>
      <c r="D1065" t="str">
        <f t="shared" si="133"/>
        <v>06978161005</v>
      </c>
      <c r="E1065" t="s">
        <v>52</v>
      </c>
      <c r="F1065">
        <v>2016</v>
      </c>
      <c r="G1065" t="str">
        <f>"                  97"</f>
        <v xml:space="preserve">                  97</v>
      </c>
      <c r="H1065" s="3">
        <v>42480</v>
      </c>
      <c r="I1065" s="3">
        <v>42480</v>
      </c>
      <c r="J1065" s="3">
        <v>42480</v>
      </c>
      <c r="K1065" s="3">
        <v>42540</v>
      </c>
      <c r="L1065">
        <v>446.5</v>
      </c>
      <c r="M1065">
        <v>-60</v>
      </c>
      <c r="N1065" s="4">
        <v>-26790</v>
      </c>
      <c r="O1065">
        <v>446.5</v>
      </c>
      <c r="P1065">
        <v>-60</v>
      </c>
      <c r="Q1065" s="4">
        <v>-26790</v>
      </c>
      <c r="R1065">
        <v>0</v>
      </c>
      <c r="V1065">
        <v>446.5</v>
      </c>
      <c r="W1065">
        <v>446.5</v>
      </c>
      <c r="X1065">
        <v>446.5</v>
      </c>
      <c r="Y1065">
        <v>446.5</v>
      </c>
      <c r="Z1065">
        <v>446.5</v>
      </c>
      <c r="AA1065">
        <v>446.5</v>
      </c>
      <c r="AB1065" s="3">
        <v>42562</v>
      </c>
      <c r="AC1065" t="s">
        <v>53</v>
      </c>
      <c r="AD1065" t="s">
        <v>53</v>
      </c>
      <c r="AK1065">
        <v>0</v>
      </c>
      <c r="AU1065" s="3">
        <v>42480</v>
      </c>
      <c r="AV1065" s="3">
        <v>42480</v>
      </c>
      <c r="AW1065" t="s">
        <v>54</v>
      </c>
      <c r="AX1065" t="str">
        <f t="shared" si="132"/>
        <v>FOR</v>
      </c>
      <c r="AY1065" t="s">
        <v>55</v>
      </c>
    </row>
    <row r="1066" spans="1:51" hidden="1">
      <c r="A1066">
        <v>100906</v>
      </c>
      <c r="B1066" t="s">
        <v>169</v>
      </c>
      <c r="C1066" t="str">
        <f t="shared" si="133"/>
        <v>06978161005</v>
      </c>
      <c r="D1066" t="str">
        <f t="shared" si="133"/>
        <v>06978161005</v>
      </c>
      <c r="E1066" t="s">
        <v>52</v>
      </c>
      <c r="F1066">
        <v>2016</v>
      </c>
      <c r="G1066" t="str">
        <f>"                  98"</f>
        <v xml:space="preserve">                  98</v>
      </c>
      <c r="H1066" s="3">
        <v>42480</v>
      </c>
      <c r="I1066" s="3">
        <v>42480</v>
      </c>
      <c r="J1066" s="3">
        <v>42480</v>
      </c>
      <c r="K1066" s="3">
        <v>42540</v>
      </c>
      <c r="L1066">
        <v>105.7</v>
      </c>
      <c r="M1066">
        <v>-60</v>
      </c>
      <c r="N1066" s="4">
        <v>-6342</v>
      </c>
      <c r="O1066">
        <v>105.7</v>
      </c>
      <c r="P1066">
        <v>-60</v>
      </c>
      <c r="Q1066" s="4">
        <v>-6342</v>
      </c>
      <c r="R1066">
        <v>0</v>
      </c>
      <c r="V1066">
        <v>105.7</v>
      </c>
      <c r="W1066">
        <v>105.7</v>
      </c>
      <c r="X1066">
        <v>105.7</v>
      </c>
      <c r="Y1066">
        <v>105.7</v>
      </c>
      <c r="Z1066">
        <v>105.7</v>
      </c>
      <c r="AA1066">
        <v>105.7</v>
      </c>
      <c r="AB1066" s="3">
        <v>42562</v>
      </c>
      <c r="AC1066" t="s">
        <v>53</v>
      </c>
      <c r="AD1066" t="s">
        <v>53</v>
      </c>
      <c r="AK1066">
        <v>0</v>
      </c>
      <c r="AU1066" s="3">
        <v>42480</v>
      </c>
      <c r="AV1066" s="3">
        <v>42480</v>
      </c>
      <c r="AW1066" t="s">
        <v>54</v>
      </c>
      <c r="AX1066" t="str">
        <f t="shared" si="132"/>
        <v>FOR</v>
      </c>
      <c r="AY1066" t="s">
        <v>55</v>
      </c>
    </row>
    <row r="1067" spans="1:51" hidden="1">
      <c r="A1067">
        <v>100906</v>
      </c>
      <c r="B1067" t="s">
        <v>169</v>
      </c>
      <c r="C1067" t="str">
        <f t="shared" si="133"/>
        <v>06978161005</v>
      </c>
      <c r="D1067" t="str">
        <f t="shared" si="133"/>
        <v>06978161005</v>
      </c>
      <c r="E1067" t="s">
        <v>52</v>
      </c>
      <c r="F1067">
        <v>2016</v>
      </c>
      <c r="G1067" t="str">
        <f>"                  99"</f>
        <v xml:space="preserve">                  99</v>
      </c>
      <c r="H1067" s="3">
        <v>42480</v>
      </c>
      <c r="I1067" s="3">
        <v>42480</v>
      </c>
      <c r="J1067" s="3">
        <v>42480</v>
      </c>
      <c r="K1067" s="3">
        <v>42540</v>
      </c>
      <c r="L1067">
        <v>90</v>
      </c>
      <c r="M1067">
        <v>-60</v>
      </c>
      <c r="N1067" s="4">
        <v>-5400</v>
      </c>
      <c r="O1067">
        <v>90</v>
      </c>
      <c r="P1067">
        <v>-60</v>
      </c>
      <c r="Q1067" s="4">
        <v>-5400</v>
      </c>
      <c r="R1067">
        <v>0</v>
      </c>
      <c r="V1067">
        <v>90</v>
      </c>
      <c r="W1067">
        <v>90</v>
      </c>
      <c r="X1067">
        <v>90</v>
      </c>
      <c r="Y1067">
        <v>90</v>
      </c>
      <c r="Z1067">
        <v>90</v>
      </c>
      <c r="AA1067">
        <v>90</v>
      </c>
      <c r="AB1067" s="3">
        <v>42562</v>
      </c>
      <c r="AC1067" t="s">
        <v>53</v>
      </c>
      <c r="AD1067" t="s">
        <v>53</v>
      </c>
      <c r="AK1067">
        <v>0</v>
      </c>
      <c r="AU1067" s="3">
        <v>42480</v>
      </c>
      <c r="AV1067" s="3">
        <v>42480</v>
      </c>
      <c r="AW1067" t="s">
        <v>54</v>
      </c>
      <c r="AX1067" t="str">
        <f t="shared" si="132"/>
        <v>FOR</v>
      </c>
      <c r="AY1067" t="s">
        <v>55</v>
      </c>
    </row>
    <row r="1068" spans="1:51" hidden="1">
      <c r="A1068">
        <v>100906</v>
      </c>
      <c r="B1068" t="s">
        <v>169</v>
      </c>
      <c r="C1068" t="str">
        <f t="shared" si="133"/>
        <v>06978161005</v>
      </c>
      <c r="D1068" t="str">
        <f t="shared" si="133"/>
        <v>06978161005</v>
      </c>
      <c r="E1068" t="s">
        <v>52</v>
      </c>
      <c r="F1068">
        <v>2016</v>
      </c>
      <c r="G1068" t="str">
        <f>"                 100"</f>
        <v xml:space="preserve">                 100</v>
      </c>
      <c r="H1068" s="3">
        <v>42480</v>
      </c>
      <c r="I1068" s="3">
        <v>42480</v>
      </c>
      <c r="J1068" s="3">
        <v>42480</v>
      </c>
      <c r="K1068" s="3">
        <v>42540</v>
      </c>
      <c r="L1068" s="4">
        <v>14959.69</v>
      </c>
      <c r="M1068">
        <v>-60</v>
      </c>
      <c r="N1068" s="4">
        <v>-897581.4</v>
      </c>
      <c r="O1068" s="4">
        <v>14959.69</v>
      </c>
      <c r="P1068">
        <v>-60</v>
      </c>
      <c r="Q1068" s="4">
        <v>-897581.4</v>
      </c>
      <c r="R1068">
        <v>0</v>
      </c>
      <c r="V1068" s="4">
        <v>14959.69</v>
      </c>
      <c r="W1068" s="4">
        <v>14959.69</v>
      </c>
      <c r="X1068" s="4">
        <v>14959.69</v>
      </c>
      <c r="Y1068" s="4">
        <v>14959.69</v>
      </c>
      <c r="Z1068" s="4">
        <v>14959.69</v>
      </c>
      <c r="AA1068" s="4">
        <v>14959.69</v>
      </c>
      <c r="AB1068" s="3">
        <v>42562</v>
      </c>
      <c r="AC1068" t="s">
        <v>53</v>
      </c>
      <c r="AD1068" t="s">
        <v>53</v>
      </c>
      <c r="AK1068">
        <v>0</v>
      </c>
      <c r="AU1068" s="3">
        <v>42480</v>
      </c>
      <c r="AV1068" s="3">
        <v>42480</v>
      </c>
      <c r="AW1068" t="s">
        <v>54</v>
      </c>
      <c r="AX1068" t="str">
        <f t="shared" si="132"/>
        <v>FOR</v>
      </c>
      <c r="AY1068" t="s">
        <v>55</v>
      </c>
    </row>
    <row r="1069" spans="1:51" hidden="1">
      <c r="A1069">
        <v>100906</v>
      </c>
      <c r="B1069" t="s">
        <v>169</v>
      </c>
      <c r="C1069" t="str">
        <f t="shared" si="133"/>
        <v>06978161005</v>
      </c>
      <c r="D1069" t="str">
        <f t="shared" si="133"/>
        <v>06978161005</v>
      </c>
      <c r="E1069" t="s">
        <v>52</v>
      </c>
      <c r="F1069">
        <v>2016</v>
      </c>
      <c r="G1069" t="str">
        <f>"                 107"</f>
        <v xml:space="preserve">                 107</v>
      </c>
      <c r="H1069" s="3">
        <v>42494</v>
      </c>
      <c r="I1069" s="3">
        <v>42494</v>
      </c>
      <c r="J1069" s="3">
        <v>42494</v>
      </c>
      <c r="K1069" s="3">
        <v>42554</v>
      </c>
      <c r="L1069" s="4">
        <v>14959</v>
      </c>
      <c r="M1069">
        <v>-60</v>
      </c>
      <c r="N1069" s="4">
        <v>-897540</v>
      </c>
      <c r="O1069" s="4">
        <v>14959</v>
      </c>
      <c r="P1069">
        <v>-60</v>
      </c>
      <c r="Q1069" s="4">
        <v>-897540</v>
      </c>
      <c r="R1069">
        <v>0</v>
      </c>
      <c r="V1069" s="4">
        <v>14959</v>
      </c>
      <c r="W1069" s="4">
        <v>14959</v>
      </c>
      <c r="X1069" s="4">
        <v>14959</v>
      </c>
      <c r="Y1069" s="4">
        <v>14959</v>
      </c>
      <c r="Z1069" s="4">
        <v>14959</v>
      </c>
      <c r="AA1069" s="4">
        <v>14959</v>
      </c>
      <c r="AB1069" s="3">
        <v>42562</v>
      </c>
      <c r="AC1069" t="s">
        <v>53</v>
      </c>
      <c r="AD1069" t="s">
        <v>53</v>
      </c>
      <c r="AK1069">
        <v>0</v>
      </c>
      <c r="AU1069" s="3">
        <v>42494</v>
      </c>
      <c r="AV1069" s="3">
        <v>42494</v>
      </c>
      <c r="AW1069" t="s">
        <v>54</v>
      </c>
      <c r="AX1069" t="str">
        <f t="shared" si="132"/>
        <v>FOR</v>
      </c>
      <c r="AY1069" t="s">
        <v>55</v>
      </c>
    </row>
    <row r="1070" spans="1:51" hidden="1">
      <c r="A1070">
        <v>100906</v>
      </c>
      <c r="B1070" t="s">
        <v>169</v>
      </c>
      <c r="C1070" t="str">
        <f t="shared" si="133"/>
        <v>06978161005</v>
      </c>
      <c r="D1070" t="str">
        <f t="shared" si="133"/>
        <v>06978161005</v>
      </c>
      <c r="E1070" t="s">
        <v>52</v>
      </c>
      <c r="F1070">
        <v>2016</v>
      </c>
      <c r="G1070" t="str">
        <f>"                 110"</f>
        <v xml:space="preserve">                 110</v>
      </c>
      <c r="H1070" s="3">
        <v>42499</v>
      </c>
      <c r="I1070" s="3">
        <v>42499</v>
      </c>
      <c r="J1070" s="3">
        <v>42499</v>
      </c>
      <c r="K1070" s="3">
        <v>42559</v>
      </c>
      <c r="L1070" s="4">
        <v>14959.69</v>
      </c>
      <c r="M1070">
        <v>-52</v>
      </c>
      <c r="N1070" s="4">
        <v>-777903.88</v>
      </c>
      <c r="O1070" s="4">
        <v>14959.69</v>
      </c>
      <c r="P1070">
        <v>-52</v>
      </c>
      <c r="Q1070" s="4">
        <v>-777903.88</v>
      </c>
      <c r="R1070">
        <v>0</v>
      </c>
      <c r="V1070" s="4">
        <v>14959.69</v>
      </c>
      <c r="W1070" s="4">
        <v>14959.69</v>
      </c>
      <c r="X1070" s="4">
        <v>14959.69</v>
      </c>
      <c r="Y1070" s="4">
        <v>14959.69</v>
      </c>
      <c r="Z1070" s="4">
        <v>14959.69</v>
      </c>
      <c r="AA1070" s="4">
        <v>14959.69</v>
      </c>
      <c r="AB1070" s="3">
        <v>42562</v>
      </c>
      <c r="AC1070" t="s">
        <v>53</v>
      </c>
      <c r="AD1070" t="s">
        <v>53</v>
      </c>
      <c r="AK1070">
        <v>0</v>
      </c>
      <c r="AU1070" s="3">
        <v>42507</v>
      </c>
      <c r="AV1070" s="3">
        <v>42507</v>
      </c>
      <c r="AW1070" t="s">
        <v>54</v>
      </c>
      <c r="AX1070" t="str">
        <f t="shared" si="132"/>
        <v>FOR</v>
      </c>
      <c r="AY1070" t="s">
        <v>55</v>
      </c>
    </row>
    <row r="1071" spans="1:51" hidden="1">
      <c r="A1071">
        <v>100906</v>
      </c>
      <c r="B1071" t="s">
        <v>169</v>
      </c>
      <c r="C1071" t="str">
        <f t="shared" si="133"/>
        <v>06978161005</v>
      </c>
      <c r="D1071" t="str">
        <f t="shared" si="133"/>
        <v>06978161005</v>
      </c>
      <c r="E1071" t="s">
        <v>52</v>
      </c>
      <c r="F1071">
        <v>2016</v>
      </c>
      <c r="G1071" t="str">
        <f>"                 114"</f>
        <v xml:space="preserve">                 114</v>
      </c>
      <c r="H1071" s="3">
        <v>42507</v>
      </c>
      <c r="I1071" s="3">
        <v>42507</v>
      </c>
      <c r="J1071" s="3">
        <v>42507</v>
      </c>
      <c r="K1071" s="3">
        <v>42567</v>
      </c>
      <c r="L1071">
        <v>172.75</v>
      </c>
      <c r="M1071">
        <v>-60</v>
      </c>
      <c r="N1071" s="4">
        <v>-10365</v>
      </c>
      <c r="O1071">
        <v>172.75</v>
      </c>
      <c r="P1071">
        <v>-60</v>
      </c>
      <c r="Q1071" s="4">
        <v>-10365</v>
      </c>
      <c r="R1071">
        <v>0</v>
      </c>
      <c r="V1071">
        <v>172.75</v>
      </c>
      <c r="W1071">
        <v>172.75</v>
      </c>
      <c r="X1071">
        <v>172.75</v>
      </c>
      <c r="Y1071">
        <v>172.75</v>
      </c>
      <c r="Z1071">
        <v>172.75</v>
      </c>
      <c r="AA1071">
        <v>172.75</v>
      </c>
      <c r="AB1071" s="3">
        <v>42562</v>
      </c>
      <c r="AC1071" t="s">
        <v>53</v>
      </c>
      <c r="AD1071" t="s">
        <v>53</v>
      </c>
      <c r="AK1071">
        <v>0</v>
      </c>
      <c r="AU1071" s="3">
        <v>42507</v>
      </c>
      <c r="AV1071" s="3">
        <v>42507</v>
      </c>
      <c r="AW1071" t="s">
        <v>54</v>
      </c>
      <c r="AX1071" t="str">
        <f t="shared" si="132"/>
        <v>FOR</v>
      </c>
      <c r="AY1071" t="s">
        <v>55</v>
      </c>
    </row>
    <row r="1072" spans="1:51" hidden="1">
      <c r="A1072">
        <v>100906</v>
      </c>
      <c r="B1072" t="s">
        <v>169</v>
      </c>
      <c r="C1072" t="str">
        <f t="shared" si="133"/>
        <v>06978161005</v>
      </c>
      <c r="D1072" t="str">
        <f t="shared" si="133"/>
        <v>06978161005</v>
      </c>
      <c r="E1072" t="s">
        <v>52</v>
      </c>
      <c r="F1072">
        <v>2016</v>
      </c>
      <c r="G1072" t="str">
        <f>"                 115"</f>
        <v xml:space="preserve">                 115</v>
      </c>
      <c r="H1072" s="3">
        <v>42507</v>
      </c>
      <c r="I1072" s="3">
        <v>42507</v>
      </c>
      <c r="J1072" s="3">
        <v>42507</v>
      </c>
      <c r="K1072" s="3">
        <v>42567</v>
      </c>
      <c r="L1072">
        <v>234.03</v>
      </c>
      <c r="M1072">
        <v>-60</v>
      </c>
      <c r="N1072" s="4">
        <v>-14041.8</v>
      </c>
      <c r="O1072">
        <v>234.03</v>
      </c>
      <c r="P1072">
        <v>-60</v>
      </c>
      <c r="Q1072" s="4">
        <v>-14041.8</v>
      </c>
      <c r="R1072">
        <v>0</v>
      </c>
      <c r="V1072">
        <v>234.03</v>
      </c>
      <c r="W1072">
        <v>234.03</v>
      </c>
      <c r="X1072">
        <v>234.03</v>
      </c>
      <c r="Y1072">
        <v>234.03</v>
      </c>
      <c r="Z1072">
        <v>234.03</v>
      </c>
      <c r="AA1072">
        <v>234.03</v>
      </c>
      <c r="AB1072" s="3">
        <v>42562</v>
      </c>
      <c r="AC1072" t="s">
        <v>53</v>
      </c>
      <c r="AD1072" t="s">
        <v>53</v>
      </c>
      <c r="AK1072">
        <v>0</v>
      </c>
      <c r="AU1072" s="3">
        <v>42507</v>
      </c>
      <c r="AV1072" s="3">
        <v>42507</v>
      </c>
      <c r="AW1072" t="s">
        <v>54</v>
      </c>
      <c r="AX1072" t="str">
        <f t="shared" si="132"/>
        <v>FOR</v>
      </c>
      <c r="AY1072" t="s">
        <v>55</v>
      </c>
    </row>
    <row r="1073" spans="1:51" hidden="1">
      <c r="A1073">
        <v>100906</v>
      </c>
      <c r="B1073" t="s">
        <v>169</v>
      </c>
      <c r="C1073" t="str">
        <f t="shared" si="133"/>
        <v>06978161005</v>
      </c>
      <c r="D1073" t="str">
        <f t="shared" si="133"/>
        <v>06978161005</v>
      </c>
      <c r="E1073" t="s">
        <v>52</v>
      </c>
      <c r="F1073">
        <v>2016</v>
      </c>
      <c r="G1073" t="str">
        <f>"                 116"</f>
        <v xml:space="preserve">                 116</v>
      </c>
      <c r="H1073" s="3">
        <v>42507</v>
      </c>
      <c r="I1073" s="3">
        <v>42507</v>
      </c>
      <c r="J1073" s="3">
        <v>42507</v>
      </c>
      <c r="K1073" s="3">
        <v>42567</v>
      </c>
      <c r="L1073">
        <v>100.41</v>
      </c>
      <c r="M1073">
        <v>-60</v>
      </c>
      <c r="N1073" s="4">
        <v>-6024.6</v>
      </c>
      <c r="O1073">
        <v>100.41</v>
      </c>
      <c r="P1073">
        <v>-60</v>
      </c>
      <c r="Q1073" s="4">
        <v>-6024.6</v>
      </c>
      <c r="R1073">
        <v>0</v>
      </c>
      <c r="V1073">
        <v>100.41</v>
      </c>
      <c r="W1073">
        <v>100.41</v>
      </c>
      <c r="X1073">
        <v>100.41</v>
      </c>
      <c r="Y1073">
        <v>100.41</v>
      </c>
      <c r="Z1073">
        <v>100.41</v>
      </c>
      <c r="AA1073">
        <v>100.41</v>
      </c>
      <c r="AB1073" s="3">
        <v>42562</v>
      </c>
      <c r="AC1073" t="s">
        <v>53</v>
      </c>
      <c r="AD1073" t="s">
        <v>53</v>
      </c>
      <c r="AK1073">
        <v>0</v>
      </c>
      <c r="AU1073" s="3">
        <v>42507</v>
      </c>
      <c r="AV1073" s="3">
        <v>42507</v>
      </c>
      <c r="AW1073" t="s">
        <v>54</v>
      </c>
      <c r="AX1073" t="str">
        <f t="shared" si="132"/>
        <v>FOR</v>
      </c>
      <c r="AY1073" t="s">
        <v>55</v>
      </c>
    </row>
    <row r="1074" spans="1:51" hidden="1">
      <c r="A1074">
        <v>100906</v>
      </c>
      <c r="B1074" t="s">
        <v>169</v>
      </c>
      <c r="C1074" t="str">
        <f t="shared" si="133"/>
        <v>06978161005</v>
      </c>
      <c r="D1074" t="str">
        <f t="shared" si="133"/>
        <v>06978161005</v>
      </c>
      <c r="E1074" t="s">
        <v>52</v>
      </c>
      <c r="F1074">
        <v>2016</v>
      </c>
      <c r="G1074" t="str">
        <f>"                 117"</f>
        <v xml:space="preserve">                 117</v>
      </c>
      <c r="H1074" s="3">
        <v>42507</v>
      </c>
      <c r="I1074" s="3">
        <v>42507</v>
      </c>
      <c r="J1074" s="3">
        <v>42507</v>
      </c>
      <c r="K1074" s="3">
        <v>42567</v>
      </c>
      <c r="L1074">
        <v>440.24</v>
      </c>
      <c r="M1074">
        <v>-60</v>
      </c>
      <c r="N1074" s="4">
        <v>-26414.400000000001</v>
      </c>
      <c r="O1074">
        <v>440.24</v>
      </c>
      <c r="P1074">
        <v>-60</v>
      </c>
      <c r="Q1074" s="4">
        <v>-26414.400000000001</v>
      </c>
      <c r="R1074">
        <v>0</v>
      </c>
      <c r="V1074">
        <v>440.24</v>
      </c>
      <c r="W1074">
        <v>440.24</v>
      </c>
      <c r="X1074">
        <v>440.24</v>
      </c>
      <c r="Y1074">
        <v>440.24</v>
      </c>
      <c r="Z1074">
        <v>440.24</v>
      </c>
      <c r="AA1074">
        <v>440.24</v>
      </c>
      <c r="AB1074" s="3">
        <v>42562</v>
      </c>
      <c r="AC1074" t="s">
        <v>53</v>
      </c>
      <c r="AD1074" t="s">
        <v>53</v>
      </c>
      <c r="AK1074">
        <v>0</v>
      </c>
      <c r="AU1074" s="3">
        <v>42507</v>
      </c>
      <c r="AV1074" s="3">
        <v>42507</v>
      </c>
      <c r="AW1074" t="s">
        <v>54</v>
      </c>
      <c r="AX1074" t="str">
        <f t="shared" si="132"/>
        <v>FOR</v>
      </c>
      <c r="AY1074" t="s">
        <v>55</v>
      </c>
    </row>
    <row r="1075" spans="1:51" hidden="1">
      <c r="A1075">
        <v>100906</v>
      </c>
      <c r="B1075" t="s">
        <v>169</v>
      </c>
      <c r="C1075" t="str">
        <f t="shared" ref="C1075:D1083" si="134">"06978161005"</f>
        <v>06978161005</v>
      </c>
      <c r="D1075" t="str">
        <f t="shared" si="134"/>
        <v>06978161005</v>
      </c>
      <c r="E1075" t="s">
        <v>52</v>
      </c>
      <c r="F1075">
        <v>2016</v>
      </c>
      <c r="G1075" t="str">
        <f>"                 118"</f>
        <v xml:space="preserve">                 118</v>
      </c>
      <c r="H1075" s="3">
        <v>42507</v>
      </c>
      <c r="I1075" s="3">
        <v>42507</v>
      </c>
      <c r="J1075" s="3">
        <v>42507</v>
      </c>
      <c r="K1075" s="3">
        <v>42567</v>
      </c>
      <c r="L1075">
        <v>90</v>
      </c>
      <c r="M1075">
        <v>-60</v>
      </c>
      <c r="N1075" s="4">
        <v>-5400</v>
      </c>
      <c r="O1075">
        <v>90</v>
      </c>
      <c r="P1075">
        <v>-60</v>
      </c>
      <c r="Q1075" s="4">
        <v>-5400</v>
      </c>
      <c r="R1075">
        <v>0</v>
      </c>
      <c r="V1075">
        <v>90</v>
      </c>
      <c r="W1075">
        <v>90</v>
      </c>
      <c r="X1075">
        <v>90</v>
      </c>
      <c r="Y1075">
        <v>90</v>
      </c>
      <c r="Z1075">
        <v>90</v>
      </c>
      <c r="AA1075">
        <v>90</v>
      </c>
      <c r="AB1075" s="3">
        <v>42562</v>
      </c>
      <c r="AC1075" t="s">
        <v>53</v>
      </c>
      <c r="AD1075" t="s">
        <v>53</v>
      </c>
      <c r="AK1075">
        <v>0</v>
      </c>
      <c r="AU1075" s="3">
        <v>42507</v>
      </c>
      <c r="AV1075" s="3">
        <v>42507</v>
      </c>
      <c r="AW1075" t="s">
        <v>54</v>
      </c>
      <c r="AX1075" t="str">
        <f t="shared" si="132"/>
        <v>FOR</v>
      </c>
      <c r="AY1075" t="s">
        <v>55</v>
      </c>
    </row>
    <row r="1076" spans="1:51" hidden="1">
      <c r="A1076">
        <v>100906</v>
      </c>
      <c r="B1076" t="s">
        <v>169</v>
      </c>
      <c r="C1076" t="str">
        <f t="shared" si="134"/>
        <v>06978161005</v>
      </c>
      <c r="D1076" t="str">
        <f t="shared" si="134"/>
        <v>06978161005</v>
      </c>
      <c r="E1076" t="s">
        <v>52</v>
      </c>
      <c r="F1076">
        <v>2016</v>
      </c>
      <c r="G1076" t="str">
        <f>"                 121"</f>
        <v xml:space="preserve">                 121</v>
      </c>
      <c r="H1076" s="3">
        <v>42516</v>
      </c>
      <c r="I1076" s="3">
        <v>42516</v>
      </c>
      <c r="J1076" s="3">
        <v>42516</v>
      </c>
      <c r="K1076" s="3">
        <v>42576</v>
      </c>
      <c r="L1076" s="4">
        <v>14959</v>
      </c>
      <c r="M1076">
        <v>-32</v>
      </c>
      <c r="N1076" s="4">
        <v>-478688</v>
      </c>
      <c r="O1076" s="4">
        <v>14959</v>
      </c>
      <c r="P1076">
        <v>-32</v>
      </c>
      <c r="Q1076" s="4">
        <v>-478688</v>
      </c>
      <c r="R1076">
        <v>0</v>
      </c>
      <c r="V1076" s="4">
        <v>14959</v>
      </c>
      <c r="W1076" s="4">
        <v>14959</v>
      </c>
      <c r="X1076" s="4">
        <v>14959</v>
      </c>
      <c r="Y1076" s="4">
        <v>14959</v>
      </c>
      <c r="Z1076" s="4">
        <v>14959</v>
      </c>
      <c r="AA1076" s="4">
        <v>14959</v>
      </c>
      <c r="AB1076" s="3">
        <v>42562</v>
      </c>
      <c r="AC1076" t="s">
        <v>53</v>
      </c>
      <c r="AD1076" t="s">
        <v>53</v>
      </c>
      <c r="AK1076">
        <v>0</v>
      </c>
      <c r="AU1076" s="3">
        <v>42544</v>
      </c>
      <c r="AV1076" s="3">
        <v>42544</v>
      </c>
      <c r="AW1076" t="s">
        <v>54</v>
      </c>
      <c r="AX1076" t="str">
        <f t="shared" si="132"/>
        <v>FOR</v>
      </c>
      <c r="AY1076" t="s">
        <v>55</v>
      </c>
    </row>
    <row r="1077" spans="1:51" hidden="1">
      <c r="A1077">
        <v>100906</v>
      </c>
      <c r="B1077" t="s">
        <v>169</v>
      </c>
      <c r="C1077" t="str">
        <f t="shared" si="134"/>
        <v>06978161005</v>
      </c>
      <c r="D1077" t="str">
        <f t="shared" si="134"/>
        <v>06978161005</v>
      </c>
      <c r="E1077" t="s">
        <v>52</v>
      </c>
      <c r="F1077">
        <v>2016</v>
      </c>
      <c r="G1077" t="str">
        <f>"                 150"</f>
        <v xml:space="preserve">                 150</v>
      </c>
      <c r="H1077" s="3">
        <v>42542</v>
      </c>
      <c r="I1077" s="3">
        <v>42542</v>
      </c>
      <c r="J1077" s="3">
        <v>42542</v>
      </c>
      <c r="K1077" s="3">
        <v>42602</v>
      </c>
      <c r="L1077" s="4">
        <v>14959</v>
      </c>
      <c r="M1077">
        <v>-58</v>
      </c>
      <c r="N1077" s="4">
        <v>-867622</v>
      </c>
      <c r="O1077" s="4">
        <v>14959</v>
      </c>
      <c r="P1077">
        <v>-58</v>
      </c>
      <c r="Q1077" s="4">
        <v>-867622</v>
      </c>
      <c r="R1077">
        <v>0</v>
      </c>
      <c r="V1077" s="4">
        <v>14959</v>
      </c>
      <c r="W1077" s="4">
        <v>14959</v>
      </c>
      <c r="X1077" s="4">
        <v>14959</v>
      </c>
      <c r="Y1077" s="4">
        <v>14959</v>
      </c>
      <c r="Z1077" s="4">
        <v>14959</v>
      </c>
      <c r="AA1077" s="4">
        <v>14959</v>
      </c>
      <c r="AB1077" s="3">
        <v>42562</v>
      </c>
      <c r="AC1077" t="s">
        <v>53</v>
      </c>
      <c r="AD1077" t="s">
        <v>53</v>
      </c>
      <c r="AK1077">
        <v>0</v>
      </c>
      <c r="AU1077" s="3">
        <v>42544</v>
      </c>
      <c r="AV1077" s="3">
        <v>42544</v>
      </c>
      <c r="AW1077" t="s">
        <v>54</v>
      </c>
      <c r="AX1077" t="str">
        <f t="shared" si="132"/>
        <v>FOR</v>
      </c>
      <c r="AY1077" t="s">
        <v>55</v>
      </c>
    </row>
    <row r="1078" spans="1:51" hidden="1">
      <c r="A1078">
        <v>100906</v>
      </c>
      <c r="B1078" t="s">
        <v>169</v>
      </c>
      <c r="C1078" t="str">
        <f t="shared" si="134"/>
        <v>06978161005</v>
      </c>
      <c r="D1078" t="str">
        <f t="shared" si="134"/>
        <v>06978161005</v>
      </c>
      <c r="E1078" t="s">
        <v>52</v>
      </c>
      <c r="F1078">
        <v>2016</v>
      </c>
      <c r="G1078" t="str">
        <f>"                 151"</f>
        <v xml:space="preserve">                 151</v>
      </c>
      <c r="H1078" s="3">
        <v>42542</v>
      </c>
      <c r="I1078" s="3">
        <v>42542</v>
      </c>
      <c r="J1078" s="3">
        <v>42542</v>
      </c>
      <c r="K1078" s="3">
        <v>42602</v>
      </c>
      <c r="L1078" s="4">
        <v>14959.69</v>
      </c>
      <c r="M1078">
        <v>-58</v>
      </c>
      <c r="N1078" s="4">
        <v>-867662.02</v>
      </c>
      <c r="O1078" s="4">
        <v>14959.69</v>
      </c>
      <c r="P1078">
        <v>-58</v>
      </c>
      <c r="Q1078" s="4">
        <v>-867662.02</v>
      </c>
      <c r="R1078">
        <v>0</v>
      </c>
      <c r="V1078" s="4">
        <v>14959.69</v>
      </c>
      <c r="W1078" s="4">
        <v>14959.69</v>
      </c>
      <c r="X1078" s="4">
        <v>14959.69</v>
      </c>
      <c r="Y1078" s="4">
        <v>14959.69</v>
      </c>
      <c r="Z1078" s="4">
        <v>14959.69</v>
      </c>
      <c r="AA1078" s="4">
        <v>14959.69</v>
      </c>
      <c r="AB1078" s="3">
        <v>42562</v>
      </c>
      <c r="AC1078" t="s">
        <v>53</v>
      </c>
      <c r="AD1078" t="s">
        <v>53</v>
      </c>
      <c r="AK1078">
        <v>0</v>
      </c>
      <c r="AU1078" s="3">
        <v>42544</v>
      </c>
      <c r="AV1078" s="3">
        <v>42544</v>
      </c>
      <c r="AW1078" t="s">
        <v>54</v>
      </c>
      <c r="AX1078" t="str">
        <f t="shared" si="132"/>
        <v>FOR</v>
      </c>
      <c r="AY1078" t="s">
        <v>55</v>
      </c>
    </row>
    <row r="1079" spans="1:51" hidden="1">
      <c r="A1079">
        <v>100906</v>
      </c>
      <c r="B1079" t="s">
        <v>169</v>
      </c>
      <c r="C1079" t="str">
        <f t="shared" si="134"/>
        <v>06978161005</v>
      </c>
      <c r="D1079" t="str">
        <f t="shared" si="134"/>
        <v>06978161005</v>
      </c>
      <c r="E1079" t="s">
        <v>52</v>
      </c>
      <c r="F1079">
        <v>2016</v>
      </c>
      <c r="G1079" t="str">
        <f>"                 152"</f>
        <v xml:space="preserve">                 152</v>
      </c>
      <c r="H1079" s="3">
        <v>42542</v>
      </c>
      <c r="I1079" s="3">
        <v>42542</v>
      </c>
      <c r="J1079" s="3">
        <v>42542</v>
      </c>
      <c r="K1079" s="3">
        <v>42602</v>
      </c>
      <c r="L1079">
        <v>168.38</v>
      </c>
      <c r="M1079">
        <v>-58</v>
      </c>
      <c r="N1079" s="4">
        <v>-9766.0400000000009</v>
      </c>
      <c r="O1079">
        <v>168.38</v>
      </c>
      <c r="P1079">
        <v>-58</v>
      </c>
      <c r="Q1079" s="4">
        <v>-9766.0400000000009</v>
      </c>
      <c r="R1079">
        <v>0</v>
      </c>
      <c r="V1079">
        <v>168.38</v>
      </c>
      <c r="W1079">
        <v>168.38</v>
      </c>
      <c r="X1079">
        <v>168.38</v>
      </c>
      <c r="Y1079">
        <v>168.38</v>
      </c>
      <c r="Z1079">
        <v>168.38</v>
      </c>
      <c r="AA1079">
        <v>168.38</v>
      </c>
      <c r="AB1079" s="3">
        <v>42562</v>
      </c>
      <c r="AC1079" t="s">
        <v>53</v>
      </c>
      <c r="AD1079" t="s">
        <v>53</v>
      </c>
      <c r="AK1079">
        <v>0</v>
      </c>
      <c r="AU1079" s="3">
        <v>42544</v>
      </c>
      <c r="AV1079" s="3">
        <v>42544</v>
      </c>
      <c r="AW1079" t="s">
        <v>54</v>
      </c>
      <c r="AX1079" t="str">
        <f t="shared" ref="AX1079:AX1098" si="135">"FOR"</f>
        <v>FOR</v>
      </c>
      <c r="AY1079" t="s">
        <v>55</v>
      </c>
    </row>
    <row r="1080" spans="1:51" hidden="1">
      <c r="A1080">
        <v>100906</v>
      </c>
      <c r="B1080" t="s">
        <v>169</v>
      </c>
      <c r="C1080" t="str">
        <f t="shared" si="134"/>
        <v>06978161005</v>
      </c>
      <c r="D1080" t="str">
        <f t="shared" si="134"/>
        <v>06978161005</v>
      </c>
      <c r="E1080" t="s">
        <v>52</v>
      </c>
      <c r="F1080">
        <v>2016</v>
      </c>
      <c r="G1080" t="str">
        <f>"                 153"</f>
        <v xml:space="preserve">                 153</v>
      </c>
      <c r="H1080" s="3">
        <v>42542</v>
      </c>
      <c r="I1080" s="3">
        <v>42542</v>
      </c>
      <c r="J1080" s="3">
        <v>42542</v>
      </c>
      <c r="K1080" s="3">
        <v>42602</v>
      </c>
      <c r="L1080">
        <v>152.84</v>
      </c>
      <c r="M1080">
        <v>-58</v>
      </c>
      <c r="N1080" s="4">
        <v>-8864.7199999999993</v>
      </c>
      <c r="O1080">
        <v>152.84</v>
      </c>
      <c r="P1080">
        <v>-58</v>
      </c>
      <c r="Q1080" s="4">
        <v>-8864.7199999999993</v>
      </c>
      <c r="R1080">
        <v>0</v>
      </c>
      <c r="V1080">
        <v>152.84</v>
      </c>
      <c r="W1080">
        <v>152.84</v>
      </c>
      <c r="X1080">
        <v>152.84</v>
      </c>
      <c r="Y1080">
        <v>152.84</v>
      </c>
      <c r="Z1080">
        <v>152.84</v>
      </c>
      <c r="AA1080">
        <v>152.84</v>
      </c>
      <c r="AB1080" s="3">
        <v>42562</v>
      </c>
      <c r="AC1080" t="s">
        <v>53</v>
      </c>
      <c r="AD1080" t="s">
        <v>53</v>
      </c>
      <c r="AK1080">
        <v>0</v>
      </c>
      <c r="AU1080" s="3">
        <v>42544</v>
      </c>
      <c r="AV1080" s="3">
        <v>42544</v>
      </c>
      <c r="AW1080" t="s">
        <v>54</v>
      </c>
      <c r="AX1080" t="str">
        <f t="shared" si="135"/>
        <v>FOR</v>
      </c>
      <c r="AY1080" t="s">
        <v>55</v>
      </c>
    </row>
    <row r="1081" spans="1:51" hidden="1">
      <c r="A1081">
        <v>100906</v>
      </c>
      <c r="B1081" t="s">
        <v>169</v>
      </c>
      <c r="C1081" t="str">
        <f t="shared" si="134"/>
        <v>06978161005</v>
      </c>
      <c r="D1081" t="str">
        <f t="shared" si="134"/>
        <v>06978161005</v>
      </c>
      <c r="E1081" t="s">
        <v>52</v>
      </c>
      <c r="F1081">
        <v>2016</v>
      </c>
      <c r="G1081" t="str">
        <f>"                 154"</f>
        <v xml:space="preserve">                 154</v>
      </c>
      <c r="H1081" s="3">
        <v>42542</v>
      </c>
      <c r="I1081" s="3">
        <v>42542</v>
      </c>
      <c r="J1081" s="3">
        <v>42542</v>
      </c>
      <c r="K1081" s="3">
        <v>42602</v>
      </c>
      <c r="L1081">
        <v>477.94</v>
      </c>
      <c r="M1081">
        <v>-58</v>
      </c>
      <c r="N1081" s="4">
        <v>-27720.52</v>
      </c>
      <c r="O1081">
        <v>477.94</v>
      </c>
      <c r="P1081">
        <v>-58</v>
      </c>
      <c r="Q1081" s="4">
        <v>-27720.52</v>
      </c>
      <c r="R1081">
        <v>0</v>
      </c>
      <c r="V1081">
        <v>477.94</v>
      </c>
      <c r="W1081">
        <v>477.94</v>
      </c>
      <c r="X1081">
        <v>477.94</v>
      </c>
      <c r="Y1081">
        <v>477.94</v>
      </c>
      <c r="Z1081">
        <v>477.94</v>
      </c>
      <c r="AA1081">
        <v>477.94</v>
      </c>
      <c r="AB1081" s="3">
        <v>42562</v>
      </c>
      <c r="AC1081" t="s">
        <v>53</v>
      </c>
      <c r="AD1081" t="s">
        <v>53</v>
      </c>
      <c r="AK1081">
        <v>0</v>
      </c>
      <c r="AU1081" s="3">
        <v>42544</v>
      </c>
      <c r="AV1081" s="3">
        <v>42544</v>
      </c>
      <c r="AW1081" t="s">
        <v>54</v>
      </c>
      <c r="AX1081" t="str">
        <f t="shared" si="135"/>
        <v>FOR</v>
      </c>
      <c r="AY1081" t="s">
        <v>55</v>
      </c>
    </row>
    <row r="1082" spans="1:51" hidden="1">
      <c r="A1082">
        <v>100906</v>
      </c>
      <c r="B1082" t="s">
        <v>169</v>
      </c>
      <c r="C1082" t="str">
        <f t="shared" si="134"/>
        <v>06978161005</v>
      </c>
      <c r="D1082" t="str">
        <f t="shared" si="134"/>
        <v>06978161005</v>
      </c>
      <c r="E1082" t="s">
        <v>52</v>
      </c>
      <c r="F1082">
        <v>2016</v>
      </c>
      <c r="G1082" t="str">
        <f>"                 155"</f>
        <v xml:space="preserve">                 155</v>
      </c>
      <c r="H1082" s="3">
        <v>42542</v>
      </c>
      <c r="I1082" s="3">
        <v>42542</v>
      </c>
      <c r="J1082" s="3">
        <v>42542</v>
      </c>
      <c r="K1082" s="3">
        <v>42602</v>
      </c>
      <c r="L1082">
        <v>108.81</v>
      </c>
      <c r="M1082">
        <v>-58</v>
      </c>
      <c r="N1082" s="4">
        <v>-6310.98</v>
      </c>
      <c r="O1082">
        <v>108.81</v>
      </c>
      <c r="P1082">
        <v>-58</v>
      </c>
      <c r="Q1082" s="4">
        <v>-6310.98</v>
      </c>
      <c r="R1082">
        <v>0</v>
      </c>
      <c r="V1082">
        <v>108.81</v>
      </c>
      <c r="W1082">
        <v>108.81</v>
      </c>
      <c r="X1082">
        <v>108.81</v>
      </c>
      <c r="Y1082">
        <v>108.81</v>
      </c>
      <c r="Z1082">
        <v>108.81</v>
      </c>
      <c r="AA1082">
        <v>108.81</v>
      </c>
      <c r="AB1082" s="3">
        <v>42562</v>
      </c>
      <c r="AC1082" t="s">
        <v>53</v>
      </c>
      <c r="AD1082" t="s">
        <v>53</v>
      </c>
      <c r="AK1082">
        <v>0</v>
      </c>
      <c r="AU1082" s="3">
        <v>42544</v>
      </c>
      <c r="AV1082" s="3">
        <v>42544</v>
      </c>
      <c r="AW1082" t="s">
        <v>54</v>
      </c>
      <c r="AX1082" t="str">
        <f t="shared" si="135"/>
        <v>FOR</v>
      </c>
      <c r="AY1082" t="s">
        <v>55</v>
      </c>
    </row>
    <row r="1083" spans="1:51" hidden="1">
      <c r="A1083">
        <v>100906</v>
      </c>
      <c r="B1083" t="s">
        <v>169</v>
      </c>
      <c r="C1083" t="str">
        <f t="shared" si="134"/>
        <v>06978161005</v>
      </c>
      <c r="D1083" t="str">
        <f t="shared" si="134"/>
        <v>06978161005</v>
      </c>
      <c r="E1083" t="s">
        <v>52</v>
      </c>
      <c r="F1083">
        <v>2016</v>
      </c>
      <c r="G1083" t="str">
        <f>"                 156"</f>
        <v xml:space="preserve">                 156</v>
      </c>
      <c r="H1083" s="3">
        <v>42542</v>
      </c>
      <c r="I1083" s="3">
        <v>42542</v>
      </c>
      <c r="J1083" s="3">
        <v>42542</v>
      </c>
      <c r="K1083" s="3">
        <v>42602</v>
      </c>
      <c r="L1083">
        <v>90</v>
      </c>
      <c r="M1083">
        <v>-58</v>
      </c>
      <c r="N1083" s="4">
        <v>-5220</v>
      </c>
      <c r="O1083">
        <v>90</v>
      </c>
      <c r="P1083">
        <v>-58</v>
      </c>
      <c r="Q1083" s="4">
        <v>-5220</v>
      </c>
      <c r="R1083">
        <v>0</v>
      </c>
      <c r="V1083">
        <v>90</v>
      </c>
      <c r="W1083">
        <v>90</v>
      </c>
      <c r="X1083">
        <v>90</v>
      </c>
      <c r="Y1083">
        <v>90</v>
      </c>
      <c r="Z1083">
        <v>90</v>
      </c>
      <c r="AA1083">
        <v>90</v>
      </c>
      <c r="AB1083" s="3">
        <v>42562</v>
      </c>
      <c r="AC1083" t="s">
        <v>53</v>
      </c>
      <c r="AD1083" t="s">
        <v>53</v>
      </c>
      <c r="AK1083">
        <v>0</v>
      </c>
      <c r="AU1083" s="3">
        <v>42544</v>
      </c>
      <c r="AV1083" s="3">
        <v>42544</v>
      </c>
      <c r="AW1083" t="s">
        <v>54</v>
      </c>
      <c r="AX1083" t="str">
        <f t="shared" si="135"/>
        <v>FOR</v>
      </c>
      <c r="AY1083" t="s">
        <v>55</v>
      </c>
    </row>
    <row r="1084" spans="1:51" hidden="1">
      <c r="A1084">
        <v>100916</v>
      </c>
      <c r="B1084" t="s">
        <v>170</v>
      </c>
      <c r="C1084" t="str">
        <f t="shared" ref="C1084:D1091" si="136">"06117251212"</f>
        <v>06117251212</v>
      </c>
      <c r="D1084" t="str">
        <f t="shared" si="136"/>
        <v>06117251212</v>
      </c>
      <c r="E1084" t="s">
        <v>52</v>
      </c>
      <c r="F1084">
        <v>2015</v>
      </c>
      <c r="G1084" t="str">
        <f>"                   9"</f>
        <v xml:space="preserve">                   9</v>
      </c>
      <c r="H1084" s="3">
        <v>42039</v>
      </c>
      <c r="I1084" s="3">
        <v>42045</v>
      </c>
      <c r="J1084" s="3">
        <v>42045</v>
      </c>
      <c r="K1084" s="3">
        <v>42105</v>
      </c>
      <c r="L1084"/>
      <c r="N1084"/>
      <c r="O1084" s="4">
        <v>30000</v>
      </c>
      <c r="P1084">
        <v>298</v>
      </c>
      <c r="Q1084" s="4">
        <v>8940000</v>
      </c>
      <c r="R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0</v>
      </c>
      <c r="AB1084" s="3">
        <v>42562</v>
      </c>
      <c r="AC1084" t="s">
        <v>53</v>
      </c>
      <c r="AD1084" t="s">
        <v>53</v>
      </c>
      <c r="AK1084">
        <v>0</v>
      </c>
      <c r="AU1084" s="3">
        <v>42403</v>
      </c>
      <c r="AV1084" s="3">
        <v>42403</v>
      </c>
      <c r="AW1084" t="s">
        <v>54</v>
      </c>
      <c r="AX1084" t="str">
        <f t="shared" si="135"/>
        <v>FOR</v>
      </c>
      <c r="AY1084" t="s">
        <v>55</v>
      </c>
    </row>
    <row r="1085" spans="1:51" hidden="1">
      <c r="A1085">
        <v>100916</v>
      </c>
      <c r="B1085" t="s">
        <v>170</v>
      </c>
      <c r="C1085" t="str">
        <f t="shared" si="136"/>
        <v>06117251212</v>
      </c>
      <c r="D1085" t="str">
        <f t="shared" si="136"/>
        <v>06117251212</v>
      </c>
      <c r="E1085" t="s">
        <v>52</v>
      </c>
      <c r="F1085">
        <v>2015</v>
      </c>
      <c r="G1085" t="str">
        <f>"                  10"</f>
        <v xml:space="preserve">                  10</v>
      </c>
      <c r="H1085" s="3">
        <v>42040</v>
      </c>
      <c r="I1085" s="3">
        <v>42045</v>
      </c>
      <c r="J1085" s="3">
        <v>42045</v>
      </c>
      <c r="K1085" s="3">
        <v>42105</v>
      </c>
      <c r="L1085"/>
      <c r="N1085"/>
      <c r="O1085" s="4">
        <v>12350</v>
      </c>
      <c r="P1085">
        <v>298</v>
      </c>
      <c r="Q1085" s="4">
        <v>3680300</v>
      </c>
      <c r="R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 s="3">
        <v>42562</v>
      </c>
      <c r="AC1085" t="s">
        <v>53</v>
      </c>
      <c r="AD1085" t="s">
        <v>53</v>
      </c>
      <c r="AK1085">
        <v>0</v>
      </c>
      <c r="AU1085" s="3">
        <v>42403</v>
      </c>
      <c r="AV1085" s="3">
        <v>42403</v>
      </c>
      <c r="AW1085" t="s">
        <v>54</v>
      </c>
      <c r="AX1085" t="str">
        <f t="shared" si="135"/>
        <v>FOR</v>
      </c>
      <c r="AY1085" t="s">
        <v>55</v>
      </c>
    </row>
    <row r="1086" spans="1:51" hidden="1">
      <c r="A1086">
        <v>100916</v>
      </c>
      <c r="B1086" t="s">
        <v>170</v>
      </c>
      <c r="C1086" t="str">
        <f t="shared" si="136"/>
        <v>06117251212</v>
      </c>
      <c r="D1086" t="str">
        <f t="shared" si="136"/>
        <v>06117251212</v>
      </c>
      <c r="E1086" t="s">
        <v>52</v>
      </c>
      <c r="F1086">
        <v>2015</v>
      </c>
      <c r="G1086" t="str">
        <f>"                  15"</f>
        <v xml:space="preserve">                  15</v>
      </c>
      <c r="H1086" s="3">
        <v>42066</v>
      </c>
      <c r="I1086" s="3">
        <v>42080</v>
      </c>
      <c r="J1086" s="3">
        <v>42080</v>
      </c>
      <c r="K1086" s="3">
        <v>42140</v>
      </c>
      <c r="L1086"/>
      <c r="N1086"/>
      <c r="O1086" s="4">
        <v>30000</v>
      </c>
      <c r="P1086">
        <v>276</v>
      </c>
      <c r="Q1086" s="4">
        <v>8280000</v>
      </c>
      <c r="R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 s="3">
        <v>42562</v>
      </c>
      <c r="AC1086" t="s">
        <v>53</v>
      </c>
      <c r="AD1086" t="s">
        <v>53</v>
      </c>
      <c r="AK1086">
        <v>0</v>
      </c>
      <c r="AU1086" s="3">
        <v>42416</v>
      </c>
      <c r="AV1086" s="3">
        <v>42416</v>
      </c>
      <c r="AW1086" t="s">
        <v>54</v>
      </c>
      <c r="AX1086" t="str">
        <f t="shared" si="135"/>
        <v>FOR</v>
      </c>
      <c r="AY1086" t="s">
        <v>55</v>
      </c>
    </row>
    <row r="1087" spans="1:51" hidden="1">
      <c r="A1087">
        <v>100916</v>
      </c>
      <c r="B1087" t="s">
        <v>170</v>
      </c>
      <c r="C1087" t="str">
        <f t="shared" si="136"/>
        <v>06117251212</v>
      </c>
      <c r="D1087" t="str">
        <f t="shared" si="136"/>
        <v>06117251212</v>
      </c>
      <c r="E1087" t="s">
        <v>52</v>
      </c>
      <c r="F1087">
        <v>2015</v>
      </c>
      <c r="G1087" t="str">
        <f>"                  18"</f>
        <v xml:space="preserve">                  18</v>
      </c>
      <c r="H1087" s="3">
        <v>42075</v>
      </c>
      <c r="I1087" s="3">
        <v>42086</v>
      </c>
      <c r="J1087" s="3">
        <v>42086</v>
      </c>
      <c r="K1087" s="3">
        <v>42146</v>
      </c>
      <c r="L1087"/>
      <c r="N1087"/>
      <c r="O1087" s="4">
        <v>21166</v>
      </c>
      <c r="P1087">
        <v>270</v>
      </c>
      <c r="Q1087" s="4">
        <v>5714820</v>
      </c>
      <c r="R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 s="3">
        <v>42562</v>
      </c>
      <c r="AC1087" t="s">
        <v>53</v>
      </c>
      <c r="AD1087" t="s">
        <v>53</v>
      </c>
      <c r="AK1087">
        <v>0</v>
      </c>
      <c r="AU1087" s="3">
        <v>42416</v>
      </c>
      <c r="AV1087" s="3">
        <v>42416</v>
      </c>
      <c r="AW1087" t="s">
        <v>54</v>
      </c>
      <c r="AX1087" t="str">
        <f t="shared" si="135"/>
        <v>FOR</v>
      </c>
      <c r="AY1087" t="s">
        <v>55</v>
      </c>
    </row>
    <row r="1088" spans="1:51" hidden="1">
      <c r="A1088">
        <v>100916</v>
      </c>
      <c r="B1088" t="s">
        <v>170</v>
      </c>
      <c r="C1088" t="str">
        <f t="shared" si="136"/>
        <v>06117251212</v>
      </c>
      <c r="D1088" t="str">
        <f t="shared" si="136"/>
        <v>06117251212</v>
      </c>
      <c r="E1088" t="s">
        <v>52</v>
      </c>
      <c r="F1088">
        <v>2015</v>
      </c>
      <c r="G1088" t="str">
        <f>"          000029/0C0"</f>
        <v xml:space="preserve">          000029/0C0</v>
      </c>
      <c r="H1088" s="3">
        <v>42101</v>
      </c>
      <c r="I1088" s="3">
        <v>42116</v>
      </c>
      <c r="J1088" s="3">
        <v>42115</v>
      </c>
      <c r="K1088" s="3">
        <v>42175</v>
      </c>
      <c r="L1088"/>
      <c r="N1088"/>
      <c r="O1088" s="4">
        <v>30000</v>
      </c>
      <c r="P1088">
        <v>258</v>
      </c>
      <c r="Q1088" s="4">
        <v>7740000</v>
      </c>
      <c r="R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 s="3">
        <v>42562</v>
      </c>
      <c r="AC1088" t="s">
        <v>53</v>
      </c>
      <c r="AD1088" t="s">
        <v>53</v>
      </c>
      <c r="AK1088">
        <v>0</v>
      </c>
      <c r="AU1088" s="3">
        <v>42433</v>
      </c>
      <c r="AV1088" s="3">
        <v>42433</v>
      </c>
      <c r="AW1088" t="s">
        <v>54</v>
      </c>
      <c r="AX1088" t="str">
        <f t="shared" si="135"/>
        <v>FOR</v>
      </c>
      <c r="AY1088" t="s">
        <v>55</v>
      </c>
    </row>
    <row r="1089" spans="1:51" hidden="1">
      <c r="A1089">
        <v>100916</v>
      </c>
      <c r="B1089" t="s">
        <v>170</v>
      </c>
      <c r="C1089" t="str">
        <f t="shared" si="136"/>
        <v>06117251212</v>
      </c>
      <c r="D1089" t="str">
        <f t="shared" si="136"/>
        <v>06117251212</v>
      </c>
      <c r="E1089" t="s">
        <v>52</v>
      </c>
      <c r="F1089">
        <v>2015</v>
      </c>
      <c r="G1089" t="str">
        <f>"          000034/0C0"</f>
        <v xml:space="preserve">          000034/0C0</v>
      </c>
      <c r="H1089" s="3">
        <v>42121</v>
      </c>
      <c r="I1089" s="3">
        <v>42142</v>
      </c>
      <c r="J1089" s="3">
        <v>42137</v>
      </c>
      <c r="K1089" s="3">
        <v>42197</v>
      </c>
      <c r="L1089"/>
      <c r="N1089"/>
      <c r="O1089" s="4">
        <v>2900</v>
      </c>
      <c r="P1089">
        <v>236</v>
      </c>
      <c r="Q1089" s="4">
        <v>684400</v>
      </c>
      <c r="R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 s="3">
        <v>42562</v>
      </c>
      <c r="AC1089" t="s">
        <v>53</v>
      </c>
      <c r="AD1089" t="s">
        <v>53</v>
      </c>
      <c r="AK1089">
        <v>0</v>
      </c>
      <c r="AU1089" s="3">
        <v>42433</v>
      </c>
      <c r="AV1089" s="3">
        <v>42433</v>
      </c>
      <c r="AW1089" t="s">
        <v>54</v>
      </c>
      <c r="AX1089" t="str">
        <f t="shared" si="135"/>
        <v>FOR</v>
      </c>
      <c r="AY1089" t="s">
        <v>55</v>
      </c>
    </row>
    <row r="1090" spans="1:51" hidden="1">
      <c r="A1090">
        <v>100916</v>
      </c>
      <c r="B1090" t="s">
        <v>170</v>
      </c>
      <c r="C1090" t="str">
        <f t="shared" si="136"/>
        <v>06117251212</v>
      </c>
      <c r="D1090" t="str">
        <f t="shared" si="136"/>
        <v>06117251212</v>
      </c>
      <c r="E1090" t="s">
        <v>52</v>
      </c>
      <c r="F1090">
        <v>2015</v>
      </c>
      <c r="G1090" t="str">
        <f>"          000035/0C0"</f>
        <v xml:space="preserve">          000035/0C0</v>
      </c>
      <c r="H1090" s="3">
        <v>42122</v>
      </c>
      <c r="I1090" s="3">
        <v>42131</v>
      </c>
      <c r="J1090" s="3">
        <v>42130</v>
      </c>
      <c r="K1090" s="3">
        <v>42190</v>
      </c>
      <c r="L1090"/>
      <c r="N1090"/>
      <c r="O1090" s="4">
        <v>30000</v>
      </c>
      <c r="P1090">
        <v>243</v>
      </c>
      <c r="Q1090" s="4">
        <v>7290000</v>
      </c>
      <c r="R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 s="3">
        <v>42562</v>
      </c>
      <c r="AC1090" t="s">
        <v>53</v>
      </c>
      <c r="AD1090" t="s">
        <v>53</v>
      </c>
      <c r="AK1090">
        <v>0</v>
      </c>
      <c r="AU1090" s="3">
        <v>42433</v>
      </c>
      <c r="AV1090" s="3">
        <v>42433</v>
      </c>
      <c r="AW1090" t="s">
        <v>54</v>
      </c>
      <c r="AX1090" t="str">
        <f t="shared" si="135"/>
        <v>FOR</v>
      </c>
      <c r="AY1090" t="s">
        <v>55</v>
      </c>
    </row>
    <row r="1091" spans="1:51">
      <c r="A1091">
        <v>100916</v>
      </c>
      <c r="B1091" t="s">
        <v>170</v>
      </c>
      <c r="C1091" t="str">
        <f t="shared" si="136"/>
        <v>06117251212</v>
      </c>
      <c r="D1091" t="str">
        <f t="shared" si="136"/>
        <v>06117251212</v>
      </c>
      <c r="E1091" t="s">
        <v>52</v>
      </c>
      <c r="F1091">
        <v>2015</v>
      </c>
      <c r="G1091" t="str">
        <f>"          000044/0C0"</f>
        <v xml:space="preserve">          000044/0C0</v>
      </c>
      <c r="H1091" s="3">
        <v>42173</v>
      </c>
      <c r="I1091" s="3">
        <v>42185</v>
      </c>
      <c r="J1091" s="3">
        <v>42181</v>
      </c>
      <c r="K1091" s="3">
        <v>42241</v>
      </c>
      <c r="L1091" s="5">
        <v>30000</v>
      </c>
      <c r="M1091">
        <v>279</v>
      </c>
      <c r="N1091" s="5">
        <v>8370000</v>
      </c>
      <c r="O1091" s="4">
        <v>30000</v>
      </c>
      <c r="P1091">
        <v>279</v>
      </c>
      <c r="Q1091" s="4">
        <v>8370000</v>
      </c>
      <c r="R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 s="3">
        <v>42562</v>
      </c>
      <c r="AC1091" t="s">
        <v>53</v>
      </c>
      <c r="AD1091" t="s">
        <v>53</v>
      </c>
      <c r="AK1091">
        <v>0</v>
      </c>
      <c r="AU1091" s="3">
        <v>42520</v>
      </c>
      <c r="AV1091" s="3">
        <v>42520</v>
      </c>
      <c r="AW1091" t="s">
        <v>54</v>
      </c>
      <c r="AX1091" t="str">
        <f t="shared" si="135"/>
        <v>FOR</v>
      </c>
      <c r="AY1091" t="s">
        <v>55</v>
      </c>
    </row>
    <row r="1092" spans="1:51">
      <c r="A1092">
        <v>100917</v>
      </c>
      <c r="B1092" t="s">
        <v>171</v>
      </c>
      <c r="C1092" t="str">
        <f>"12400990151"</f>
        <v>12400990151</v>
      </c>
      <c r="D1092" t="str">
        <f>"12400990151"</f>
        <v>12400990151</v>
      </c>
      <c r="E1092" t="s">
        <v>52</v>
      </c>
      <c r="F1092">
        <v>2013</v>
      </c>
      <c r="G1092" t="str">
        <f>"             1310392"</f>
        <v xml:space="preserve">             1310392</v>
      </c>
      <c r="H1092" s="3">
        <v>41340</v>
      </c>
      <c r="I1092" s="3">
        <v>41346</v>
      </c>
      <c r="J1092" s="3">
        <v>41346</v>
      </c>
      <c r="K1092" s="3">
        <v>41436</v>
      </c>
      <c r="L1092" s="1">
        <v>786.5</v>
      </c>
      <c r="M1092">
        <v>1094</v>
      </c>
      <c r="N1092" s="5">
        <v>860431</v>
      </c>
      <c r="O1092">
        <v>786.5</v>
      </c>
      <c r="P1092">
        <v>1094</v>
      </c>
      <c r="Q1092" s="4">
        <v>860431</v>
      </c>
      <c r="R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 s="3">
        <v>42562</v>
      </c>
      <c r="AC1092" t="s">
        <v>53</v>
      </c>
      <c r="AD1092" t="s">
        <v>53</v>
      </c>
      <c r="AK1092">
        <v>0</v>
      </c>
      <c r="AU1092" s="3">
        <v>42530</v>
      </c>
      <c r="AV1092" s="3">
        <v>42530</v>
      </c>
      <c r="AW1092" t="s">
        <v>54</v>
      </c>
      <c r="AX1092" t="str">
        <f t="shared" si="135"/>
        <v>FOR</v>
      </c>
      <c r="AY1092" t="s">
        <v>55</v>
      </c>
    </row>
    <row r="1093" spans="1:51" hidden="1">
      <c r="A1093">
        <v>100917</v>
      </c>
      <c r="B1093" t="s">
        <v>171</v>
      </c>
      <c r="C1093" t="str">
        <f>"12400990151"</f>
        <v>12400990151</v>
      </c>
      <c r="D1093" t="str">
        <f>"12400990151"</f>
        <v>12400990151</v>
      </c>
      <c r="E1093" t="s">
        <v>52</v>
      </c>
      <c r="F1093">
        <v>2015</v>
      </c>
      <c r="G1093" t="str">
        <f>"           201550050"</f>
        <v xml:space="preserve">           201550050</v>
      </c>
      <c r="H1093" s="3">
        <v>42117</v>
      </c>
      <c r="I1093" s="3">
        <v>42163</v>
      </c>
      <c r="J1093" s="3">
        <v>42153</v>
      </c>
      <c r="K1093" s="3">
        <v>42213</v>
      </c>
      <c r="L1093"/>
      <c r="N1093"/>
      <c r="O1093" s="4">
        <v>8512</v>
      </c>
      <c r="P1093">
        <v>218</v>
      </c>
      <c r="Q1093" s="4">
        <v>1855616</v>
      </c>
      <c r="R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 s="3">
        <v>42562</v>
      </c>
      <c r="AC1093" t="s">
        <v>53</v>
      </c>
      <c r="AD1093" t="s">
        <v>53</v>
      </c>
      <c r="AK1093">
        <v>0</v>
      </c>
      <c r="AU1093" s="3">
        <v>42431</v>
      </c>
      <c r="AV1093" s="3">
        <v>42431</v>
      </c>
      <c r="AW1093" t="s">
        <v>54</v>
      </c>
      <c r="AX1093" t="str">
        <f t="shared" si="135"/>
        <v>FOR</v>
      </c>
      <c r="AY1093" t="s">
        <v>55</v>
      </c>
    </row>
    <row r="1094" spans="1:51" hidden="1">
      <c r="A1094">
        <v>100930</v>
      </c>
      <c r="B1094" t="s">
        <v>172</v>
      </c>
      <c r="C1094" t="str">
        <f t="shared" ref="C1094:D1098" si="137">"06111530637"</f>
        <v>06111530637</v>
      </c>
      <c r="D1094" t="str">
        <f t="shared" si="137"/>
        <v>06111530637</v>
      </c>
      <c r="E1094" t="s">
        <v>52</v>
      </c>
      <c r="F1094">
        <v>2015</v>
      </c>
      <c r="G1094" t="str">
        <f>"                4954"</f>
        <v xml:space="preserve">                4954</v>
      </c>
      <c r="H1094" s="3">
        <v>42203</v>
      </c>
      <c r="I1094" s="3">
        <v>42331</v>
      </c>
      <c r="J1094" s="3">
        <v>42328</v>
      </c>
      <c r="K1094" s="3">
        <v>42388</v>
      </c>
      <c r="L1094"/>
      <c r="N1094"/>
      <c r="O1094">
        <v>24</v>
      </c>
      <c r="P1094">
        <v>27</v>
      </c>
      <c r="Q1094">
        <v>648</v>
      </c>
      <c r="R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 s="3">
        <v>42562</v>
      </c>
      <c r="AC1094" t="s">
        <v>53</v>
      </c>
      <c r="AD1094" t="s">
        <v>53</v>
      </c>
      <c r="AK1094">
        <v>0</v>
      </c>
      <c r="AU1094" s="3">
        <v>42415</v>
      </c>
      <c r="AV1094" s="3">
        <v>42415</v>
      </c>
      <c r="AW1094" t="s">
        <v>54</v>
      </c>
      <c r="AX1094" t="str">
        <f t="shared" si="135"/>
        <v>FOR</v>
      </c>
      <c r="AY1094" t="s">
        <v>55</v>
      </c>
    </row>
    <row r="1095" spans="1:51" hidden="1">
      <c r="A1095">
        <v>100930</v>
      </c>
      <c r="B1095" t="s">
        <v>172</v>
      </c>
      <c r="C1095" t="str">
        <f t="shared" si="137"/>
        <v>06111530637</v>
      </c>
      <c r="D1095" t="str">
        <f t="shared" si="137"/>
        <v>06111530637</v>
      </c>
      <c r="E1095" t="s">
        <v>52</v>
      </c>
      <c r="F1095">
        <v>2015</v>
      </c>
      <c r="G1095" t="str">
        <f>"                5227"</f>
        <v xml:space="preserve">                5227</v>
      </c>
      <c r="H1095" s="3">
        <v>42215</v>
      </c>
      <c r="I1095" s="3">
        <v>42229</v>
      </c>
      <c r="J1095" s="3">
        <v>42220</v>
      </c>
      <c r="K1095" s="3">
        <v>42280</v>
      </c>
      <c r="L1095"/>
      <c r="N1095"/>
      <c r="O1095">
        <v>36</v>
      </c>
      <c r="P1095">
        <v>135</v>
      </c>
      <c r="Q1095" s="4">
        <v>4860</v>
      </c>
      <c r="R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 s="3">
        <v>42562</v>
      </c>
      <c r="AC1095" t="s">
        <v>53</v>
      </c>
      <c r="AD1095" t="s">
        <v>53</v>
      </c>
      <c r="AK1095">
        <v>0</v>
      </c>
      <c r="AU1095" s="3">
        <v>42415</v>
      </c>
      <c r="AV1095" s="3">
        <v>42415</v>
      </c>
      <c r="AW1095" t="s">
        <v>54</v>
      </c>
      <c r="AX1095" t="str">
        <f t="shared" si="135"/>
        <v>FOR</v>
      </c>
      <c r="AY1095" t="s">
        <v>55</v>
      </c>
    </row>
    <row r="1096" spans="1:51" hidden="1">
      <c r="A1096">
        <v>100930</v>
      </c>
      <c r="B1096" t="s">
        <v>172</v>
      </c>
      <c r="C1096" t="str">
        <f t="shared" si="137"/>
        <v>06111530637</v>
      </c>
      <c r="D1096" t="str">
        <f t="shared" si="137"/>
        <v>06111530637</v>
      </c>
      <c r="E1096" t="s">
        <v>52</v>
      </c>
      <c r="F1096">
        <v>2015</v>
      </c>
      <c r="G1096" t="str">
        <f>"                6126"</f>
        <v xml:space="preserve">                6126</v>
      </c>
      <c r="H1096" s="3">
        <v>42271</v>
      </c>
      <c r="I1096" s="3">
        <v>42320</v>
      </c>
      <c r="J1096" s="3">
        <v>42319</v>
      </c>
      <c r="K1096" s="3">
        <v>42379</v>
      </c>
      <c r="L1096"/>
      <c r="N1096"/>
      <c r="O1096">
        <v>224</v>
      </c>
      <c r="P1096">
        <v>36</v>
      </c>
      <c r="Q1096" s="4">
        <v>8064</v>
      </c>
      <c r="R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 s="3">
        <v>42562</v>
      </c>
      <c r="AC1096" t="s">
        <v>53</v>
      </c>
      <c r="AD1096" t="s">
        <v>53</v>
      </c>
      <c r="AK1096">
        <v>0</v>
      </c>
      <c r="AU1096" s="3">
        <v>42415</v>
      </c>
      <c r="AV1096" s="3">
        <v>42415</v>
      </c>
      <c r="AW1096" t="s">
        <v>54</v>
      </c>
      <c r="AX1096" t="str">
        <f t="shared" si="135"/>
        <v>FOR</v>
      </c>
      <c r="AY1096" t="s">
        <v>55</v>
      </c>
    </row>
    <row r="1097" spans="1:51" hidden="1">
      <c r="A1097">
        <v>100930</v>
      </c>
      <c r="B1097" t="s">
        <v>172</v>
      </c>
      <c r="C1097" t="str">
        <f t="shared" si="137"/>
        <v>06111530637</v>
      </c>
      <c r="D1097" t="str">
        <f t="shared" si="137"/>
        <v>06111530637</v>
      </c>
      <c r="E1097" t="s">
        <v>52</v>
      </c>
      <c r="F1097">
        <v>2015</v>
      </c>
      <c r="G1097" t="str">
        <f>"                7025"</f>
        <v xml:space="preserve">                7025</v>
      </c>
      <c r="H1097" s="3">
        <v>42308</v>
      </c>
      <c r="I1097" s="3">
        <v>42320</v>
      </c>
      <c r="J1097" s="3">
        <v>42319</v>
      </c>
      <c r="K1097" s="3">
        <v>42379</v>
      </c>
      <c r="L1097"/>
      <c r="N1097"/>
      <c r="O1097">
        <v>280</v>
      </c>
      <c r="P1097">
        <v>36</v>
      </c>
      <c r="Q1097" s="4">
        <v>10080</v>
      </c>
      <c r="R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 s="3">
        <v>42562</v>
      </c>
      <c r="AC1097" t="s">
        <v>53</v>
      </c>
      <c r="AD1097" t="s">
        <v>53</v>
      </c>
      <c r="AK1097">
        <v>0</v>
      </c>
      <c r="AU1097" s="3">
        <v>42415</v>
      </c>
      <c r="AV1097" s="3">
        <v>42415</v>
      </c>
      <c r="AW1097" t="s">
        <v>54</v>
      </c>
      <c r="AX1097" t="str">
        <f t="shared" si="135"/>
        <v>FOR</v>
      </c>
      <c r="AY1097" t="s">
        <v>55</v>
      </c>
    </row>
    <row r="1098" spans="1:51" hidden="1">
      <c r="A1098">
        <v>100930</v>
      </c>
      <c r="B1098" t="s">
        <v>172</v>
      </c>
      <c r="C1098" t="str">
        <f t="shared" si="137"/>
        <v>06111530637</v>
      </c>
      <c r="D1098" t="str">
        <f t="shared" si="137"/>
        <v>06111530637</v>
      </c>
      <c r="E1098" t="s">
        <v>52</v>
      </c>
      <c r="F1098">
        <v>2015</v>
      </c>
      <c r="G1098" t="str">
        <f>"                8709"</f>
        <v xml:space="preserve">                8709</v>
      </c>
      <c r="H1098" s="3">
        <v>42361</v>
      </c>
      <c r="I1098" s="3">
        <v>42369</v>
      </c>
      <c r="J1098" s="3">
        <v>42369</v>
      </c>
      <c r="K1098" s="3">
        <v>42429</v>
      </c>
      <c r="L1098"/>
      <c r="N1098"/>
      <c r="O1098">
        <v>336</v>
      </c>
      <c r="P1098">
        <v>-14</v>
      </c>
      <c r="Q1098" s="4">
        <v>-4704</v>
      </c>
      <c r="R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 s="3">
        <v>42562</v>
      </c>
      <c r="AC1098" t="s">
        <v>53</v>
      </c>
      <c r="AD1098" t="s">
        <v>53</v>
      </c>
      <c r="AK1098">
        <v>0</v>
      </c>
      <c r="AU1098" s="3">
        <v>42415</v>
      </c>
      <c r="AV1098" s="3">
        <v>42415</v>
      </c>
      <c r="AW1098" t="s">
        <v>54</v>
      </c>
      <c r="AX1098" t="str">
        <f t="shared" si="135"/>
        <v>FOR</v>
      </c>
      <c r="AY1098" t="s">
        <v>55</v>
      </c>
    </row>
    <row r="1099" spans="1:51" hidden="1">
      <c r="A1099">
        <v>100951</v>
      </c>
      <c r="B1099" t="s">
        <v>173</v>
      </c>
      <c r="C1099" t="str">
        <f t="shared" ref="C1099:C1104" si="138">"01397290550"</f>
        <v>01397290550</v>
      </c>
      <c r="D1099" t="str">
        <f t="shared" ref="D1099:D1104" si="139">"FRMDRA78C19F205E"</f>
        <v>FRMDRA78C19F205E</v>
      </c>
      <c r="E1099" t="s">
        <v>52</v>
      </c>
      <c r="F1099">
        <v>2016</v>
      </c>
      <c r="G1099" t="str">
        <f>"         FATTPA 1_16"</f>
        <v xml:space="preserve">         FATTPA 1_16</v>
      </c>
      <c r="H1099" s="3">
        <v>42373</v>
      </c>
      <c r="I1099" s="3">
        <v>42374</v>
      </c>
      <c r="J1099" s="3">
        <v>42373</v>
      </c>
      <c r="K1099" s="3">
        <v>42433</v>
      </c>
      <c r="L1099"/>
      <c r="N1099"/>
      <c r="O1099" s="4">
        <v>2109.1999999999998</v>
      </c>
      <c r="P1099">
        <v>-36</v>
      </c>
      <c r="Q1099" s="4">
        <v>-75931.199999999997</v>
      </c>
      <c r="R1099">
        <v>0</v>
      </c>
      <c r="V1099">
        <v>0</v>
      </c>
      <c r="W1099">
        <v>0</v>
      </c>
      <c r="X1099">
        <v>0</v>
      </c>
      <c r="Y1099">
        <v>-526.79999999999995</v>
      </c>
      <c r="Z1099" s="4">
        <v>2109.1999999999998</v>
      </c>
      <c r="AA1099" s="4">
        <v>2109.1999999999998</v>
      </c>
      <c r="AB1099" s="3">
        <v>42562</v>
      </c>
      <c r="AC1099" t="s">
        <v>53</v>
      </c>
      <c r="AD1099" t="s">
        <v>53</v>
      </c>
      <c r="AK1099">
        <v>0</v>
      </c>
      <c r="AU1099" s="3">
        <v>42397</v>
      </c>
      <c r="AV1099" s="3">
        <v>42397</v>
      </c>
      <c r="AW1099" t="s">
        <v>54</v>
      </c>
      <c r="AX1099" t="str">
        <f t="shared" ref="AX1099:AX1114" si="140">"ALTPRO"</f>
        <v>ALTPRO</v>
      </c>
      <c r="AY1099" t="s">
        <v>93</v>
      </c>
    </row>
    <row r="1100" spans="1:51" hidden="1">
      <c r="A1100">
        <v>100951</v>
      </c>
      <c r="B1100" t="s">
        <v>173</v>
      </c>
      <c r="C1100" t="str">
        <f t="shared" si="138"/>
        <v>01397290550</v>
      </c>
      <c r="D1100" t="str">
        <f t="shared" si="139"/>
        <v>FRMDRA78C19F205E</v>
      </c>
      <c r="E1100" t="s">
        <v>52</v>
      </c>
      <c r="F1100">
        <v>2016</v>
      </c>
      <c r="G1100" t="str">
        <f>"         FATTPA 2_16"</f>
        <v xml:space="preserve">         FATTPA 2_16</v>
      </c>
      <c r="H1100" s="3">
        <v>42373</v>
      </c>
      <c r="I1100" s="3">
        <v>42376</v>
      </c>
      <c r="J1100" s="3">
        <v>42373</v>
      </c>
      <c r="K1100" s="3">
        <v>42433</v>
      </c>
      <c r="L1100"/>
      <c r="N1100"/>
      <c r="O1100" s="4">
        <v>2024.91</v>
      </c>
      <c r="P1100">
        <v>-36</v>
      </c>
      <c r="Q1100" s="4">
        <v>-72896.759999999995</v>
      </c>
      <c r="R1100">
        <v>0</v>
      </c>
      <c r="V1100">
        <v>0</v>
      </c>
      <c r="W1100">
        <v>0</v>
      </c>
      <c r="X1100">
        <v>0</v>
      </c>
      <c r="Y1100">
        <v>-505.73</v>
      </c>
      <c r="Z1100" s="4">
        <v>2024.91</v>
      </c>
      <c r="AA1100" s="4">
        <v>2024.91</v>
      </c>
      <c r="AB1100" s="3">
        <v>42562</v>
      </c>
      <c r="AC1100" t="s">
        <v>53</v>
      </c>
      <c r="AD1100" t="s">
        <v>53</v>
      </c>
      <c r="AK1100">
        <v>0</v>
      </c>
      <c r="AU1100" s="3">
        <v>42397</v>
      </c>
      <c r="AV1100" s="3">
        <v>42397</v>
      </c>
      <c r="AW1100" t="s">
        <v>54</v>
      </c>
      <c r="AX1100" t="str">
        <f t="shared" si="140"/>
        <v>ALTPRO</v>
      </c>
      <c r="AY1100" t="s">
        <v>93</v>
      </c>
    </row>
    <row r="1101" spans="1:51" hidden="1">
      <c r="A1101">
        <v>100951</v>
      </c>
      <c r="B1101" t="s">
        <v>173</v>
      </c>
      <c r="C1101" t="str">
        <f t="shared" si="138"/>
        <v>01397290550</v>
      </c>
      <c r="D1101" t="str">
        <f t="shared" si="139"/>
        <v>FRMDRA78C19F205E</v>
      </c>
      <c r="E1101" t="s">
        <v>52</v>
      </c>
      <c r="F1101">
        <v>2016</v>
      </c>
      <c r="G1101" t="str">
        <f>"         FATTPA 3_16"</f>
        <v xml:space="preserve">         FATTPA 3_16</v>
      </c>
      <c r="H1101" s="3">
        <v>42403</v>
      </c>
      <c r="I1101" s="3">
        <v>42404</v>
      </c>
      <c r="J1101" s="3">
        <v>42403</v>
      </c>
      <c r="K1101" s="3">
        <v>42463</v>
      </c>
      <c r="L1101"/>
      <c r="N1101"/>
      <c r="O1101" s="4">
        <v>2024.91</v>
      </c>
      <c r="P1101">
        <v>-37</v>
      </c>
      <c r="Q1101" s="4">
        <v>-74921.67</v>
      </c>
      <c r="R1101">
        <v>0</v>
      </c>
      <c r="V1101">
        <v>0</v>
      </c>
      <c r="W1101">
        <v>0</v>
      </c>
      <c r="X1101">
        <v>0</v>
      </c>
      <c r="Y1101" s="4">
        <v>2024.91</v>
      </c>
      <c r="Z1101" s="4">
        <v>2024.91</v>
      </c>
      <c r="AA1101" s="4">
        <v>2024.91</v>
      </c>
      <c r="AB1101" s="3">
        <v>42562</v>
      </c>
      <c r="AC1101" t="s">
        <v>53</v>
      </c>
      <c r="AD1101" t="s">
        <v>53</v>
      </c>
      <c r="AK1101">
        <v>0</v>
      </c>
      <c r="AU1101" s="3">
        <v>42426</v>
      </c>
      <c r="AV1101" s="3">
        <v>42426</v>
      </c>
      <c r="AW1101" t="s">
        <v>54</v>
      </c>
      <c r="AX1101" t="str">
        <f t="shared" si="140"/>
        <v>ALTPRO</v>
      </c>
      <c r="AY1101" t="s">
        <v>93</v>
      </c>
    </row>
    <row r="1102" spans="1:51" hidden="1">
      <c r="A1102">
        <v>100951</v>
      </c>
      <c r="B1102" t="s">
        <v>173</v>
      </c>
      <c r="C1102" t="str">
        <f t="shared" si="138"/>
        <v>01397290550</v>
      </c>
      <c r="D1102" t="str">
        <f t="shared" si="139"/>
        <v>FRMDRA78C19F205E</v>
      </c>
      <c r="E1102" t="s">
        <v>52</v>
      </c>
      <c r="F1102">
        <v>2016</v>
      </c>
      <c r="G1102" t="str">
        <f>"         FATTPA 4_16"</f>
        <v xml:space="preserve">         FATTPA 4_16</v>
      </c>
      <c r="H1102" s="3">
        <v>42432</v>
      </c>
      <c r="I1102" s="3">
        <v>42433</v>
      </c>
      <c r="J1102" s="3">
        <v>42432</v>
      </c>
      <c r="K1102" s="3">
        <v>42492</v>
      </c>
      <c r="L1102"/>
      <c r="N1102"/>
      <c r="O1102" s="4">
        <v>2109.1999999999998</v>
      </c>
      <c r="P1102">
        <v>-41</v>
      </c>
      <c r="Q1102" s="4">
        <v>-86477.2</v>
      </c>
      <c r="R1102">
        <v>0</v>
      </c>
      <c r="V1102">
        <v>0</v>
      </c>
      <c r="W1102">
        <v>0</v>
      </c>
      <c r="X1102">
        <v>0</v>
      </c>
      <c r="Y1102" s="4">
        <v>2109.1999999999998</v>
      </c>
      <c r="Z1102" s="4">
        <v>2109.1999999999998</v>
      </c>
      <c r="AA1102" s="4">
        <v>2109.1999999999998</v>
      </c>
      <c r="AB1102" s="3">
        <v>42562</v>
      </c>
      <c r="AC1102" t="s">
        <v>53</v>
      </c>
      <c r="AD1102" t="s">
        <v>53</v>
      </c>
      <c r="AK1102">
        <v>0</v>
      </c>
      <c r="AU1102" s="3">
        <v>42451</v>
      </c>
      <c r="AV1102" s="3">
        <v>42451</v>
      </c>
      <c r="AW1102" t="s">
        <v>54</v>
      </c>
      <c r="AX1102" t="str">
        <f t="shared" si="140"/>
        <v>ALTPRO</v>
      </c>
      <c r="AY1102" t="s">
        <v>93</v>
      </c>
    </row>
    <row r="1103" spans="1:51">
      <c r="A1103">
        <v>100951</v>
      </c>
      <c r="B1103" t="s">
        <v>173</v>
      </c>
      <c r="C1103" t="str">
        <f t="shared" si="138"/>
        <v>01397290550</v>
      </c>
      <c r="D1103" t="str">
        <f t="shared" si="139"/>
        <v>FRMDRA78C19F205E</v>
      </c>
      <c r="E1103" t="s">
        <v>52</v>
      </c>
      <c r="F1103">
        <v>2016</v>
      </c>
      <c r="G1103" t="str">
        <f>"         FATTPA 5_16"</f>
        <v xml:space="preserve">         FATTPA 5_16</v>
      </c>
      <c r="H1103" s="3">
        <v>42475</v>
      </c>
      <c r="I1103" s="3">
        <v>42475</v>
      </c>
      <c r="J1103" s="3">
        <v>42475</v>
      </c>
      <c r="K1103" s="3">
        <v>42535</v>
      </c>
      <c r="L1103" s="5">
        <v>2193.4899999999998</v>
      </c>
      <c r="M1103">
        <v>-48</v>
      </c>
      <c r="N1103" s="5">
        <v>-105287.52</v>
      </c>
      <c r="O1103" s="4">
        <v>2193.4899999999998</v>
      </c>
      <c r="P1103">
        <v>-48</v>
      </c>
      <c r="Q1103" s="4">
        <v>-105287.52</v>
      </c>
      <c r="R1103">
        <v>0</v>
      </c>
      <c r="V1103">
        <v>-547.87</v>
      </c>
      <c r="W1103" s="4">
        <v>2193.4899999999998</v>
      </c>
      <c r="X1103" s="4">
        <v>2193.4899999999998</v>
      </c>
      <c r="Y1103" s="4">
        <v>2193.4899999999998</v>
      </c>
      <c r="Z1103" s="4">
        <v>2193.4899999999998</v>
      </c>
      <c r="AA1103" s="4">
        <v>2193.4899999999998</v>
      </c>
      <c r="AB1103" s="3">
        <v>42562</v>
      </c>
      <c r="AC1103" t="s">
        <v>53</v>
      </c>
      <c r="AD1103" t="s">
        <v>53</v>
      </c>
      <c r="AK1103">
        <v>0</v>
      </c>
      <c r="AU1103" s="3">
        <v>42487</v>
      </c>
      <c r="AV1103" s="3">
        <v>42487</v>
      </c>
      <c r="AW1103" t="s">
        <v>54</v>
      </c>
      <c r="AX1103" t="str">
        <f t="shared" si="140"/>
        <v>ALTPRO</v>
      </c>
      <c r="AY1103" t="s">
        <v>93</v>
      </c>
    </row>
    <row r="1104" spans="1:51">
      <c r="A1104">
        <v>100951</v>
      </c>
      <c r="B1104" t="s">
        <v>173</v>
      </c>
      <c r="C1104" t="str">
        <f t="shared" si="138"/>
        <v>01397290550</v>
      </c>
      <c r="D1104" t="str">
        <f t="shared" si="139"/>
        <v>FRMDRA78C19F205E</v>
      </c>
      <c r="E1104" t="s">
        <v>52</v>
      </c>
      <c r="F1104">
        <v>2016</v>
      </c>
      <c r="G1104" t="str">
        <f>"         FATTPA 6_16"</f>
        <v xml:space="preserve">         FATTPA 6_16</v>
      </c>
      <c r="H1104" s="3">
        <v>42502</v>
      </c>
      <c r="I1104" s="3">
        <v>42502</v>
      </c>
      <c r="J1104" s="3">
        <v>42502</v>
      </c>
      <c r="K1104" s="3">
        <v>42562</v>
      </c>
      <c r="L1104" s="5">
        <v>1915.62</v>
      </c>
      <c r="M1104">
        <v>-46</v>
      </c>
      <c r="N1104" s="5">
        <v>-88118.52</v>
      </c>
      <c r="O1104" s="4">
        <v>1915.62</v>
      </c>
      <c r="P1104">
        <v>-46</v>
      </c>
      <c r="Q1104" s="4">
        <v>-88118.52</v>
      </c>
      <c r="R1104">
        <v>0</v>
      </c>
      <c r="V1104" s="4">
        <v>1915.62</v>
      </c>
      <c r="W1104" s="4">
        <v>1915.62</v>
      </c>
      <c r="X1104" s="4">
        <v>1915.62</v>
      </c>
      <c r="Y1104" s="4">
        <v>1915.62</v>
      </c>
      <c r="Z1104" s="4">
        <v>1915.62</v>
      </c>
      <c r="AA1104" s="4">
        <v>1915.62</v>
      </c>
      <c r="AB1104" s="3">
        <v>42562</v>
      </c>
      <c r="AC1104" t="s">
        <v>53</v>
      </c>
      <c r="AD1104" t="s">
        <v>53</v>
      </c>
      <c r="AK1104">
        <v>0</v>
      </c>
      <c r="AU1104" s="3">
        <v>42516</v>
      </c>
      <c r="AV1104" s="3">
        <v>42516</v>
      </c>
      <c r="AW1104" t="s">
        <v>54</v>
      </c>
      <c r="AX1104" t="str">
        <f t="shared" si="140"/>
        <v>ALTPRO</v>
      </c>
      <c r="AY1104" t="s">
        <v>93</v>
      </c>
    </row>
    <row r="1105" spans="1:51" hidden="1">
      <c r="A1105">
        <v>100952</v>
      </c>
      <c r="B1105" t="s">
        <v>174</v>
      </c>
      <c r="C1105" t="str">
        <f t="shared" ref="C1105:C1110" si="141">"03524111212"</f>
        <v>03524111212</v>
      </c>
      <c r="D1105" t="str">
        <f t="shared" ref="D1105:D1110" si="142">"DGLFNC77D18F839N"</f>
        <v>DGLFNC77D18F839N</v>
      </c>
      <c r="E1105" t="s">
        <v>52</v>
      </c>
      <c r="F1105">
        <v>2016</v>
      </c>
      <c r="G1105" t="str">
        <f>"         FATTPA 1_16"</f>
        <v xml:space="preserve">         FATTPA 1_16</v>
      </c>
      <c r="H1105" s="3">
        <v>42377</v>
      </c>
      <c r="I1105" s="3">
        <v>42382</v>
      </c>
      <c r="J1105" s="3">
        <v>42379</v>
      </c>
      <c r="K1105" s="3">
        <v>42439</v>
      </c>
      <c r="L1105"/>
      <c r="N1105"/>
      <c r="O1105" s="4">
        <v>2530.64</v>
      </c>
      <c r="P1105">
        <v>-42</v>
      </c>
      <c r="Q1105" s="4">
        <v>-106286.88</v>
      </c>
      <c r="R1105">
        <v>0</v>
      </c>
      <c r="V1105">
        <v>0</v>
      </c>
      <c r="W1105">
        <v>0</v>
      </c>
      <c r="X1105">
        <v>0</v>
      </c>
      <c r="Y1105">
        <v>0</v>
      </c>
      <c r="Z1105" s="4">
        <v>2530.64</v>
      </c>
      <c r="AA1105" s="4">
        <v>2530.64</v>
      </c>
      <c r="AB1105" s="3">
        <v>42562</v>
      </c>
      <c r="AC1105" t="s">
        <v>53</v>
      </c>
      <c r="AD1105" t="s">
        <v>53</v>
      </c>
      <c r="AK1105">
        <v>0</v>
      </c>
      <c r="AU1105" s="3">
        <v>42397</v>
      </c>
      <c r="AV1105" s="3">
        <v>42397</v>
      </c>
      <c r="AW1105" t="s">
        <v>54</v>
      </c>
      <c r="AX1105" t="str">
        <f t="shared" si="140"/>
        <v>ALTPRO</v>
      </c>
      <c r="AY1105" t="s">
        <v>93</v>
      </c>
    </row>
    <row r="1106" spans="1:51" hidden="1">
      <c r="A1106">
        <v>100952</v>
      </c>
      <c r="B1106" t="s">
        <v>174</v>
      </c>
      <c r="C1106" t="str">
        <f t="shared" si="141"/>
        <v>03524111212</v>
      </c>
      <c r="D1106" t="str">
        <f t="shared" si="142"/>
        <v>DGLFNC77D18F839N</v>
      </c>
      <c r="E1106" t="s">
        <v>52</v>
      </c>
      <c r="F1106">
        <v>2016</v>
      </c>
      <c r="G1106" t="str">
        <f>"         FATTPA 2_16"</f>
        <v xml:space="preserve">         FATTPA 2_16</v>
      </c>
      <c r="H1106" s="3">
        <v>42403</v>
      </c>
      <c r="I1106" s="3">
        <v>42404</v>
      </c>
      <c r="J1106" s="3">
        <v>42403</v>
      </c>
      <c r="K1106" s="3">
        <v>42463</v>
      </c>
      <c r="L1106"/>
      <c r="N1106"/>
      <c r="O1106" s="4">
        <v>2499.04</v>
      </c>
      <c r="P1106">
        <v>-37</v>
      </c>
      <c r="Q1106" s="4">
        <v>-92464.48</v>
      </c>
      <c r="R1106">
        <v>0</v>
      </c>
      <c r="V1106">
        <v>0</v>
      </c>
      <c r="W1106">
        <v>0</v>
      </c>
      <c r="X1106">
        <v>0</v>
      </c>
      <c r="Y1106" s="4">
        <v>2499.04</v>
      </c>
      <c r="Z1106" s="4">
        <v>2499.04</v>
      </c>
      <c r="AA1106" s="4">
        <v>2499.04</v>
      </c>
      <c r="AB1106" s="3">
        <v>42562</v>
      </c>
      <c r="AC1106" t="s">
        <v>53</v>
      </c>
      <c r="AD1106" t="s">
        <v>53</v>
      </c>
      <c r="AK1106">
        <v>0</v>
      </c>
      <c r="AU1106" s="3">
        <v>42426</v>
      </c>
      <c r="AV1106" s="3">
        <v>42426</v>
      </c>
      <c r="AW1106" t="s">
        <v>54</v>
      </c>
      <c r="AX1106" t="str">
        <f t="shared" si="140"/>
        <v>ALTPRO</v>
      </c>
      <c r="AY1106" t="s">
        <v>93</v>
      </c>
    </row>
    <row r="1107" spans="1:51" hidden="1">
      <c r="A1107">
        <v>100952</v>
      </c>
      <c r="B1107" t="s">
        <v>174</v>
      </c>
      <c r="C1107" t="str">
        <f t="shared" si="141"/>
        <v>03524111212</v>
      </c>
      <c r="D1107" t="str">
        <f t="shared" si="142"/>
        <v>DGLFNC77D18F839N</v>
      </c>
      <c r="E1107" t="s">
        <v>52</v>
      </c>
      <c r="F1107">
        <v>2016</v>
      </c>
      <c r="G1107" t="str">
        <f>"         FATTPA 3_16"</f>
        <v xml:space="preserve">         FATTPA 3_16</v>
      </c>
      <c r="H1107" s="3">
        <v>42433</v>
      </c>
      <c r="I1107" s="3">
        <v>42436</v>
      </c>
      <c r="J1107" s="3">
        <v>42433</v>
      </c>
      <c r="K1107" s="3">
        <v>42493</v>
      </c>
      <c r="L1107"/>
      <c r="N1107"/>
      <c r="O1107" s="4">
        <v>2557.86</v>
      </c>
      <c r="P1107">
        <v>-42</v>
      </c>
      <c r="Q1107" s="4">
        <v>-107430.12</v>
      </c>
      <c r="R1107">
        <v>0</v>
      </c>
      <c r="V1107">
        <v>0</v>
      </c>
      <c r="W1107">
        <v>0</v>
      </c>
      <c r="X1107">
        <v>0</v>
      </c>
      <c r="Y1107" s="4">
        <v>2557.86</v>
      </c>
      <c r="Z1107" s="4">
        <v>2557.86</v>
      </c>
      <c r="AA1107" s="4">
        <v>2557.86</v>
      </c>
      <c r="AB1107" s="3">
        <v>42562</v>
      </c>
      <c r="AC1107" t="s">
        <v>53</v>
      </c>
      <c r="AD1107" t="s">
        <v>53</v>
      </c>
      <c r="AK1107">
        <v>0</v>
      </c>
      <c r="AU1107" s="3">
        <v>42451</v>
      </c>
      <c r="AV1107" s="3">
        <v>42451</v>
      </c>
      <c r="AW1107" t="s">
        <v>54</v>
      </c>
      <c r="AX1107" t="str">
        <f t="shared" si="140"/>
        <v>ALTPRO</v>
      </c>
      <c r="AY1107" t="s">
        <v>93</v>
      </c>
    </row>
    <row r="1108" spans="1:51">
      <c r="A1108">
        <v>100952</v>
      </c>
      <c r="B1108" t="s">
        <v>174</v>
      </c>
      <c r="C1108" t="str">
        <f t="shared" si="141"/>
        <v>03524111212</v>
      </c>
      <c r="D1108" t="str">
        <f t="shared" si="142"/>
        <v>DGLFNC77D18F839N</v>
      </c>
      <c r="E1108" t="s">
        <v>52</v>
      </c>
      <c r="F1108">
        <v>2016</v>
      </c>
      <c r="G1108" t="str">
        <f>"         FATTPA 4_16"</f>
        <v xml:space="preserve">         FATTPA 4_16</v>
      </c>
      <c r="H1108" s="3">
        <v>42461</v>
      </c>
      <c r="I1108" s="3">
        <v>42464</v>
      </c>
      <c r="J1108" s="3">
        <v>42461</v>
      </c>
      <c r="K1108" s="3">
        <v>42521</v>
      </c>
      <c r="L1108" s="5">
        <v>2633.2</v>
      </c>
      <c r="M1108">
        <v>-34</v>
      </c>
      <c r="N1108" s="5">
        <v>-89528.8</v>
      </c>
      <c r="O1108" s="4">
        <v>2633.2</v>
      </c>
      <c r="P1108">
        <v>-34</v>
      </c>
      <c r="Q1108" s="4">
        <v>-89528.8</v>
      </c>
      <c r="R1108">
        <v>0</v>
      </c>
      <c r="V1108">
        <v>0</v>
      </c>
      <c r="W1108" s="4">
        <v>2633.2</v>
      </c>
      <c r="X1108" s="4">
        <v>2633.2</v>
      </c>
      <c r="Y1108" s="4">
        <v>2633.2</v>
      </c>
      <c r="Z1108" s="4">
        <v>2633.2</v>
      </c>
      <c r="AA1108" s="4">
        <v>2633.2</v>
      </c>
      <c r="AB1108" s="3">
        <v>42562</v>
      </c>
      <c r="AC1108" t="s">
        <v>53</v>
      </c>
      <c r="AD1108" t="s">
        <v>53</v>
      </c>
      <c r="AK1108">
        <v>0</v>
      </c>
      <c r="AU1108" s="3">
        <v>42487</v>
      </c>
      <c r="AV1108" s="3">
        <v>42487</v>
      </c>
      <c r="AW1108" t="s">
        <v>54</v>
      </c>
      <c r="AX1108" t="str">
        <f t="shared" si="140"/>
        <v>ALTPRO</v>
      </c>
      <c r="AY1108" t="s">
        <v>93</v>
      </c>
    </row>
    <row r="1109" spans="1:51">
      <c r="A1109">
        <v>100952</v>
      </c>
      <c r="B1109" t="s">
        <v>174</v>
      </c>
      <c r="C1109" t="str">
        <f t="shared" si="141"/>
        <v>03524111212</v>
      </c>
      <c r="D1109" t="str">
        <f t="shared" si="142"/>
        <v>DGLFNC77D18F839N</v>
      </c>
      <c r="E1109" t="s">
        <v>52</v>
      </c>
      <c r="F1109">
        <v>2016</v>
      </c>
      <c r="G1109" t="str">
        <f>"         FATTPA 5_16"</f>
        <v xml:space="preserve">         FATTPA 5_16</v>
      </c>
      <c r="H1109" s="3">
        <v>42492</v>
      </c>
      <c r="I1109" s="3">
        <v>42493</v>
      </c>
      <c r="J1109" s="3">
        <v>42493</v>
      </c>
      <c r="K1109" s="3">
        <v>42553</v>
      </c>
      <c r="L1109" s="5">
        <v>2504.13</v>
      </c>
      <c r="M1109">
        <v>-37</v>
      </c>
      <c r="N1109" s="5">
        <v>-92652.81</v>
      </c>
      <c r="O1109" s="4">
        <v>2504.13</v>
      </c>
      <c r="P1109">
        <v>-37</v>
      </c>
      <c r="Q1109" s="4">
        <v>-92652.81</v>
      </c>
      <c r="R1109">
        <v>0</v>
      </c>
      <c r="V1109" s="4">
        <v>2504.13</v>
      </c>
      <c r="W1109" s="4">
        <v>2504.13</v>
      </c>
      <c r="X1109" s="4">
        <v>2504.13</v>
      </c>
      <c r="Y1109" s="4">
        <v>2504.13</v>
      </c>
      <c r="Z1109" s="4">
        <v>2504.13</v>
      </c>
      <c r="AA1109" s="4">
        <v>2504.13</v>
      </c>
      <c r="AB1109" s="3">
        <v>42562</v>
      </c>
      <c r="AC1109" t="s">
        <v>53</v>
      </c>
      <c r="AD1109" t="s">
        <v>53</v>
      </c>
      <c r="AK1109">
        <v>0</v>
      </c>
      <c r="AU1109" s="3">
        <v>42516</v>
      </c>
      <c r="AV1109" s="3">
        <v>42516</v>
      </c>
      <c r="AW1109" t="s">
        <v>54</v>
      </c>
      <c r="AX1109" t="str">
        <f t="shared" si="140"/>
        <v>ALTPRO</v>
      </c>
      <c r="AY1109" t="s">
        <v>93</v>
      </c>
    </row>
    <row r="1110" spans="1:51">
      <c r="A1110">
        <v>100952</v>
      </c>
      <c r="B1110" t="s">
        <v>174</v>
      </c>
      <c r="C1110" t="str">
        <f t="shared" si="141"/>
        <v>03524111212</v>
      </c>
      <c r="D1110" t="str">
        <f t="shared" si="142"/>
        <v>DGLFNC77D18F839N</v>
      </c>
      <c r="E1110" t="s">
        <v>52</v>
      </c>
      <c r="F1110">
        <v>2016</v>
      </c>
      <c r="G1110" t="str">
        <f>"         FATTPA 6_16"</f>
        <v xml:space="preserve">         FATTPA 6_16</v>
      </c>
      <c r="H1110" s="3">
        <v>42522</v>
      </c>
      <c r="I1110" s="3">
        <v>42527</v>
      </c>
      <c r="J1110" s="3">
        <v>42522</v>
      </c>
      <c r="K1110" s="3">
        <v>42582</v>
      </c>
      <c r="L1110" s="5">
        <v>2741.36</v>
      </c>
      <c r="M1110">
        <v>-54</v>
      </c>
      <c r="N1110" s="5">
        <v>-148033.44</v>
      </c>
      <c r="O1110" s="4">
        <v>2741.36</v>
      </c>
      <c r="P1110">
        <v>-54</v>
      </c>
      <c r="Q1110" s="4">
        <v>-148033.44</v>
      </c>
      <c r="R1110">
        <v>0</v>
      </c>
      <c r="V1110" s="4">
        <v>2741.36</v>
      </c>
      <c r="W1110" s="4">
        <v>2741.36</v>
      </c>
      <c r="X1110" s="4">
        <v>2741.36</v>
      </c>
      <c r="Y1110" s="4">
        <v>2741.36</v>
      </c>
      <c r="Z1110" s="4">
        <v>2741.36</v>
      </c>
      <c r="AA1110" s="4">
        <v>2741.36</v>
      </c>
      <c r="AB1110" s="3">
        <v>42562</v>
      </c>
      <c r="AC1110" t="s">
        <v>53</v>
      </c>
      <c r="AD1110" t="s">
        <v>53</v>
      </c>
      <c r="AK1110">
        <v>0</v>
      </c>
      <c r="AU1110" s="3">
        <v>42528</v>
      </c>
      <c r="AV1110" s="3">
        <v>42528</v>
      </c>
      <c r="AW1110" t="s">
        <v>54</v>
      </c>
      <c r="AX1110" t="str">
        <f t="shared" si="140"/>
        <v>ALTPRO</v>
      </c>
      <c r="AY1110" t="s">
        <v>93</v>
      </c>
    </row>
    <row r="1111" spans="1:51" hidden="1">
      <c r="A1111">
        <v>100967</v>
      </c>
      <c r="B1111" t="s">
        <v>175</v>
      </c>
      <c r="C1111" t="str">
        <f>"06065751213"</f>
        <v>06065751213</v>
      </c>
      <c r="D1111" t="str">
        <f>"PLLSGS77E01F839U"</f>
        <v>PLLSGS77E01F839U</v>
      </c>
      <c r="E1111" t="s">
        <v>52</v>
      </c>
      <c r="F1111">
        <v>2016</v>
      </c>
      <c r="G1111" t="str">
        <f>"         FATTPA 1_16"</f>
        <v xml:space="preserve">         FATTPA 1_16</v>
      </c>
      <c r="H1111" s="3">
        <v>42387</v>
      </c>
      <c r="I1111" s="3">
        <v>42388</v>
      </c>
      <c r="J1111" s="3">
        <v>42387</v>
      </c>
      <c r="K1111" s="3">
        <v>42447</v>
      </c>
      <c r="L1111"/>
      <c r="N1111"/>
      <c r="O1111" s="4">
        <v>1070.3499999999999</v>
      </c>
      <c r="P1111">
        <v>-50</v>
      </c>
      <c r="Q1111" s="4">
        <v>-53517.5</v>
      </c>
      <c r="R1111">
        <v>0</v>
      </c>
      <c r="V1111">
        <v>0</v>
      </c>
      <c r="W1111">
        <v>0</v>
      </c>
      <c r="X1111">
        <v>0</v>
      </c>
      <c r="Y1111">
        <v>-267.08999999999997</v>
      </c>
      <c r="Z1111" s="4">
        <v>1070.3499999999999</v>
      </c>
      <c r="AA1111" s="4">
        <v>1070.3499999999999</v>
      </c>
      <c r="AB1111" s="3">
        <v>42562</v>
      </c>
      <c r="AC1111" t="s">
        <v>53</v>
      </c>
      <c r="AD1111" t="s">
        <v>53</v>
      </c>
      <c r="AK1111">
        <v>0</v>
      </c>
      <c r="AU1111" s="3">
        <v>42397</v>
      </c>
      <c r="AV1111" s="3">
        <v>42397</v>
      </c>
      <c r="AW1111" t="s">
        <v>54</v>
      </c>
      <c r="AX1111" t="str">
        <f t="shared" si="140"/>
        <v>ALTPRO</v>
      </c>
      <c r="AY1111" t="s">
        <v>93</v>
      </c>
    </row>
    <row r="1112" spans="1:51" hidden="1">
      <c r="A1112">
        <v>100967</v>
      </c>
      <c r="B1112" t="s">
        <v>175</v>
      </c>
      <c r="C1112" t="str">
        <f>"06065751213"</f>
        <v>06065751213</v>
      </c>
      <c r="D1112" t="str">
        <f>"PLLSGS77E01F839U"</f>
        <v>PLLSGS77E01F839U</v>
      </c>
      <c r="E1112" t="s">
        <v>52</v>
      </c>
      <c r="F1112">
        <v>2016</v>
      </c>
      <c r="G1112" t="str">
        <f>"         FATTPA 3_16"</f>
        <v xml:space="preserve">         FATTPA 3_16</v>
      </c>
      <c r="H1112" s="3">
        <v>42433</v>
      </c>
      <c r="I1112" s="3">
        <v>42436</v>
      </c>
      <c r="J1112" s="3">
        <v>42433</v>
      </c>
      <c r="K1112" s="3">
        <v>42493</v>
      </c>
      <c r="L1112"/>
      <c r="N1112"/>
      <c r="O1112" s="4">
        <v>1485.75</v>
      </c>
      <c r="P1112">
        <v>-42</v>
      </c>
      <c r="Q1112" s="4">
        <v>-62401.5</v>
      </c>
      <c r="R1112">
        <v>0</v>
      </c>
      <c r="V1112">
        <v>0</v>
      </c>
      <c r="W1112">
        <v>0</v>
      </c>
      <c r="X1112">
        <v>0</v>
      </c>
      <c r="Y1112" s="4">
        <v>1485.75</v>
      </c>
      <c r="Z1112" s="4">
        <v>1485.75</v>
      </c>
      <c r="AA1112" s="4">
        <v>1485.75</v>
      </c>
      <c r="AB1112" s="3">
        <v>42562</v>
      </c>
      <c r="AC1112" t="s">
        <v>53</v>
      </c>
      <c r="AD1112" t="s">
        <v>53</v>
      </c>
      <c r="AK1112">
        <v>0</v>
      </c>
      <c r="AU1112" s="3">
        <v>42451</v>
      </c>
      <c r="AV1112" s="3">
        <v>42451</v>
      </c>
      <c r="AW1112" t="s">
        <v>54</v>
      </c>
      <c r="AX1112" t="str">
        <f t="shared" si="140"/>
        <v>ALTPRO</v>
      </c>
      <c r="AY1112" t="s">
        <v>93</v>
      </c>
    </row>
    <row r="1113" spans="1:51" hidden="1">
      <c r="A1113">
        <v>100967</v>
      </c>
      <c r="B1113" t="s">
        <v>175</v>
      </c>
      <c r="C1113" t="str">
        <f>"06065751213"</f>
        <v>06065751213</v>
      </c>
      <c r="D1113" t="str">
        <f>"PLLSGS77E01F839U"</f>
        <v>PLLSGS77E01F839U</v>
      </c>
      <c r="E1113" t="s">
        <v>52</v>
      </c>
      <c r="F1113">
        <v>2016</v>
      </c>
      <c r="G1113" t="str">
        <f>"         FATTPA 4_16"</f>
        <v xml:space="preserve">         FATTPA 4_16</v>
      </c>
      <c r="H1113" s="3">
        <v>42433</v>
      </c>
      <c r="I1113" s="3">
        <v>42436</v>
      </c>
      <c r="J1113" s="3">
        <v>42433</v>
      </c>
      <c r="K1113" s="3">
        <v>42493</v>
      </c>
      <c r="L1113"/>
      <c r="N1113"/>
      <c r="O1113" s="4">
        <v>1498.4</v>
      </c>
      <c r="P1113">
        <v>-42</v>
      </c>
      <c r="Q1113" s="4">
        <v>-62932.800000000003</v>
      </c>
      <c r="R1113">
        <v>0</v>
      </c>
      <c r="V1113">
        <v>0</v>
      </c>
      <c r="W1113">
        <v>0</v>
      </c>
      <c r="X1113">
        <v>0</v>
      </c>
      <c r="Y1113" s="4">
        <v>1498.4</v>
      </c>
      <c r="Z1113" s="4">
        <v>1498.4</v>
      </c>
      <c r="AA1113" s="4">
        <v>1498.4</v>
      </c>
      <c r="AB1113" s="3">
        <v>42562</v>
      </c>
      <c r="AC1113" t="s">
        <v>53</v>
      </c>
      <c r="AD1113" t="s">
        <v>53</v>
      </c>
      <c r="AK1113">
        <v>0</v>
      </c>
      <c r="AU1113" s="3">
        <v>42451</v>
      </c>
      <c r="AV1113" s="3">
        <v>42451</v>
      </c>
      <c r="AW1113" t="s">
        <v>54</v>
      </c>
      <c r="AX1113" t="str">
        <f t="shared" si="140"/>
        <v>ALTPRO</v>
      </c>
      <c r="AY1113" t="s">
        <v>93</v>
      </c>
    </row>
    <row r="1114" spans="1:51">
      <c r="A1114">
        <v>100967</v>
      </c>
      <c r="B1114" t="s">
        <v>175</v>
      </c>
      <c r="C1114" t="str">
        <f>"06065751213"</f>
        <v>06065751213</v>
      </c>
      <c r="D1114" t="str">
        <f>"PLLSGS77E01F839U"</f>
        <v>PLLSGS77E01F839U</v>
      </c>
      <c r="E1114" t="s">
        <v>52</v>
      </c>
      <c r="F1114">
        <v>2016</v>
      </c>
      <c r="G1114" t="str">
        <f>"         FATTPA 5_16"</f>
        <v xml:space="preserve">         FATTPA 5_16</v>
      </c>
      <c r="H1114" s="3">
        <v>42473</v>
      </c>
      <c r="I1114" s="3">
        <v>42475</v>
      </c>
      <c r="J1114" s="3">
        <v>42473</v>
      </c>
      <c r="K1114" s="3">
        <v>42533</v>
      </c>
      <c r="L1114" s="5">
        <v>1481.54</v>
      </c>
      <c r="M1114">
        <v>-46</v>
      </c>
      <c r="N1114" s="5">
        <v>-68150.84</v>
      </c>
      <c r="O1114" s="4">
        <v>1481.54</v>
      </c>
      <c r="P1114">
        <v>-46</v>
      </c>
      <c r="Q1114" s="4">
        <v>-68150.84</v>
      </c>
      <c r="R1114">
        <v>0</v>
      </c>
      <c r="V1114">
        <v>-369.88</v>
      </c>
      <c r="W1114" s="4">
        <v>1481.54</v>
      </c>
      <c r="X1114" s="4">
        <v>1481.54</v>
      </c>
      <c r="Y1114" s="4">
        <v>1481.54</v>
      </c>
      <c r="Z1114" s="4">
        <v>1481.54</v>
      </c>
      <c r="AA1114" s="4">
        <v>1481.54</v>
      </c>
      <c r="AB1114" s="3">
        <v>42562</v>
      </c>
      <c r="AC1114" t="s">
        <v>53</v>
      </c>
      <c r="AD1114" t="s">
        <v>53</v>
      </c>
      <c r="AK1114">
        <v>0</v>
      </c>
      <c r="AU1114" s="3">
        <v>42487</v>
      </c>
      <c r="AV1114" s="3">
        <v>42487</v>
      </c>
      <c r="AW1114" t="s">
        <v>54</v>
      </c>
      <c r="AX1114" t="str">
        <f t="shared" si="140"/>
        <v>ALTPRO</v>
      </c>
      <c r="AY1114" t="s">
        <v>93</v>
      </c>
    </row>
    <row r="1115" spans="1:51" hidden="1">
      <c r="A1115">
        <v>100979</v>
      </c>
      <c r="B1115" t="s">
        <v>176</v>
      </c>
      <c r="C1115" t="str">
        <f>"11281120151"</f>
        <v>11281120151</v>
      </c>
      <c r="D1115" t="str">
        <f>"11281120151"</f>
        <v>11281120151</v>
      </c>
      <c r="E1115" t="s">
        <v>52</v>
      </c>
      <c r="F1115">
        <v>2015</v>
      </c>
      <c r="G1115" t="str">
        <f>"               PA/44"</f>
        <v xml:space="preserve">               PA/44</v>
      </c>
      <c r="H1115" s="3">
        <v>42124</v>
      </c>
      <c r="I1115" s="3">
        <v>42129</v>
      </c>
      <c r="J1115" s="3">
        <v>42129</v>
      </c>
      <c r="K1115" s="3">
        <v>42189</v>
      </c>
      <c r="L1115"/>
      <c r="N1115"/>
      <c r="O1115" s="4">
        <v>17500</v>
      </c>
      <c r="P1115">
        <v>227</v>
      </c>
      <c r="Q1115" s="4">
        <v>3972500</v>
      </c>
      <c r="R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0</v>
      </c>
      <c r="AB1115" s="3">
        <v>42562</v>
      </c>
      <c r="AC1115" t="s">
        <v>53</v>
      </c>
      <c r="AD1115" t="s">
        <v>53</v>
      </c>
      <c r="AK1115">
        <v>0</v>
      </c>
      <c r="AU1115" s="3">
        <v>42416</v>
      </c>
      <c r="AV1115" s="3">
        <v>42416</v>
      </c>
      <c r="AW1115" t="s">
        <v>54</v>
      </c>
      <c r="AX1115" t="str">
        <f t="shared" ref="AX1115:AX1146" si="143">"FOR"</f>
        <v>FOR</v>
      </c>
      <c r="AY1115" t="s">
        <v>55</v>
      </c>
    </row>
    <row r="1116" spans="1:51" hidden="1">
      <c r="A1116">
        <v>100980</v>
      </c>
      <c r="B1116" t="s">
        <v>177</v>
      </c>
      <c r="C1116" t="str">
        <f>"05501461213"</f>
        <v>05501461213</v>
      </c>
      <c r="D1116" t="str">
        <f>"05501461213"</f>
        <v>05501461213</v>
      </c>
      <c r="E1116" t="s">
        <v>52</v>
      </c>
      <c r="F1116">
        <v>2015</v>
      </c>
      <c r="G1116" t="str">
        <f>"               13/PA"</f>
        <v xml:space="preserve">               13/PA</v>
      </c>
      <c r="H1116" s="3">
        <v>42124</v>
      </c>
      <c r="I1116" s="3">
        <v>42131</v>
      </c>
      <c r="J1116" s="3">
        <v>42130</v>
      </c>
      <c r="K1116" s="3">
        <v>42190</v>
      </c>
      <c r="L1116"/>
      <c r="N1116"/>
      <c r="O1116" s="4">
        <v>9849</v>
      </c>
      <c r="P1116">
        <v>263</v>
      </c>
      <c r="Q1116" s="4">
        <v>2590287</v>
      </c>
      <c r="R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 s="3">
        <v>42562</v>
      </c>
      <c r="AC1116" t="s">
        <v>53</v>
      </c>
      <c r="AD1116" t="s">
        <v>53</v>
      </c>
      <c r="AK1116">
        <v>0</v>
      </c>
      <c r="AU1116" s="3">
        <v>42453</v>
      </c>
      <c r="AV1116" s="3">
        <v>42453</v>
      </c>
      <c r="AW1116" t="s">
        <v>54</v>
      </c>
      <c r="AX1116" t="str">
        <f t="shared" si="143"/>
        <v>FOR</v>
      </c>
      <c r="AY1116" t="s">
        <v>55</v>
      </c>
    </row>
    <row r="1117" spans="1:51" hidden="1">
      <c r="A1117">
        <v>100980</v>
      </c>
      <c r="B1117" t="s">
        <v>177</v>
      </c>
      <c r="C1117" t="str">
        <f>"05501461213"</f>
        <v>05501461213</v>
      </c>
      <c r="D1117" t="str">
        <f>"05501461213"</f>
        <v>05501461213</v>
      </c>
      <c r="E1117" t="s">
        <v>52</v>
      </c>
      <c r="F1117">
        <v>2015</v>
      </c>
      <c r="G1117" t="str">
        <f>"               19/PA"</f>
        <v xml:space="preserve">               19/PA</v>
      </c>
      <c r="H1117" s="3">
        <v>42131</v>
      </c>
      <c r="I1117" s="3">
        <v>42177</v>
      </c>
      <c r="J1117" s="3">
        <v>42138</v>
      </c>
      <c r="K1117" s="3">
        <v>42198</v>
      </c>
      <c r="L1117"/>
      <c r="N1117"/>
      <c r="O1117" s="4">
        <v>9660</v>
      </c>
      <c r="P1117">
        <v>255</v>
      </c>
      <c r="Q1117" s="4">
        <v>2463300</v>
      </c>
      <c r="R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 s="3">
        <v>42562</v>
      </c>
      <c r="AC1117" t="s">
        <v>53</v>
      </c>
      <c r="AD1117" t="s">
        <v>53</v>
      </c>
      <c r="AK1117">
        <v>0</v>
      </c>
      <c r="AU1117" s="3">
        <v>42453</v>
      </c>
      <c r="AV1117" s="3">
        <v>42453</v>
      </c>
      <c r="AW1117" t="s">
        <v>54</v>
      </c>
      <c r="AX1117" t="str">
        <f t="shared" si="143"/>
        <v>FOR</v>
      </c>
      <c r="AY1117" t="s">
        <v>55</v>
      </c>
    </row>
    <row r="1118" spans="1:51" hidden="1">
      <c r="A1118">
        <v>100982</v>
      </c>
      <c r="B1118" t="s">
        <v>178</v>
      </c>
      <c r="C1118" t="str">
        <f>"01650860545"</f>
        <v>01650860545</v>
      </c>
      <c r="D1118" t="str">
        <f>"01650860545"</f>
        <v>01650860545</v>
      </c>
      <c r="E1118" t="s">
        <v>52</v>
      </c>
      <c r="F1118">
        <v>2015</v>
      </c>
      <c r="G1118" t="str">
        <f>"            15001370"</f>
        <v xml:space="preserve">            15001370</v>
      </c>
      <c r="H1118" s="3">
        <v>42179</v>
      </c>
      <c r="I1118" s="3">
        <v>42202</v>
      </c>
      <c r="J1118" s="3">
        <v>42201</v>
      </c>
      <c r="K1118" s="3">
        <v>42261</v>
      </c>
      <c r="L1118"/>
      <c r="N1118"/>
      <c r="O1118" s="4">
        <v>23940</v>
      </c>
      <c r="P1118">
        <v>172</v>
      </c>
      <c r="Q1118" s="4">
        <v>4117680</v>
      </c>
      <c r="R1118">
        <v>0</v>
      </c>
      <c r="V1118">
        <v>0</v>
      </c>
      <c r="W1118">
        <v>0</v>
      </c>
      <c r="X1118">
        <v>0</v>
      </c>
      <c r="Y1118">
        <v>0</v>
      </c>
      <c r="Z1118">
        <v>0</v>
      </c>
      <c r="AA1118">
        <v>0</v>
      </c>
      <c r="AB1118" s="3">
        <v>42562</v>
      </c>
      <c r="AC1118" t="s">
        <v>53</v>
      </c>
      <c r="AD1118" t="s">
        <v>53</v>
      </c>
      <c r="AK1118">
        <v>0</v>
      </c>
      <c r="AU1118" s="3">
        <v>42433</v>
      </c>
      <c r="AV1118" s="3">
        <v>42433</v>
      </c>
      <c r="AW1118" t="s">
        <v>54</v>
      </c>
      <c r="AX1118" t="str">
        <f t="shared" si="143"/>
        <v>FOR</v>
      </c>
      <c r="AY1118" t="s">
        <v>55</v>
      </c>
    </row>
    <row r="1119" spans="1:51" hidden="1">
      <c r="A1119">
        <v>100984</v>
      </c>
      <c r="B1119" t="s">
        <v>179</v>
      </c>
      <c r="C1119" t="str">
        <f t="shared" ref="C1119:D1121" si="144">"01402120628"</f>
        <v>01402120628</v>
      </c>
      <c r="D1119" t="str">
        <f t="shared" si="144"/>
        <v>01402120628</v>
      </c>
      <c r="E1119" t="s">
        <v>52</v>
      </c>
      <c r="F1119">
        <v>2015</v>
      </c>
      <c r="G1119" t="str">
        <f>"                 1/A"</f>
        <v xml:space="preserve">                 1/A</v>
      </c>
      <c r="H1119" s="3">
        <v>42151</v>
      </c>
      <c r="I1119" s="3">
        <v>42163</v>
      </c>
      <c r="J1119" s="3">
        <v>42152</v>
      </c>
      <c r="K1119" s="3">
        <v>42212</v>
      </c>
      <c r="L1119"/>
      <c r="N1119"/>
      <c r="O1119">
        <v>337.5</v>
      </c>
      <c r="P1119">
        <v>191</v>
      </c>
      <c r="Q1119" s="4">
        <v>64462.5</v>
      </c>
      <c r="R1119">
        <v>74.25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 s="3">
        <v>42562</v>
      </c>
      <c r="AC1119" t="s">
        <v>53</v>
      </c>
      <c r="AD1119" t="s">
        <v>53</v>
      </c>
      <c r="AK1119">
        <v>74.25</v>
      </c>
      <c r="AU1119" s="3">
        <v>42403</v>
      </c>
      <c r="AV1119" s="3">
        <v>42403</v>
      </c>
      <c r="AW1119" t="s">
        <v>54</v>
      </c>
      <c r="AX1119" t="str">
        <f t="shared" si="143"/>
        <v>FOR</v>
      </c>
      <c r="AY1119" t="s">
        <v>55</v>
      </c>
    </row>
    <row r="1120" spans="1:51" hidden="1">
      <c r="A1120">
        <v>100984</v>
      </c>
      <c r="B1120" t="s">
        <v>179</v>
      </c>
      <c r="C1120" t="str">
        <f t="shared" si="144"/>
        <v>01402120628</v>
      </c>
      <c r="D1120" t="str">
        <f t="shared" si="144"/>
        <v>01402120628</v>
      </c>
      <c r="E1120" t="s">
        <v>52</v>
      </c>
      <c r="F1120">
        <v>2015</v>
      </c>
      <c r="G1120" t="str">
        <f>"                 4/A"</f>
        <v xml:space="preserve">                 4/A</v>
      </c>
      <c r="H1120" s="3">
        <v>42277</v>
      </c>
      <c r="I1120" s="3">
        <v>42278</v>
      </c>
      <c r="J1120" s="3">
        <v>42277</v>
      </c>
      <c r="K1120" s="3">
        <v>42337</v>
      </c>
      <c r="L1120"/>
      <c r="N1120"/>
      <c r="O1120">
        <v>712.5</v>
      </c>
      <c r="P1120">
        <v>66</v>
      </c>
      <c r="Q1120" s="4">
        <v>47025</v>
      </c>
      <c r="R1120">
        <v>156.75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 s="3">
        <v>42562</v>
      </c>
      <c r="AC1120" t="s">
        <v>53</v>
      </c>
      <c r="AD1120" t="s">
        <v>53</v>
      </c>
      <c r="AK1120">
        <v>156.75</v>
      </c>
      <c r="AU1120" s="3">
        <v>42403</v>
      </c>
      <c r="AV1120" s="3">
        <v>42403</v>
      </c>
      <c r="AW1120" t="s">
        <v>54</v>
      </c>
      <c r="AX1120" t="str">
        <f t="shared" si="143"/>
        <v>FOR</v>
      </c>
      <c r="AY1120" t="s">
        <v>55</v>
      </c>
    </row>
    <row r="1121" spans="1:51" hidden="1">
      <c r="A1121">
        <v>100984</v>
      </c>
      <c r="B1121" t="s">
        <v>179</v>
      </c>
      <c r="C1121" t="str">
        <f t="shared" si="144"/>
        <v>01402120628</v>
      </c>
      <c r="D1121" t="str">
        <f t="shared" si="144"/>
        <v>01402120628</v>
      </c>
      <c r="E1121" t="s">
        <v>52</v>
      </c>
      <c r="F1121">
        <v>2015</v>
      </c>
      <c r="G1121" t="str">
        <f>"                 5/A"</f>
        <v xml:space="preserve">                 5/A</v>
      </c>
      <c r="H1121" s="3">
        <v>42335</v>
      </c>
      <c r="I1121" s="3">
        <v>42338</v>
      </c>
      <c r="J1121" s="3">
        <v>42335</v>
      </c>
      <c r="K1121" s="3">
        <v>42395</v>
      </c>
      <c r="L1121"/>
      <c r="N1121"/>
      <c r="O1121">
        <v>337.5</v>
      </c>
      <c r="P1121">
        <v>8</v>
      </c>
      <c r="Q1121" s="4">
        <v>2700</v>
      </c>
      <c r="R1121">
        <v>74.25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0</v>
      </c>
      <c r="AB1121" s="3">
        <v>42562</v>
      </c>
      <c r="AC1121" t="s">
        <v>53</v>
      </c>
      <c r="AD1121" t="s">
        <v>53</v>
      </c>
      <c r="AJ1121">
        <v>74.25</v>
      </c>
      <c r="AK1121">
        <v>0</v>
      </c>
      <c r="AU1121" s="3">
        <v>42403</v>
      </c>
      <c r="AV1121" s="3">
        <v>42403</v>
      </c>
      <c r="AW1121" t="s">
        <v>54</v>
      </c>
      <c r="AX1121" t="str">
        <f t="shared" si="143"/>
        <v>FOR</v>
      </c>
      <c r="AY1121" t="s">
        <v>55</v>
      </c>
    </row>
    <row r="1122" spans="1:51">
      <c r="A1122">
        <v>100985</v>
      </c>
      <c r="B1122" t="s">
        <v>180</v>
      </c>
      <c r="C1122" t="str">
        <f>"01155360322"</f>
        <v>01155360322</v>
      </c>
      <c r="D1122" t="str">
        <f>"01155360322"</f>
        <v>01155360322</v>
      </c>
      <c r="E1122" t="s">
        <v>52</v>
      </c>
      <c r="F1122">
        <v>2016</v>
      </c>
      <c r="G1122" t="str">
        <f>"             2000057"</f>
        <v xml:space="preserve">             2000057</v>
      </c>
      <c r="H1122" s="3">
        <v>42416</v>
      </c>
      <c r="I1122" s="3">
        <v>42419</v>
      </c>
      <c r="J1122" s="3">
        <v>42419</v>
      </c>
      <c r="K1122" s="3">
        <v>42479</v>
      </c>
      <c r="L1122" s="5">
        <v>7680</v>
      </c>
      <c r="M1122">
        <v>-15</v>
      </c>
      <c r="N1122" s="5">
        <v>-115200</v>
      </c>
      <c r="O1122" s="4">
        <v>7680</v>
      </c>
      <c r="P1122">
        <v>-15</v>
      </c>
      <c r="Q1122" s="4">
        <v>-115200</v>
      </c>
      <c r="R1122">
        <v>0</v>
      </c>
      <c r="V1122">
        <v>0</v>
      </c>
      <c r="W1122">
        <v>0</v>
      </c>
      <c r="X1122">
        <v>0</v>
      </c>
      <c r="Y1122" s="4">
        <v>9369.6</v>
      </c>
      <c r="Z1122" s="4">
        <v>9369.6</v>
      </c>
      <c r="AA1122" s="4">
        <v>9369.6</v>
      </c>
      <c r="AB1122" s="3">
        <v>42562</v>
      </c>
      <c r="AC1122" t="s">
        <v>53</v>
      </c>
      <c r="AD1122" t="s">
        <v>53</v>
      </c>
      <c r="AK1122">
        <v>0</v>
      </c>
      <c r="AU1122" s="3">
        <v>42464</v>
      </c>
      <c r="AV1122" s="3">
        <v>42464</v>
      </c>
      <c r="AW1122" t="s">
        <v>54</v>
      </c>
      <c r="AX1122" t="str">
        <f t="shared" si="143"/>
        <v>FOR</v>
      </c>
      <c r="AY1122" t="s">
        <v>55</v>
      </c>
    </row>
    <row r="1123" spans="1:51" hidden="1">
      <c r="A1123">
        <v>100987</v>
      </c>
      <c r="B1123" t="s">
        <v>181</v>
      </c>
      <c r="C1123" t="str">
        <f>"01147640625"</f>
        <v>01147640625</v>
      </c>
      <c r="D1123" t="str">
        <f>"01147640625"</f>
        <v>01147640625</v>
      </c>
      <c r="E1123" t="s">
        <v>52</v>
      </c>
      <c r="F1123">
        <v>2015</v>
      </c>
      <c r="G1123" t="str">
        <f>"          PA  000014"</f>
        <v xml:space="preserve">          PA  000014</v>
      </c>
      <c r="H1123" s="3">
        <v>42289</v>
      </c>
      <c r="I1123" s="3">
        <v>42289</v>
      </c>
      <c r="J1123" s="3">
        <v>42289</v>
      </c>
      <c r="K1123" s="3">
        <v>42349</v>
      </c>
      <c r="L1123"/>
      <c r="N1123"/>
      <c r="O1123">
        <v>59.43</v>
      </c>
      <c r="P1123">
        <v>54</v>
      </c>
      <c r="Q1123" s="4">
        <v>3209.22</v>
      </c>
      <c r="R1123">
        <v>13.07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0</v>
      </c>
      <c r="AB1123" s="3">
        <v>42562</v>
      </c>
      <c r="AC1123" t="s">
        <v>53</v>
      </c>
      <c r="AD1123" t="s">
        <v>53</v>
      </c>
      <c r="AK1123">
        <v>13.07</v>
      </c>
      <c r="AU1123" s="3">
        <v>42403</v>
      </c>
      <c r="AV1123" s="3">
        <v>42403</v>
      </c>
      <c r="AW1123" t="s">
        <v>54</v>
      </c>
      <c r="AX1123" t="str">
        <f t="shared" si="143"/>
        <v>FOR</v>
      </c>
      <c r="AY1123" t="s">
        <v>55</v>
      </c>
    </row>
    <row r="1124" spans="1:51" hidden="1">
      <c r="A1124">
        <v>100987</v>
      </c>
      <c r="B1124" t="s">
        <v>181</v>
      </c>
      <c r="C1124" t="str">
        <f>"01147640625"</f>
        <v>01147640625</v>
      </c>
      <c r="D1124" t="str">
        <f>"01147640625"</f>
        <v>01147640625</v>
      </c>
      <c r="E1124" t="s">
        <v>52</v>
      </c>
      <c r="F1124">
        <v>2015</v>
      </c>
      <c r="G1124" t="str">
        <f>"          PA  000015"</f>
        <v xml:space="preserve">          PA  000015</v>
      </c>
      <c r="H1124" s="3">
        <v>42314</v>
      </c>
      <c r="I1124" s="3">
        <v>42317</v>
      </c>
      <c r="J1124" s="3">
        <v>42314</v>
      </c>
      <c r="K1124" s="3">
        <v>42374</v>
      </c>
      <c r="L1124"/>
      <c r="N1124"/>
      <c r="O1124">
        <v>319.67</v>
      </c>
      <c r="P1124">
        <v>29</v>
      </c>
      <c r="Q1124" s="4">
        <v>9270.43</v>
      </c>
      <c r="R1124">
        <v>70.33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0</v>
      </c>
      <c r="AB1124" s="3">
        <v>42562</v>
      </c>
      <c r="AC1124" t="s">
        <v>53</v>
      </c>
      <c r="AD1124" t="s">
        <v>53</v>
      </c>
      <c r="AJ1124">
        <v>70.33</v>
      </c>
      <c r="AK1124">
        <v>0</v>
      </c>
      <c r="AU1124" s="3">
        <v>42403</v>
      </c>
      <c r="AV1124" s="3">
        <v>42403</v>
      </c>
      <c r="AW1124" t="s">
        <v>54</v>
      </c>
      <c r="AX1124" t="str">
        <f t="shared" si="143"/>
        <v>FOR</v>
      </c>
      <c r="AY1124" t="s">
        <v>55</v>
      </c>
    </row>
    <row r="1125" spans="1:51" hidden="1">
      <c r="A1125">
        <v>100996</v>
      </c>
      <c r="B1125" t="s">
        <v>182</v>
      </c>
      <c r="C1125" t="str">
        <f t="shared" ref="C1125:C1137" si="145">"00610690620"</f>
        <v>00610690620</v>
      </c>
      <c r="D1125" t="str">
        <f t="shared" ref="D1125:D1137" si="146">"RRORCR53R19A783X"</f>
        <v>RRORCR53R19A783X</v>
      </c>
      <c r="E1125" t="s">
        <v>52</v>
      </c>
      <c r="F1125">
        <v>2015</v>
      </c>
      <c r="G1125" t="str">
        <f>"     018-2015-ELETTR"</f>
        <v xml:space="preserve">     018-2015-ELETTR</v>
      </c>
      <c r="H1125" s="3">
        <v>42233</v>
      </c>
      <c r="I1125" s="3">
        <v>42243</v>
      </c>
      <c r="J1125" s="3">
        <v>42243</v>
      </c>
      <c r="K1125" s="3">
        <v>42303</v>
      </c>
      <c r="L1125"/>
      <c r="N1125"/>
      <c r="O1125">
        <v>325.2</v>
      </c>
      <c r="P1125">
        <v>100</v>
      </c>
      <c r="Q1125" s="4">
        <v>32520</v>
      </c>
      <c r="R1125">
        <v>59.09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 s="3">
        <v>42562</v>
      </c>
      <c r="AC1125" t="s">
        <v>53</v>
      </c>
      <c r="AD1125" t="s">
        <v>53</v>
      </c>
      <c r="AK1125">
        <v>59.09</v>
      </c>
      <c r="AU1125" s="3">
        <v>42403</v>
      </c>
      <c r="AV1125" s="3">
        <v>42403</v>
      </c>
      <c r="AW1125" t="s">
        <v>54</v>
      </c>
      <c r="AX1125" t="str">
        <f t="shared" si="143"/>
        <v>FOR</v>
      </c>
      <c r="AY1125" t="s">
        <v>55</v>
      </c>
    </row>
    <row r="1126" spans="1:51" hidden="1">
      <c r="A1126">
        <v>100996</v>
      </c>
      <c r="B1126" t="s">
        <v>182</v>
      </c>
      <c r="C1126" t="str">
        <f t="shared" si="145"/>
        <v>00610690620</v>
      </c>
      <c r="D1126" t="str">
        <f t="shared" si="146"/>
        <v>RRORCR53R19A783X</v>
      </c>
      <c r="E1126" t="s">
        <v>52</v>
      </c>
      <c r="F1126">
        <v>2015</v>
      </c>
      <c r="G1126" t="str">
        <f>"     019-2015-ELETTR"</f>
        <v xml:space="preserve">     019-2015-ELETTR</v>
      </c>
      <c r="H1126" s="3">
        <v>42237</v>
      </c>
      <c r="I1126" s="3">
        <v>42243</v>
      </c>
      <c r="J1126" s="3">
        <v>42243</v>
      </c>
      <c r="K1126" s="3">
        <v>42303</v>
      </c>
      <c r="L1126"/>
      <c r="N1126"/>
      <c r="O1126">
        <v>172.44</v>
      </c>
      <c r="P1126">
        <v>100</v>
      </c>
      <c r="Q1126" s="4">
        <v>17244</v>
      </c>
      <c r="R1126">
        <v>31.89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 s="3">
        <v>42562</v>
      </c>
      <c r="AC1126" t="s">
        <v>53</v>
      </c>
      <c r="AD1126" t="s">
        <v>53</v>
      </c>
      <c r="AK1126">
        <v>31.89</v>
      </c>
      <c r="AU1126" s="3">
        <v>42403</v>
      </c>
      <c r="AV1126" s="3">
        <v>42403</v>
      </c>
      <c r="AW1126" t="s">
        <v>54</v>
      </c>
      <c r="AX1126" t="str">
        <f t="shared" si="143"/>
        <v>FOR</v>
      </c>
      <c r="AY1126" t="s">
        <v>55</v>
      </c>
    </row>
    <row r="1127" spans="1:51" hidden="1">
      <c r="A1127">
        <v>100996</v>
      </c>
      <c r="B1127" t="s">
        <v>182</v>
      </c>
      <c r="C1127" t="str">
        <f t="shared" si="145"/>
        <v>00610690620</v>
      </c>
      <c r="D1127" t="str">
        <f t="shared" si="146"/>
        <v>RRORCR53R19A783X</v>
      </c>
      <c r="E1127" t="s">
        <v>52</v>
      </c>
      <c r="F1127">
        <v>2015</v>
      </c>
      <c r="G1127" t="str">
        <f>"     024-2015-ELETTR"</f>
        <v xml:space="preserve">     024-2015-ELETTR</v>
      </c>
      <c r="H1127" s="3">
        <v>42270</v>
      </c>
      <c r="I1127" s="3">
        <v>42272</v>
      </c>
      <c r="J1127" s="3">
        <v>42271</v>
      </c>
      <c r="K1127" s="3">
        <v>42331</v>
      </c>
      <c r="L1127"/>
      <c r="N1127"/>
      <c r="O1127">
        <v>218.7</v>
      </c>
      <c r="P1127">
        <v>72</v>
      </c>
      <c r="Q1127" s="4">
        <v>15746.4</v>
      </c>
      <c r="R1127">
        <v>40.03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 s="3">
        <v>42562</v>
      </c>
      <c r="AC1127" t="s">
        <v>53</v>
      </c>
      <c r="AD1127" t="s">
        <v>53</v>
      </c>
      <c r="AK1127">
        <v>40.03</v>
      </c>
      <c r="AU1127" s="3">
        <v>42403</v>
      </c>
      <c r="AV1127" s="3">
        <v>42403</v>
      </c>
      <c r="AW1127" t="s">
        <v>54</v>
      </c>
      <c r="AX1127" t="str">
        <f t="shared" si="143"/>
        <v>FOR</v>
      </c>
      <c r="AY1127" t="s">
        <v>55</v>
      </c>
    </row>
    <row r="1128" spans="1:51" hidden="1">
      <c r="A1128">
        <v>100996</v>
      </c>
      <c r="B1128" t="s">
        <v>182</v>
      </c>
      <c r="C1128" t="str">
        <f t="shared" si="145"/>
        <v>00610690620</v>
      </c>
      <c r="D1128" t="str">
        <f t="shared" si="146"/>
        <v>RRORCR53R19A783X</v>
      </c>
      <c r="E1128" t="s">
        <v>52</v>
      </c>
      <c r="F1128">
        <v>2015</v>
      </c>
      <c r="G1128" t="str">
        <f>"     025-2015-ELETTR"</f>
        <v xml:space="preserve">     025-2015-ELETTR</v>
      </c>
      <c r="H1128" s="3">
        <v>42278</v>
      </c>
      <c r="I1128" s="3">
        <v>42279</v>
      </c>
      <c r="J1128" s="3">
        <v>42278</v>
      </c>
      <c r="K1128" s="3">
        <v>42338</v>
      </c>
      <c r="L1128"/>
      <c r="N1128"/>
      <c r="O1128">
        <v>525.6</v>
      </c>
      <c r="P1128">
        <v>65</v>
      </c>
      <c r="Q1128" s="4">
        <v>34164</v>
      </c>
      <c r="R1128">
        <v>87.41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 s="3">
        <v>42562</v>
      </c>
      <c r="AC1128" t="s">
        <v>53</v>
      </c>
      <c r="AD1128" t="s">
        <v>53</v>
      </c>
      <c r="AK1128">
        <v>87.41</v>
      </c>
      <c r="AU1128" s="3">
        <v>42403</v>
      </c>
      <c r="AV1128" s="3">
        <v>42403</v>
      </c>
      <c r="AW1128" t="s">
        <v>54</v>
      </c>
      <c r="AX1128" t="str">
        <f t="shared" si="143"/>
        <v>FOR</v>
      </c>
      <c r="AY1128" t="s">
        <v>55</v>
      </c>
    </row>
    <row r="1129" spans="1:51" hidden="1">
      <c r="A1129">
        <v>100996</v>
      </c>
      <c r="B1129" t="s">
        <v>182</v>
      </c>
      <c r="C1129" t="str">
        <f t="shared" si="145"/>
        <v>00610690620</v>
      </c>
      <c r="D1129" t="str">
        <f t="shared" si="146"/>
        <v>RRORCR53R19A783X</v>
      </c>
      <c r="E1129" t="s">
        <v>52</v>
      </c>
      <c r="F1129">
        <v>2015</v>
      </c>
      <c r="G1129" t="str">
        <f>"     026-2015-ELETTR"</f>
        <v xml:space="preserve">     026-2015-ELETTR</v>
      </c>
      <c r="H1129" s="3">
        <v>42285</v>
      </c>
      <c r="I1129" s="3">
        <v>42286</v>
      </c>
      <c r="J1129" s="3">
        <v>42285</v>
      </c>
      <c r="K1129" s="3">
        <v>42345</v>
      </c>
      <c r="L1129"/>
      <c r="N1129"/>
      <c r="O1129">
        <v>411.76</v>
      </c>
      <c r="P1129">
        <v>58</v>
      </c>
      <c r="Q1129" s="4">
        <v>23882.080000000002</v>
      </c>
      <c r="R1129">
        <v>78.489999999999995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 s="3">
        <v>42562</v>
      </c>
      <c r="AC1129" t="s">
        <v>53</v>
      </c>
      <c r="AD1129" t="s">
        <v>53</v>
      </c>
      <c r="AK1129">
        <v>78.489999999999995</v>
      </c>
      <c r="AU1129" s="3">
        <v>42403</v>
      </c>
      <c r="AV1129" s="3">
        <v>42403</v>
      </c>
      <c r="AW1129" t="s">
        <v>54</v>
      </c>
      <c r="AX1129" t="str">
        <f t="shared" si="143"/>
        <v>FOR</v>
      </c>
      <c r="AY1129" t="s">
        <v>55</v>
      </c>
    </row>
    <row r="1130" spans="1:51" hidden="1">
      <c r="A1130">
        <v>100996</v>
      </c>
      <c r="B1130" t="s">
        <v>182</v>
      </c>
      <c r="C1130" t="str">
        <f t="shared" si="145"/>
        <v>00610690620</v>
      </c>
      <c r="D1130" t="str">
        <f t="shared" si="146"/>
        <v>RRORCR53R19A783X</v>
      </c>
      <c r="E1130" t="s">
        <v>52</v>
      </c>
      <c r="F1130">
        <v>2015</v>
      </c>
      <c r="G1130" t="str">
        <f>"     027-2015-ELETTR"</f>
        <v xml:space="preserve">     027-2015-ELETTR</v>
      </c>
      <c r="H1130" s="3">
        <v>42292</v>
      </c>
      <c r="I1130" s="3">
        <v>42303</v>
      </c>
      <c r="J1130" s="3">
        <v>42303</v>
      </c>
      <c r="K1130" s="3">
        <v>42363</v>
      </c>
      <c r="L1130"/>
      <c r="N1130"/>
      <c r="O1130">
        <v>502.44</v>
      </c>
      <c r="P1130">
        <v>40</v>
      </c>
      <c r="Q1130" s="4">
        <v>20097.599999999999</v>
      </c>
      <c r="R1130">
        <v>79.77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0</v>
      </c>
      <c r="AB1130" s="3">
        <v>42562</v>
      </c>
      <c r="AC1130" t="s">
        <v>53</v>
      </c>
      <c r="AD1130" t="s">
        <v>53</v>
      </c>
      <c r="AK1130">
        <v>79.77</v>
      </c>
      <c r="AU1130" s="3">
        <v>42403</v>
      </c>
      <c r="AV1130" s="3">
        <v>42403</v>
      </c>
      <c r="AW1130" t="s">
        <v>54</v>
      </c>
      <c r="AX1130" t="str">
        <f t="shared" si="143"/>
        <v>FOR</v>
      </c>
      <c r="AY1130" t="s">
        <v>55</v>
      </c>
    </row>
    <row r="1131" spans="1:51" hidden="1">
      <c r="A1131">
        <v>100996</v>
      </c>
      <c r="B1131" t="s">
        <v>182</v>
      </c>
      <c r="C1131" t="str">
        <f t="shared" si="145"/>
        <v>00610690620</v>
      </c>
      <c r="D1131" t="str">
        <f t="shared" si="146"/>
        <v>RRORCR53R19A783X</v>
      </c>
      <c r="E1131" t="s">
        <v>52</v>
      </c>
      <c r="F1131">
        <v>2015</v>
      </c>
      <c r="G1131" t="str">
        <f>"     028-2015-ELETTR"</f>
        <v xml:space="preserve">     028-2015-ELETTR</v>
      </c>
      <c r="H1131" s="3">
        <v>42299</v>
      </c>
      <c r="I1131" s="3">
        <v>42303</v>
      </c>
      <c r="J1131" s="3">
        <v>42303</v>
      </c>
      <c r="K1131" s="3">
        <v>42363</v>
      </c>
      <c r="L1131"/>
      <c r="N1131"/>
      <c r="O1131">
        <v>425.56</v>
      </c>
      <c r="P1131">
        <v>40</v>
      </c>
      <c r="Q1131" s="4">
        <v>17022.400000000001</v>
      </c>
      <c r="R1131">
        <v>78.5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 s="3">
        <v>42562</v>
      </c>
      <c r="AC1131" t="s">
        <v>53</v>
      </c>
      <c r="AD1131" t="s">
        <v>53</v>
      </c>
      <c r="AK1131">
        <v>78.5</v>
      </c>
      <c r="AU1131" s="3">
        <v>42403</v>
      </c>
      <c r="AV1131" s="3">
        <v>42403</v>
      </c>
      <c r="AW1131" t="s">
        <v>54</v>
      </c>
      <c r="AX1131" t="str">
        <f t="shared" si="143"/>
        <v>FOR</v>
      </c>
      <c r="AY1131" t="s">
        <v>55</v>
      </c>
    </row>
    <row r="1132" spans="1:51" hidden="1">
      <c r="A1132">
        <v>100996</v>
      </c>
      <c r="B1132" t="s">
        <v>182</v>
      </c>
      <c r="C1132" t="str">
        <f t="shared" si="145"/>
        <v>00610690620</v>
      </c>
      <c r="D1132" t="str">
        <f t="shared" si="146"/>
        <v>RRORCR53R19A783X</v>
      </c>
      <c r="E1132" t="s">
        <v>52</v>
      </c>
      <c r="F1132">
        <v>2015</v>
      </c>
      <c r="G1132" t="str">
        <f>"     029-2015-ELETTR"</f>
        <v xml:space="preserve">     029-2015-ELETTR</v>
      </c>
      <c r="H1132" s="3">
        <v>42307</v>
      </c>
      <c r="I1132" s="3">
        <v>42310</v>
      </c>
      <c r="J1132" s="3">
        <v>42310</v>
      </c>
      <c r="K1132" s="3">
        <v>42370</v>
      </c>
      <c r="L1132"/>
      <c r="N1132"/>
      <c r="O1132">
        <v>272.27999999999997</v>
      </c>
      <c r="P1132">
        <v>33</v>
      </c>
      <c r="Q1132" s="4">
        <v>8985.24</v>
      </c>
      <c r="R1132">
        <v>50.83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0</v>
      </c>
      <c r="AB1132" s="3">
        <v>42562</v>
      </c>
      <c r="AC1132" t="s">
        <v>53</v>
      </c>
      <c r="AD1132" t="s">
        <v>53</v>
      </c>
      <c r="AJ1132">
        <v>50.83</v>
      </c>
      <c r="AK1132">
        <v>0</v>
      </c>
      <c r="AU1132" s="3">
        <v>42403</v>
      </c>
      <c r="AV1132" s="3">
        <v>42403</v>
      </c>
      <c r="AW1132" t="s">
        <v>54</v>
      </c>
      <c r="AX1132" t="str">
        <f t="shared" si="143"/>
        <v>FOR</v>
      </c>
      <c r="AY1132" t="s">
        <v>55</v>
      </c>
    </row>
    <row r="1133" spans="1:51" hidden="1">
      <c r="A1133">
        <v>100996</v>
      </c>
      <c r="B1133" t="s">
        <v>182</v>
      </c>
      <c r="C1133" t="str">
        <f t="shared" si="145"/>
        <v>00610690620</v>
      </c>
      <c r="D1133" t="str">
        <f t="shared" si="146"/>
        <v>RRORCR53R19A783X</v>
      </c>
      <c r="E1133" t="s">
        <v>52</v>
      </c>
      <c r="F1133">
        <v>2015</v>
      </c>
      <c r="G1133" t="str">
        <f>"     030-2015-ELETTR"</f>
        <v xml:space="preserve">     030-2015-ELETTR</v>
      </c>
      <c r="H1133" s="3">
        <v>42319</v>
      </c>
      <c r="I1133" s="3">
        <v>42320</v>
      </c>
      <c r="J1133" s="3">
        <v>42319</v>
      </c>
      <c r="K1133" s="3">
        <v>42379</v>
      </c>
      <c r="L1133"/>
      <c r="N1133"/>
      <c r="O1133">
        <v>509.06</v>
      </c>
      <c r="P1133">
        <v>24</v>
      </c>
      <c r="Q1133" s="4">
        <v>12217.44</v>
      </c>
      <c r="R1133">
        <v>102.56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 s="3">
        <v>42562</v>
      </c>
      <c r="AC1133" t="s">
        <v>53</v>
      </c>
      <c r="AD1133" t="s">
        <v>53</v>
      </c>
      <c r="AJ1133">
        <v>102.56</v>
      </c>
      <c r="AK1133">
        <v>0</v>
      </c>
      <c r="AU1133" s="3">
        <v>42403</v>
      </c>
      <c r="AV1133" s="3">
        <v>42403</v>
      </c>
      <c r="AW1133" t="s">
        <v>54</v>
      </c>
      <c r="AX1133" t="str">
        <f t="shared" si="143"/>
        <v>FOR</v>
      </c>
      <c r="AY1133" t="s">
        <v>55</v>
      </c>
    </row>
    <row r="1134" spans="1:51" hidden="1">
      <c r="A1134">
        <v>100996</v>
      </c>
      <c r="B1134" t="s">
        <v>182</v>
      </c>
      <c r="C1134" t="str">
        <f t="shared" si="145"/>
        <v>00610690620</v>
      </c>
      <c r="D1134" t="str">
        <f t="shared" si="146"/>
        <v>RRORCR53R19A783X</v>
      </c>
      <c r="E1134" t="s">
        <v>52</v>
      </c>
      <c r="F1134">
        <v>2015</v>
      </c>
      <c r="G1134" t="str">
        <f>"     031-2015-ELETTR"</f>
        <v xml:space="preserve">     031-2015-ELETTR</v>
      </c>
      <c r="H1134" s="3">
        <v>42329</v>
      </c>
      <c r="I1134" s="3">
        <v>42331</v>
      </c>
      <c r="J1134" s="3">
        <v>42331</v>
      </c>
      <c r="K1134" s="3">
        <v>42391</v>
      </c>
      <c r="L1134"/>
      <c r="N1134"/>
      <c r="O1134">
        <v>282</v>
      </c>
      <c r="P1134">
        <v>12</v>
      </c>
      <c r="Q1134" s="4">
        <v>3384</v>
      </c>
      <c r="R1134">
        <v>52.61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0</v>
      </c>
      <c r="AB1134" s="3">
        <v>42562</v>
      </c>
      <c r="AC1134" t="s">
        <v>53</v>
      </c>
      <c r="AD1134" t="s">
        <v>53</v>
      </c>
      <c r="AJ1134">
        <v>52.61</v>
      </c>
      <c r="AK1134">
        <v>0</v>
      </c>
      <c r="AU1134" s="3">
        <v>42403</v>
      </c>
      <c r="AV1134" s="3">
        <v>42403</v>
      </c>
      <c r="AW1134" t="s">
        <v>54</v>
      </c>
      <c r="AX1134" t="str">
        <f t="shared" si="143"/>
        <v>FOR</v>
      </c>
      <c r="AY1134" t="s">
        <v>55</v>
      </c>
    </row>
    <row r="1135" spans="1:51" hidden="1">
      <c r="A1135">
        <v>100996</v>
      </c>
      <c r="B1135" t="s">
        <v>182</v>
      </c>
      <c r="C1135" t="str">
        <f t="shared" si="145"/>
        <v>00610690620</v>
      </c>
      <c r="D1135" t="str">
        <f t="shared" si="146"/>
        <v>RRORCR53R19A783X</v>
      </c>
      <c r="E1135" t="s">
        <v>52</v>
      </c>
      <c r="F1135">
        <v>2015</v>
      </c>
      <c r="G1135" t="str">
        <f>"     032-2015-ELETTR"</f>
        <v xml:space="preserve">     032-2015-ELETTR</v>
      </c>
      <c r="H1135" s="3">
        <v>42336</v>
      </c>
      <c r="I1135" s="3">
        <v>42338</v>
      </c>
      <c r="J1135" s="3">
        <v>42338</v>
      </c>
      <c r="K1135" s="3">
        <v>42398</v>
      </c>
      <c r="L1135"/>
      <c r="N1135"/>
      <c r="O1135">
        <v>181.1</v>
      </c>
      <c r="P1135">
        <v>5</v>
      </c>
      <c r="Q1135">
        <v>905.5</v>
      </c>
      <c r="R1135">
        <v>33.79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 s="3">
        <v>42562</v>
      </c>
      <c r="AC1135" t="s">
        <v>53</v>
      </c>
      <c r="AD1135" t="s">
        <v>53</v>
      </c>
      <c r="AJ1135">
        <v>33.79</v>
      </c>
      <c r="AK1135">
        <v>0</v>
      </c>
      <c r="AU1135" s="3">
        <v>42403</v>
      </c>
      <c r="AV1135" s="3">
        <v>42403</v>
      </c>
      <c r="AW1135" t="s">
        <v>54</v>
      </c>
      <c r="AX1135" t="str">
        <f t="shared" si="143"/>
        <v>FOR</v>
      </c>
      <c r="AY1135" t="s">
        <v>55</v>
      </c>
    </row>
    <row r="1136" spans="1:51" hidden="1">
      <c r="A1136">
        <v>100996</v>
      </c>
      <c r="B1136" t="s">
        <v>182</v>
      </c>
      <c r="C1136" t="str">
        <f t="shared" si="145"/>
        <v>00610690620</v>
      </c>
      <c r="D1136" t="str">
        <f t="shared" si="146"/>
        <v>RRORCR53R19A783X</v>
      </c>
      <c r="E1136" t="s">
        <v>52</v>
      </c>
      <c r="F1136">
        <v>2015</v>
      </c>
      <c r="G1136" t="str">
        <f>"     033-2015-ELETTR"</f>
        <v xml:space="preserve">     033-2015-ELETTR</v>
      </c>
      <c r="H1136" s="3">
        <v>42351</v>
      </c>
      <c r="I1136" s="3">
        <v>42352</v>
      </c>
      <c r="J1136" s="3">
        <v>42352</v>
      </c>
      <c r="K1136" s="3">
        <v>42412</v>
      </c>
      <c r="L1136"/>
      <c r="N1136"/>
      <c r="O1136">
        <v>298.72000000000003</v>
      </c>
      <c r="P1136">
        <v>-9</v>
      </c>
      <c r="Q1136" s="4">
        <v>-2688.48</v>
      </c>
      <c r="R1136">
        <v>53.1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0</v>
      </c>
      <c r="AB1136" s="3">
        <v>42562</v>
      </c>
      <c r="AC1136" t="s">
        <v>53</v>
      </c>
      <c r="AD1136" t="s">
        <v>53</v>
      </c>
      <c r="AI1136">
        <v>53.1</v>
      </c>
      <c r="AK1136">
        <v>0</v>
      </c>
      <c r="AU1136" s="3">
        <v>42403</v>
      </c>
      <c r="AV1136" s="3">
        <v>42403</v>
      </c>
      <c r="AW1136" t="s">
        <v>54</v>
      </c>
      <c r="AX1136" t="str">
        <f t="shared" si="143"/>
        <v>FOR</v>
      </c>
      <c r="AY1136" t="s">
        <v>55</v>
      </c>
    </row>
    <row r="1137" spans="1:51" hidden="1">
      <c r="A1137">
        <v>100996</v>
      </c>
      <c r="B1137" t="s">
        <v>182</v>
      </c>
      <c r="C1137" t="str">
        <f t="shared" si="145"/>
        <v>00610690620</v>
      </c>
      <c r="D1137" t="str">
        <f t="shared" si="146"/>
        <v>RRORCR53R19A783X</v>
      </c>
      <c r="E1137" t="s">
        <v>52</v>
      </c>
      <c r="F1137">
        <v>2015</v>
      </c>
      <c r="G1137" t="str">
        <f>"     034-2015-ELETTR"</f>
        <v xml:space="preserve">     034-2015-ELETTR</v>
      </c>
      <c r="H1137" s="3">
        <v>42357</v>
      </c>
      <c r="I1137" s="3">
        <v>42360</v>
      </c>
      <c r="J1137" s="3">
        <v>42359</v>
      </c>
      <c r="K1137" s="3">
        <v>42419</v>
      </c>
      <c r="L1137"/>
      <c r="N1137"/>
      <c r="O1137">
        <v>216.72</v>
      </c>
      <c r="P1137">
        <v>-16</v>
      </c>
      <c r="Q1137" s="4">
        <v>-3467.52</v>
      </c>
      <c r="R1137">
        <v>47.68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0</v>
      </c>
      <c r="AB1137" s="3">
        <v>42562</v>
      </c>
      <c r="AC1137" t="s">
        <v>53</v>
      </c>
      <c r="AD1137" t="s">
        <v>53</v>
      </c>
      <c r="AI1137">
        <v>47.68</v>
      </c>
      <c r="AK1137">
        <v>0</v>
      </c>
      <c r="AU1137" s="3">
        <v>42403</v>
      </c>
      <c r="AV1137" s="3">
        <v>42403</v>
      </c>
      <c r="AW1137" t="s">
        <v>54</v>
      </c>
      <c r="AX1137" t="str">
        <f t="shared" si="143"/>
        <v>FOR</v>
      </c>
      <c r="AY1137" t="s">
        <v>55</v>
      </c>
    </row>
    <row r="1138" spans="1:51" hidden="1">
      <c r="A1138">
        <v>101005</v>
      </c>
      <c r="B1138" t="s">
        <v>183</v>
      </c>
      <c r="C1138" t="str">
        <f>"00953780962"</f>
        <v>00953780962</v>
      </c>
      <c r="D1138" t="str">
        <f>"09331210154"</f>
        <v>09331210154</v>
      </c>
      <c r="E1138" t="s">
        <v>52</v>
      </c>
      <c r="F1138">
        <v>2015</v>
      </c>
      <c r="G1138" t="str">
        <f>"            35108851"</f>
        <v xml:space="preserve">            35108851</v>
      </c>
      <c r="H1138" s="3">
        <v>42103</v>
      </c>
      <c r="I1138" s="3">
        <v>42193</v>
      </c>
      <c r="J1138" s="3">
        <v>42192</v>
      </c>
      <c r="K1138" s="3">
        <v>42252</v>
      </c>
      <c r="L1138"/>
      <c r="N1138"/>
      <c r="O1138" s="4">
        <v>3450</v>
      </c>
      <c r="P1138">
        <v>156</v>
      </c>
      <c r="Q1138" s="4">
        <v>538200</v>
      </c>
      <c r="R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 s="3">
        <v>42562</v>
      </c>
      <c r="AC1138" t="s">
        <v>53</v>
      </c>
      <c r="AD1138" t="s">
        <v>53</v>
      </c>
      <c r="AK1138">
        <v>0</v>
      </c>
      <c r="AU1138" s="3">
        <v>42408</v>
      </c>
      <c r="AV1138" s="3">
        <v>42408</v>
      </c>
      <c r="AW1138" t="s">
        <v>54</v>
      </c>
      <c r="AX1138" t="str">
        <f t="shared" si="143"/>
        <v>FOR</v>
      </c>
      <c r="AY1138" t="s">
        <v>55</v>
      </c>
    </row>
    <row r="1139" spans="1:51" hidden="1">
      <c r="A1139">
        <v>101019</v>
      </c>
      <c r="B1139" t="s">
        <v>184</v>
      </c>
      <c r="C1139" t="str">
        <f t="shared" ref="C1139:D1146" si="147">"09771701001"</f>
        <v>09771701001</v>
      </c>
      <c r="D1139" t="str">
        <f t="shared" si="147"/>
        <v>09771701001</v>
      </c>
      <c r="E1139" t="s">
        <v>52</v>
      </c>
      <c r="F1139">
        <v>2015</v>
      </c>
      <c r="G1139" t="str">
        <f>"          900017019T"</f>
        <v xml:space="preserve">          900017019T</v>
      </c>
      <c r="H1139" s="3">
        <v>42361</v>
      </c>
      <c r="I1139" s="3">
        <v>42369</v>
      </c>
      <c r="J1139" s="3">
        <v>42363</v>
      </c>
      <c r="K1139" s="3">
        <v>42423</v>
      </c>
      <c r="L1139"/>
      <c r="N1139"/>
      <c r="O1139">
        <v>4.13</v>
      </c>
      <c r="P1139">
        <v>-21</v>
      </c>
      <c r="Q1139">
        <v>-86.73</v>
      </c>
      <c r="R1139">
        <v>0</v>
      </c>
      <c r="V1139">
        <v>0</v>
      </c>
      <c r="W1139">
        <v>0</v>
      </c>
      <c r="X1139">
        <v>0</v>
      </c>
      <c r="Y1139">
        <v>0</v>
      </c>
      <c r="Z1139">
        <v>0</v>
      </c>
      <c r="AA1139">
        <v>0</v>
      </c>
      <c r="AB1139" s="3">
        <v>42562</v>
      </c>
      <c r="AC1139" t="s">
        <v>53</v>
      </c>
      <c r="AD1139" t="s">
        <v>53</v>
      </c>
      <c r="AK1139">
        <v>0</v>
      </c>
      <c r="AU1139" s="3">
        <v>42402</v>
      </c>
      <c r="AV1139" s="3">
        <v>42402</v>
      </c>
      <c r="AW1139" t="s">
        <v>54</v>
      </c>
      <c r="AX1139" t="str">
        <f t="shared" si="143"/>
        <v>FOR</v>
      </c>
      <c r="AY1139" t="s">
        <v>55</v>
      </c>
    </row>
    <row r="1140" spans="1:51" hidden="1">
      <c r="A1140">
        <v>101019</v>
      </c>
      <c r="B1140" t="s">
        <v>184</v>
      </c>
      <c r="C1140" t="str">
        <f t="shared" si="147"/>
        <v>09771701001</v>
      </c>
      <c r="D1140" t="str">
        <f t="shared" si="147"/>
        <v>09771701001</v>
      </c>
      <c r="E1140" t="s">
        <v>52</v>
      </c>
      <c r="F1140">
        <v>2015</v>
      </c>
      <c r="G1140" t="str">
        <f>"          900017346T"</f>
        <v xml:space="preserve">          900017346T</v>
      </c>
      <c r="H1140" s="3">
        <v>42361</v>
      </c>
      <c r="I1140" s="3">
        <v>42369</v>
      </c>
      <c r="J1140" s="3">
        <v>42361</v>
      </c>
      <c r="K1140" s="3">
        <v>42421</v>
      </c>
      <c r="L1140"/>
      <c r="N1140"/>
      <c r="O1140">
        <v>2.0699999999999998</v>
      </c>
      <c r="P1140">
        <v>-19</v>
      </c>
      <c r="Q1140">
        <v>-39.33</v>
      </c>
      <c r="R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0</v>
      </c>
      <c r="AB1140" s="3">
        <v>42562</v>
      </c>
      <c r="AC1140" t="s">
        <v>53</v>
      </c>
      <c r="AD1140" t="s">
        <v>53</v>
      </c>
      <c r="AK1140">
        <v>0</v>
      </c>
      <c r="AU1140" s="3">
        <v>42402</v>
      </c>
      <c r="AV1140" s="3">
        <v>42402</v>
      </c>
      <c r="AW1140" t="s">
        <v>54</v>
      </c>
      <c r="AX1140" t="str">
        <f t="shared" si="143"/>
        <v>FOR</v>
      </c>
      <c r="AY1140" t="s">
        <v>55</v>
      </c>
    </row>
    <row r="1141" spans="1:51" hidden="1">
      <c r="A1141">
        <v>101019</v>
      </c>
      <c r="B1141" t="s">
        <v>184</v>
      </c>
      <c r="C1141" t="str">
        <f t="shared" si="147"/>
        <v>09771701001</v>
      </c>
      <c r="D1141" t="str">
        <f t="shared" si="147"/>
        <v>09771701001</v>
      </c>
      <c r="E1141" t="s">
        <v>52</v>
      </c>
      <c r="F1141">
        <v>2016</v>
      </c>
      <c r="G1141" t="str">
        <f>"          900000540T"</f>
        <v xml:space="preserve">          900000540T</v>
      </c>
      <c r="H1141" s="3">
        <v>42392</v>
      </c>
      <c r="I1141" s="3">
        <v>42395</v>
      </c>
      <c r="J1141" s="3">
        <v>42395</v>
      </c>
      <c r="K1141" s="3">
        <v>42455</v>
      </c>
      <c r="L1141"/>
      <c r="N1141"/>
      <c r="O1141">
        <v>4.13</v>
      </c>
      <c r="P1141">
        <v>-53</v>
      </c>
      <c r="Q1141">
        <v>-218.89</v>
      </c>
      <c r="R1141">
        <v>0</v>
      </c>
      <c r="V1141">
        <v>0</v>
      </c>
      <c r="W1141">
        <v>0</v>
      </c>
      <c r="X1141">
        <v>0</v>
      </c>
      <c r="Y1141">
        <v>0</v>
      </c>
      <c r="Z1141">
        <v>5.04</v>
      </c>
      <c r="AA1141">
        <v>5.04</v>
      </c>
      <c r="AB1141" s="3">
        <v>42562</v>
      </c>
      <c r="AC1141" t="s">
        <v>53</v>
      </c>
      <c r="AD1141" t="s">
        <v>53</v>
      </c>
      <c r="AK1141">
        <v>0</v>
      </c>
      <c r="AU1141" s="3">
        <v>42402</v>
      </c>
      <c r="AV1141" s="3">
        <v>42402</v>
      </c>
      <c r="AW1141" t="s">
        <v>54</v>
      </c>
      <c r="AX1141" t="str">
        <f t="shared" si="143"/>
        <v>FOR</v>
      </c>
      <c r="AY1141" t="s">
        <v>55</v>
      </c>
    </row>
    <row r="1142" spans="1:51" hidden="1">
      <c r="A1142">
        <v>101019</v>
      </c>
      <c r="B1142" t="s">
        <v>184</v>
      </c>
      <c r="C1142" t="str">
        <f t="shared" si="147"/>
        <v>09771701001</v>
      </c>
      <c r="D1142" t="str">
        <f t="shared" si="147"/>
        <v>09771701001</v>
      </c>
      <c r="E1142" t="s">
        <v>52</v>
      </c>
      <c r="F1142">
        <v>2016</v>
      </c>
      <c r="G1142" t="str">
        <f>"          900002844T"</f>
        <v xml:space="preserve">          900002844T</v>
      </c>
      <c r="H1142" s="3">
        <v>42423</v>
      </c>
      <c r="I1142" s="3">
        <v>42426</v>
      </c>
      <c r="J1142" s="3">
        <v>42425</v>
      </c>
      <c r="K1142" s="3">
        <v>42485</v>
      </c>
      <c r="L1142"/>
      <c r="N1142"/>
      <c r="O1142">
        <v>28.92</v>
      </c>
      <c r="P1142">
        <v>-54</v>
      </c>
      <c r="Q1142" s="4">
        <v>-1561.68</v>
      </c>
      <c r="R1142">
        <v>0</v>
      </c>
      <c r="V1142">
        <v>0</v>
      </c>
      <c r="W1142">
        <v>0</v>
      </c>
      <c r="X1142">
        <v>0</v>
      </c>
      <c r="Y1142">
        <v>29.83</v>
      </c>
      <c r="Z1142">
        <v>29.83</v>
      </c>
      <c r="AA1142">
        <v>29.83</v>
      </c>
      <c r="AB1142" s="3">
        <v>42562</v>
      </c>
      <c r="AC1142" t="s">
        <v>53</v>
      </c>
      <c r="AD1142" t="s">
        <v>53</v>
      </c>
      <c r="AK1142">
        <v>0</v>
      </c>
      <c r="AU1142" s="3">
        <v>42431</v>
      </c>
      <c r="AV1142" s="3">
        <v>42431</v>
      </c>
      <c r="AW1142" t="s">
        <v>54</v>
      </c>
      <c r="AX1142" t="str">
        <f t="shared" si="143"/>
        <v>FOR</v>
      </c>
      <c r="AY1142" t="s">
        <v>55</v>
      </c>
    </row>
    <row r="1143" spans="1:51" hidden="1">
      <c r="A1143">
        <v>101019</v>
      </c>
      <c r="B1143" t="s">
        <v>184</v>
      </c>
      <c r="C1143" t="str">
        <f t="shared" si="147"/>
        <v>09771701001</v>
      </c>
      <c r="D1143" t="str">
        <f t="shared" si="147"/>
        <v>09771701001</v>
      </c>
      <c r="E1143" t="s">
        <v>52</v>
      </c>
      <c r="F1143">
        <v>2016</v>
      </c>
      <c r="G1143" t="str">
        <f>"          900003154T"</f>
        <v xml:space="preserve">          900003154T</v>
      </c>
      <c r="H1143" s="3">
        <v>42423</v>
      </c>
      <c r="I1143" s="3">
        <v>42426</v>
      </c>
      <c r="J1143" s="3">
        <v>42424</v>
      </c>
      <c r="K1143" s="3">
        <v>42484</v>
      </c>
      <c r="L1143"/>
      <c r="N1143"/>
      <c r="O1143">
        <v>17.559999999999999</v>
      </c>
      <c r="P1143">
        <v>-53</v>
      </c>
      <c r="Q1143">
        <v>-930.68</v>
      </c>
      <c r="R1143">
        <v>0</v>
      </c>
      <c r="V1143">
        <v>0</v>
      </c>
      <c r="W1143">
        <v>0</v>
      </c>
      <c r="X1143">
        <v>0</v>
      </c>
      <c r="Y1143">
        <v>0</v>
      </c>
      <c r="Z1143">
        <v>18.010000000000002</v>
      </c>
      <c r="AA1143">
        <v>18.010000000000002</v>
      </c>
      <c r="AB1143" s="3">
        <v>42562</v>
      </c>
      <c r="AC1143" t="s">
        <v>53</v>
      </c>
      <c r="AD1143" t="s">
        <v>53</v>
      </c>
      <c r="AK1143">
        <v>0</v>
      </c>
      <c r="AU1143" s="3">
        <v>42431</v>
      </c>
      <c r="AV1143" s="3">
        <v>42431</v>
      </c>
      <c r="AW1143" t="s">
        <v>54</v>
      </c>
      <c r="AX1143" t="str">
        <f t="shared" si="143"/>
        <v>FOR</v>
      </c>
      <c r="AY1143" t="s">
        <v>55</v>
      </c>
    </row>
    <row r="1144" spans="1:51">
      <c r="A1144">
        <v>101019</v>
      </c>
      <c r="B1144" t="s">
        <v>184</v>
      </c>
      <c r="C1144" t="str">
        <f t="shared" si="147"/>
        <v>09771701001</v>
      </c>
      <c r="D1144" t="str">
        <f t="shared" si="147"/>
        <v>09771701001</v>
      </c>
      <c r="E1144" t="s">
        <v>52</v>
      </c>
      <c r="F1144">
        <v>2016</v>
      </c>
      <c r="G1144" t="str">
        <f>"          900005697T"</f>
        <v xml:space="preserve">          900005697T</v>
      </c>
      <c r="H1144" s="3">
        <v>42452</v>
      </c>
      <c r="I1144" s="3">
        <v>42461</v>
      </c>
      <c r="J1144" s="3">
        <v>42454</v>
      </c>
      <c r="K1144" s="3">
        <v>42514</v>
      </c>
      <c r="L1144" s="1">
        <v>4.13</v>
      </c>
      <c r="M1144">
        <v>-22</v>
      </c>
      <c r="N1144" s="1">
        <v>-90.86</v>
      </c>
      <c r="O1144">
        <v>4.13</v>
      </c>
      <c r="P1144">
        <v>-22</v>
      </c>
      <c r="Q1144">
        <v>-90.86</v>
      </c>
      <c r="R1144">
        <v>0</v>
      </c>
      <c r="V1144">
        <v>0</v>
      </c>
      <c r="W1144">
        <v>5.04</v>
      </c>
      <c r="X1144">
        <v>0</v>
      </c>
      <c r="Y1144">
        <v>5.04</v>
      </c>
      <c r="Z1144">
        <v>5.04</v>
      </c>
      <c r="AA1144">
        <v>5.04</v>
      </c>
      <c r="AB1144" s="3">
        <v>42562</v>
      </c>
      <c r="AC1144" t="s">
        <v>53</v>
      </c>
      <c r="AD1144" t="s">
        <v>53</v>
      </c>
      <c r="AK1144">
        <v>0</v>
      </c>
      <c r="AU1144" s="3">
        <v>42492</v>
      </c>
      <c r="AV1144" s="3">
        <v>42492</v>
      </c>
      <c r="AW1144" t="s">
        <v>54</v>
      </c>
      <c r="AX1144" t="str">
        <f t="shared" si="143"/>
        <v>FOR</v>
      </c>
      <c r="AY1144" t="s">
        <v>55</v>
      </c>
    </row>
    <row r="1145" spans="1:51">
      <c r="A1145">
        <v>101019</v>
      </c>
      <c r="B1145" t="s">
        <v>184</v>
      </c>
      <c r="C1145" t="str">
        <f t="shared" si="147"/>
        <v>09771701001</v>
      </c>
      <c r="D1145" t="str">
        <f t="shared" si="147"/>
        <v>09771701001</v>
      </c>
      <c r="E1145" t="s">
        <v>52</v>
      </c>
      <c r="F1145">
        <v>2016</v>
      </c>
      <c r="G1145" t="str">
        <f>"          900007983T"</f>
        <v xml:space="preserve">          900007983T</v>
      </c>
      <c r="H1145" s="3">
        <v>42483</v>
      </c>
      <c r="I1145" s="3">
        <v>42487</v>
      </c>
      <c r="J1145" s="3">
        <v>42487</v>
      </c>
      <c r="K1145" s="3">
        <v>42547</v>
      </c>
      <c r="L1145" s="1">
        <v>4.13</v>
      </c>
      <c r="M1145">
        <v>-55</v>
      </c>
      <c r="N1145" s="1">
        <v>-227.15</v>
      </c>
      <c r="O1145">
        <v>4.13</v>
      </c>
      <c r="P1145">
        <v>-55</v>
      </c>
      <c r="Q1145">
        <v>-227.15</v>
      </c>
      <c r="R1145">
        <v>0</v>
      </c>
      <c r="V1145">
        <v>5.04</v>
      </c>
      <c r="W1145">
        <v>5.04</v>
      </c>
      <c r="X1145">
        <v>5.04</v>
      </c>
      <c r="Y1145">
        <v>5.04</v>
      </c>
      <c r="Z1145">
        <v>5.04</v>
      </c>
      <c r="AA1145">
        <v>5.04</v>
      </c>
      <c r="AB1145" s="3">
        <v>42562</v>
      </c>
      <c r="AC1145" t="s">
        <v>53</v>
      </c>
      <c r="AD1145" t="s">
        <v>53</v>
      </c>
      <c r="AK1145">
        <v>0</v>
      </c>
      <c r="AU1145" s="3">
        <v>42492</v>
      </c>
      <c r="AV1145" s="3">
        <v>42492</v>
      </c>
      <c r="AW1145" t="s">
        <v>54</v>
      </c>
      <c r="AX1145" t="str">
        <f t="shared" si="143"/>
        <v>FOR</v>
      </c>
      <c r="AY1145" t="s">
        <v>55</v>
      </c>
    </row>
    <row r="1146" spans="1:51">
      <c r="A1146">
        <v>101019</v>
      </c>
      <c r="B1146" t="s">
        <v>184</v>
      </c>
      <c r="C1146" t="str">
        <f t="shared" si="147"/>
        <v>09771701001</v>
      </c>
      <c r="D1146" t="str">
        <f t="shared" si="147"/>
        <v>09771701001</v>
      </c>
      <c r="E1146" t="s">
        <v>52</v>
      </c>
      <c r="F1146">
        <v>2016</v>
      </c>
      <c r="G1146" t="str">
        <f>"          900010291T"</f>
        <v xml:space="preserve">          900010291T</v>
      </c>
      <c r="H1146" s="3">
        <v>42513</v>
      </c>
      <c r="I1146" s="3">
        <v>42513</v>
      </c>
      <c r="J1146" s="3">
        <v>42513</v>
      </c>
      <c r="K1146" s="3">
        <v>42573</v>
      </c>
      <c r="L1146" s="1">
        <v>4.13</v>
      </c>
      <c r="M1146">
        <v>-53</v>
      </c>
      <c r="N1146" s="1">
        <v>-218.89</v>
      </c>
      <c r="O1146">
        <v>4.13</v>
      </c>
      <c r="P1146">
        <v>-53</v>
      </c>
      <c r="Q1146">
        <v>-218.89</v>
      </c>
      <c r="R1146">
        <v>0</v>
      </c>
      <c r="V1146">
        <v>5.04</v>
      </c>
      <c r="W1146">
        <v>5.04</v>
      </c>
      <c r="X1146">
        <v>5.04</v>
      </c>
      <c r="Y1146">
        <v>5.04</v>
      </c>
      <c r="Z1146">
        <v>5.04</v>
      </c>
      <c r="AA1146">
        <v>5.04</v>
      </c>
      <c r="AB1146" s="3">
        <v>42562</v>
      </c>
      <c r="AC1146" t="s">
        <v>53</v>
      </c>
      <c r="AD1146" t="s">
        <v>53</v>
      </c>
      <c r="AK1146">
        <v>0</v>
      </c>
      <c r="AU1146" s="3">
        <v>42520</v>
      </c>
      <c r="AV1146" s="3">
        <v>42520</v>
      </c>
      <c r="AW1146" t="s">
        <v>54</v>
      </c>
      <c r="AX1146" t="str">
        <f t="shared" si="143"/>
        <v>FOR</v>
      </c>
      <c r="AY1146" t="s">
        <v>55</v>
      </c>
    </row>
    <row r="1147" spans="1:51">
      <c r="A1147">
        <v>101029</v>
      </c>
      <c r="B1147" t="s">
        <v>185</v>
      </c>
      <c r="C1147" t="str">
        <f>"01189210626"</f>
        <v>01189210626</v>
      </c>
      <c r="D1147" t="str">
        <f>"01189210626"</f>
        <v>01189210626</v>
      </c>
      <c r="E1147" t="s">
        <v>52</v>
      </c>
      <c r="F1147">
        <v>2015</v>
      </c>
      <c r="G1147" t="str">
        <f>"                  1E"</f>
        <v xml:space="preserve">                  1E</v>
      </c>
      <c r="H1147" s="3">
        <v>42317</v>
      </c>
      <c r="I1147" s="3">
        <v>42318</v>
      </c>
      <c r="J1147" s="3">
        <v>42317</v>
      </c>
      <c r="K1147" s="3">
        <v>42377</v>
      </c>
      <c r="L1147" s="5">
        <v>5344</v>
      </c>
      <c r="M1147">
        <v>87</v>
      </c>
      <c r="N1147" s="5">
        <v>464928</v>
      </c>
      <c r="O1147" s="4">
        <v>5344</v>
      </c>
      <c r="P1147">
        <v>87</v>
      </c>
      <c r="Q1147" s="4">
        <v>464928</v>
      </c>
      <c r="R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0</v>
      </c>
      <c r="AB1147" s="3">
        <v>42562</v>
      </c>
      <c r="AC1147" t="s">
        <v>53</v>
      </c>
      <c r="AD1147" t="s">
        <v>53</v>
      </c>
      <c r="AK1147">
        <v>0</v>
      </c>
      <c r="AU1147" s="3">
        <v>42464</v>
      </c>
      <c r="AV1147" s="3">
        <v>42464</v>
      </c>
      <c r="AW1147" t="s">
        <v>54</v>
      </c>
      <c r="AX1147" t="str">
        <f>"ALTPRO"</f>
        <v>ALTPRO</v>
      </c>
      <c r="AY1147" t="s">
        <v>93</v>
      </c>
    </row>
    <row r="1148" spans="1:51" hidden="1">
      <c r="A1148">
        <v>101035</v>
      </c>
      <c r="B1148" t="s">
        <v>186</v>
      </c>
      <c r="C1148" t="str">
        <f>"01737830230"</f>
        <v>01737830230</v>
      </c>
      <c r="D1148" t="str">
        <f>"00133360081"</f>
        <v>00133360081</v>
      </c>
      <c r="E1148" t="s">
        <v>52</v>
      </c>
      <c r="F1148">
        <v>2015</v>
      </c>
      <c r="G1148" t="str">
        <f>"           S1/004924"</f>
        <v xml:space="preserve">           S1/004924</v>
      </c>
      <c r="H1148" s="3">
        <v>42131</v>
      </c>
      <c r="I1148" s="3">
        <v>42135</v>
      </c>
      <c r="J1148" s="3">
        <v>42133</v>
      </c>
      <c r="K1148" s="3">
        <v>42193</v>
      </c>
      <c r="L1148"/>
      <c r="N1148"/>
      <c r="O1148">
        <v>780</v>
      </c>
      <c r="P1148">
        <v>222</v>
      </c>
      <c r="Q1148" s="4">
        <v>173160</v>
      </c>
      <c r="R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 s="3">
        <v>42562</v>
      </c>
      <c r="AC1148" t="s">
        <v>53</v>
      </c>
      <c r="AD1148" t="s">
        <v>53</v>
      </c>
      <c r="AK1148">
        <v>0</v>
      </c>
      <c r="AU1148" s="3">
        <v>42415</v>
      </c>
      <c r="AV1148" s="3">
        <v>42415</v>
      </c>
      <c r="AW1148" t="s">
        <v>54</v>
      </c>
      <c r="AX1148" t="str">
        <f>"FOR"</f>
        <v>FOR</v>
      </c>
      <c r="AY1148" t="s">
        <v>55</v>
      </c>
    </row>
    <row r="1149" spans="1:51" hidden="1">
      <c r="A1149">
        <v>101035</v>
      </c>
      <c r="B1149" t="s">
        <v>186</v>
      </c>
      <c r="C1149" t="str">
        <f>"01737830230"</f>
        <v>01737830230</v>
      </c>
      <c r="D1149" t="str">
        <f>"00133360081"</f>
        <v>00133360081</v>
      </c>
      <c r="E1149" t="s">
        <v>52</v>
      </c>
      <c r="F1149">
        <v>2015</v>
      </c>
      <c r="G1149" t="str">
        <f>"           S1/005968"</f>
        <v xml:space="preserve">           S1/005968</v>
      </c>
      <c r="H1149" s="3">
        <v>42159</v>
      </c>
      <c r="I1149" s="3">
        <v>42163</v>
      </c>
      <c r="J1149" s="3">
        <v>42159</v>
      </c>
      <c r="K1149" s="3">
        <v>42219</v>
      </c>
      <c r="L1149"/>
      <c r="N1149"/>
      <c r="O1149">
        <v>780</v>
      </c>
      <c r="P1149">
        <v>196</v>
      </c>
      <c r="Q1149" s="4">
        <v>152880</v>
      </c>
      <c r="R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 s="3">
        <v>42562</v>
      </c>
      <c r="AC1149" t="s">
        <v>53</v>
      </c>
      <c r="AD1149" t="s">
        <v>53</v>
      </c>
      <c r="AK1149">
        <v>0</v>
      </c>
      <c r="AU1149" s="3">
        <v>42415</v>
      </c>
      <c r="AV1149" s="3">
        <v>42415</v>
      </c>
      <c r="AW1149" t="s">
        <v>54</v>
      </c>
      <c r="AX1149" t="str">
        <f>"FOR"</f>
        <v>FOR</v>
      </c>
      <c r="AY1149" t="s">
        <v>55</v>
      </c>
    </row>
    <row r="1150" spans="1:51" hidden="1">
      <c r="A1150">
        <v>101035</v>
      </c>
      <c r="B1150" t="s">
        <v>186</v>
      </c>
      <c r="C1150" t="str">
        <f>"01737830230"</f>
        <v>01737830230</v>
      </c>
      <c r="D1150" t="str">
        <f>"00133360081"</f>
        <v>00133360081</v>
      </c>
      <c r="E1150" t="s">
        <v>52</v>
      </c>
      <c r="F1150">
        <v>2015</v>
      </c>
      <c r="G1150" t="str">
        <f>"           S1/007384"</f>
        <v xml:space="preserve">           S1/007384</v>
      </c>
      <c r="H1150" s="3">
        <v>42194</v>
      </c>
      <c r="I1150" s="3">
        <v>42195</v>
      </c>
      <c r="J1150" s="3">
        <v>42195</v>
      </c>
      <c r="K1150" s="3">
        <v>42255</v>
      </c>
      <c r="L1150"/>
      <c r="N1150"/>
      <c r="O1150">
        <v>780</v>
      </c>
      <c r="P1150">
        <v>160</v>
      </c>
      <c r="Q1150" s="4">
        <v>124800</v>
      </c>
      <c r="R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0</v>
      </c>
      <c r="AB1150" s="3">
        <v>42562</v>
      </c>
      <c r="AC1150" t="s">
        <v>53</v>
      </c>
      <c r="AD1150" t="s">
        <v>53</v>
      </c>
      <c r="AK1150">
        <v>0</v>
      </c>
      <c r="AU1150" s="3">
        <v>42415</v>
      </c>
      <c r="AV1150" s="3">
        <v>42415</v>
      </c>
      <c r="AW1150" t="s">
        <v>54</v>
      </c>
      <c r="AX1150" t="str">
        <f>"FOR"</f>
        <v>FOR</v>
      </c>
      <c r="AY1150" t="s">
        <v>55</v>
      </c>
    </row>
    <row r="1151" spans="1:51" hidden="1">
      <c r="A1151">
        <v>101035</v>
      </c>
      <c r="B1151" t="s">
        <v>186</v>
      </c>
      <c r="C1151" t="str">
        <f>"01737830230"</f>
        <v>01737830230</v>
      </c>
      <c r="D1151" t="str">
        <f>"00133360081"</f>
        <v>00133360081</v>
      </c>
      <c r="E1151" t="s">
        <v>52</v>
      </c>
      <c r="F1151">
        <v>2015</v>
      </c>
      <c r="G1151" t="str">
        <f>"           S1/010188"</f>
        <v xml:space="preserve">           S1/010188</v>
      </c>
      <c r="H1151" s="3">
        <v>42283</v>
      </c>
      <c r="I1151" s="3">
        <v>42284</v>
      </c>
      <c r="J1151" s="3">
        <v>42283</v>
      </c>
      <c r="K1151" s="3">
        <v>42343</v>
      </c>
      <c r="L1151"/>
      <c r="N1151"/>
      <c r="O1151">
        <v>936</v>
      </c>
      <c r="P1151">
        <v>72</v>
      </c>
      <c r="Q1151" s="4">
        <v>67392</v>
      </c>
      <c r="R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 s="3">
        <v>42562</v>
      </c>
      <c r="AC1151" t="s">
        <v>53</v>
      </c>
      <c r="AD1151" t="s">
        <v>53</v>
      </c>
      <c r="AK1151">
        <v>0</v>
      </c>
      <c r="AU1151" s="3">
        <v>42415</v>
      </c>
      <c r="AV1151" s="3">
        <v>42415</v>
      </c>
      <c r="AW1151" t="s">
        <v>54</v>
      </c>
      <c r="AX1151" t="str">
        <f>"FOR"</f>
        <v>FOR</v>
      </c>
      <c r="AY1151" t="s">
        <v>55</v>
      </c>
    </row>
    <row r="1152" spans="1:51" hidden="1">
      <c r="A1152">
        <v>101035</v>
      </c>
      <c r="B1152" t="s">
        <v>186</v>
      </c>
      <c r="C1152" t="str">
        <f>"01737830230"</f>
        <v>01737830230</v>
      </c>
      <c r="D1152" t="str">
        <f>"00133360081"</f>
        <v>00133360081</v>
      </c>
      <c r="E1152" t="s">
        <v>52</v>
      </c>
      <c r="F1152">
        <v>2015</v>
      </c>
      <c r="G1152" t="str">
        <f>"           S1/011642"</f>
        <v xml:space="preserve">           S1/011642</v>
      </c>
      <c r="H1152" s="3">
        <v>42326</v>
      </c>
      <c r="I1152" s="3">
        <v>42327</v>
      </c>
      <c r="J1152" s="3">
        <v>42326</v>
      </c>
      <c r="K1152" s="3">
        <v>42386</v>
      </c>
      <c r="L1152"/>
      <c r="N1152"/>
      <c r="O1152">
        <v>670.8</v>
      </c>
      <c r="P1152">
        <v>29</v>
      </c>
      <c r="Q1152" s="4">
        <v>19453.2</v>
      </c>
      <c r="R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 s="3">
        <v>42562</v>
      </c>
      <c r="AC1152" t="s">
        <v>53</v>
      </c>
      <c r="AD1152" t="s">
        <v>53</v>
      </c>
      <c r="AK1152">
        <v>0</v>
      </c>
      <c r="AU1152" s="3">
        <v>42415</v>
      </c>
      <c r="AV1152" s="3">
        <v>42415</v>
      </c>
      <c r="AW1152" t="s">
        <v>54</v>
      </c>
      <c r="AX1152" t="str">
        <f>"FOR"</f>
        <v>FOR</v>
      </c>
      <c r="AY1152" t="s">
        <v>55</v>
      </c>
    </row>
    <row r="1153" spans="1:51" hidden="1">
      <c r="A1153">
        <v>101046</v>
      </c>
      <c r="B1153" t="s">
        <v>187</v>
      </c>
      <c r="C1153" t="str">
        <f t="shared" ref="C1153:D1157" si="148">"01546900703"</f>
        <v>01546900703</v>
      </c>
      <c r="D1153" t="str">
        <f t="shared" si="148"/>
        <v>01546900703</v>
      </c>
      <c r="E1153" t="s">
        <v>52</v>
      </c>
      <c r="F1153">
        <v>2016</v>
      </c>
      <c r="G1153" t="str">
        <f>"                0120"</f>
        <v xml:space="preserve">                0120</v>
      </c>
      <c r="H1153" s="3">
        <v>42389</v>
      </c>
      <c r="I1153" s="3">
        <v>42390</v>
      </c>
      <c r="J1153" s="3">
        <v>42390</v>
      </c>
      <c r="K1153" s="3">
        <v>42450</v>
      </c>
      <c r="L1153"/>
      <c r="N1153"/>
      <c r="O1153">
        <v>93.66</v>
      </c>
      <c r="P1153">
        <v>-60</v>
      </c>
      <c r="Q1153" s="4">
        <v>-5619.6</v>
      </c>
      <c r="R1153">
        <v>0</v>
      </c>
      <c r="V1153">
        <v>0</v>
      </c>
      <c r="W1153">
        <v>0</v>
      </c>
      <c r="X1153">
        <v>0</v>
      </c>
      <c r="Y1153">
        <v>93.66</v>
      </c>
      <c r="Z1153">
        <v>93.66</v>
      </c>
      <c r="AA1153">
        <v>93.66</v>
      </c>
      <c r="AB1153" s="3">
        <v>42562</v>
      </c>
      <c r="AC1153" t="s">
        <v>53</v>
      </c>
      <c r="AD1153" t="s">
        <v>53</v>
      </c>
      <c r="AK1153">
        <v>0</v>
      </c>
      <c r="AU1153" s="3">
        <v>42390</v>
      </c>
      <c r="AV1153" s="3">
        <v>42390</v>
      </c>
      <c r="AW1153" t="s">
        <v>54</v>
      </c>
      <c r="AX1153" t="str">
        <f>"ALT"</f>
        <v>ALT</v>
      </c>
      <c r="AY1153" t="s">
        <v>72</v>
      </c>
    </row>
    <row r="1154" spans="1:51" hidden="1">
      <c r="A1154">
        <v>101046</v>
      </c>
      <c r="B1154" t="s">
        <v>187</v>
      </c>
      <c r="C1154" t="str">
        <f t="shared" si="148"/>
        <v>01546900703</v>
      </c>
      <c r="D1154" t="str">
        <f t="shared" si="148"/>
        <v>01546900703</v>
      </c>
      <c r="E1154" t="s">
        <v>52</v>
      </c>
      <c r="F1154">
        <v>2016</v>
      </c>
      <c r="G1154" t="str">
        <f>"                0222"</f>
        <v xml:space="preserve">                0222</v>
      </c>
      <c r="H1154" s="3">
        <v>42422</v>
      </c>
      <c r="I1154" s="3">
        <v>42422</v>
      </c>
      <c r="J1154" s="3">
        <v>42422</v>
      </c>
      <c r="K1154" s="3">
        <v>42482</v>
      </c>
      <c r="L1154"/>
      <c r="N1154"/>
      <c r="O1154">
        <v>93.66</v>
      </c>
      <c r="P1154">
        <v>-58</v>
      </c>
      <c r="Q1154" s="4">
        <v>-5432.28</v>
      </c>
      <c r="R1154">
        <v>0</v>
      </c>
      <c r="V1154">
        <v>0</v>
      </c>
      <c r="W1154">
        <v>0</v>
      </c>
      <c r="X1154">
        <v>0</v>
      </c>
      <c r="Y1154">
        <v>93.66</v>
      </c>
      <c r="Z1154">
        <v>93.66</v>
      </c>
      <c r="AA1154">
        <v>93.66</v>
      </c>
      <c r="AB1154" s="3">
        <v>42562</v>
      </c>
      <c r="AC1154" t="s">
        <v>53</v>
      </c>
      <c r="AD1154" t="s">
        <v>53</v>
      </c>
      <c r="AK1154">
        <v>0</v>
      </c>
      <c r="AU1154" s="3">
        <v>42424</v>
      </c>
      <c r="AV1154" s="3">
        <v>42424</v>
      </c>
      <c r="AW1154" t="s">
        <v>54</v>
      </c>
      <c r="AX1154" t="str">
        <f>"ALT"</f>
        <v>ALT</v>
      </c>
      <c r="AY1154" t="s">
        <v>72</v>
      </c>
    </row>
    <row r="1155" spans="1:51" hidden="1">
      <c r="A1155">
        <v>101046</v>
      </c>
      <c r="B1155" t="s">
        <v>187</v>
      </c>
      <c r="C1155" t="str">
        <f t="shared" si="148"/>
        <v>01546900703</v>
      </c>
      <c r="D1155" t="str">
        <f t="shared" si="148"/>
        <v>01546900703</v>
      </c>
      <c r="E1155" t="s">
        <v>52</v>
      </c>
      <c r="F1155">
        <v>2016</v>
      </c>
      <c r="G1155" t="str">
        <f>"                0321"</f>
        <v xml:space="preserve">                0321</v>
      </c>
      <c r="H1155" s="3">
        <v>42450</v>
      </c>
      <c r="I1155" s="3">
        <v>42450</v>
      </c>
      <c r="J1155" s="3">
        <v>42450</v>
      </c>
      <c r="K1155" s="3">
        <v>42510</v>
      </c>
      <c r="L1155"/>
      <c r="N1155"/>
      <c r="O1155">
        <v>182.74</v>
      </c>
      <c r="P1155">
        <v>-57</v>
      </c>
      <c r="Q1155" s="4">
        <v>-10416.18</v>
      </c>
      <c r="R1155">
        <v>0</v>
      </c>
      <c r="V1155">
        <v>0</v>
      </c>
      <c r="W1155">
        <v>0</v>
      </c>
      <c r="X1155">
        <v>0</v>
      </c>
      <c r="Y1155">
        <v>182.74</v>
      </c>
      <c r="Z1155">
        <v>182.74</v>
      </c>
      <c r="AA1155">
        <v>182.74</v>
      </c>
      <c r="AB1155" s="3">
        <v>42562</v>
      </c>
      <c r="AC1155" t="s">
        <v>53</v>
      </c>
      <c r="AD1155" t="s">
        <v>53</v>
      </c>
      <c r="AK1155">
        <v>0</v>
      </c>
      <c r="AU1155" s="3">
        <v>42453</v>
      </c>
      <c r="AV1155" s="3">
        <v>42453</v>
      </c>
      <c r="AW1155" t="s">
        <v>54</v>
      </c>
      <c r="AX1155" t="str">
        <f>"ALT"</f>
        <v>ALT</v>
      </c>
      <c r="AY1155" t="s">
        <v>72</v>
      </c>
    </row>
    <row r="1156" spans="1:51">
      <c r="A1156">
        <v>101046</v>
      </c>
      <c r="B1156" t="s">
        <v>187</v>
      </c>
      <c r="C1156" t="str">
        <f t="shared" si="148"/>
        <v>01546900703</v>
      </c>
      <c r="D1156" t="str">
        <f t="shared" si="148"/>
        <v>01546900703</v>
      </c>
      <c r="E1156" t="s">
        <v>52</v>
      </c>
      <c r="F1156">
        <v>2016</v>
      </c>
      <c r="G1156" t="str">
        <f>"                0421"</f>
        <v xml:space="preserve">                0421</v>
      </c>
      <c r="H1156" s="3">
        <v>42481</v>
      </c>
      <c r="I1156" s="3">
        <v>42481</v>
      </c>
      <c r="J1156" s="3">
        <v>42481</v>
      </c>
      <c r="K1156" s="3">
        <v>42541</v>
      </c>
      <c r="L1156" s="1">
        <v>138.19999999999999</v>
      </c>
      <c r="M1156">
        <v>-60</v>
      </c>
      <c r="N1156" s="5">
        <v>-8292</v>
      </c>
      <c r="O1156">
        <v>138.19999999999999</v>
      </c>
      <c r="P1156">
        <v>-60</v>
      </c>
      <c r="Q1156" s="4">
        <v>-8292</v>
      </c>
      <c r="R1156">
        <v>0</v>
      </c>
      <c r="V1156">
        <v>138.19999999999999</v>
      </c>
      <c r="W1156">
        <v>138.19999999999999</v>
      </c>
      <c r="X1156">
        <v>138.19999999999999</v>
      </c>
      <c r="Y1156">
        <v>138.19999999999999</v>
      </c>
      <c r="Z1156">
        <v>138.19999999999999</v>
      </c>
      <c r="AA1156">
        <v>138.19999999999999</v>
      </c>
      <c r="AB1156" s="3">
        <v>42562</v>
      </c>
      <c r="AC1156" t="s">
        <v>53</v>
      </c>
      <c r="AD1156" t="s">
        <v>53</v>
      </c>
      <c r="AK1156">
        <v>0</v>
      </c>
      <c r="AU1156" s="3">
        <v>42481</v>
      </c>
      <c r="AV1156" s="3">
        <v>42481</v>
      </c>
      <c r="AW1156" t="s">
        <v>54</v>
      </c>
      <c r="AX1156" t="str">
        <f>"ALT"</f>
        <v>ALT</v>
      </c>
      <c r="AY1156" t="s">
        <v>72</v>
      </c>
    </row>
    <row r="1157" spans="1:51">
      <c r="A1157">
        <v>101046</v>
      </c>
      <c r="B1157" t="s">
        <v>187</v>
      </c>
      <c r="C1157" t="str">
        <f t="shared" si="148"/>
        <v>01546900703</v>
      </c>
      <c r="D1157" t="str">
        <f t="shared" si="148"/>
        <v>01546900703</v>
      </c>
      <c r="E1157" t="s">
        <v>52</v>
      </c>
      <c r="F1157">
        <v>2016</v>
      </c>
      <c r="G1157" t="str">
        <f>"                0518"</f>
        <v xml:space="preserve">                0518</v>
      </c>
      <c r="H1157" s="3">
        <v>42508</v>
      </c>
      <c r="I1157" s="3">
        <v>42510</v>
      </c>
      <c r="J1157" s="3">
        <v>42510</v>
      </c>
      <c r="K1157" s="3">
        <v>42570</v>
      </c>
      <c r="L1157" s="1">
        <v>138.19999999999999</v>
      </c>
      <c r="M1157">
        <v>-57</v>
      </c>
      <c r="N1157" s="5">
        <v>-7877.4</v>
      </c>
      <c r="O1157">
        <v>138.19999999999999</v>
      </c>
      <c r="P1157">
        <v>-57</v>
      </c>
      <c r="Q1157" s="4">
        <v>-7877.4</v>
      </c>
      <c r="R1157">
        <v>0</v>
      </c>
      <c r="V1157">
        <v>138.19999999999999</v>
      </c>
      <c r="W1157">
        <v>138.19999999999999</v>
      </c>
      <c r="X1157">
        <v>138.19999999999999</v>
      </c>
      <c r="Y1157">
        <v>138.19999999999999</v>
      </c>
      <c r="Z1157">
        <v>138.19999999999999</v>
      </c>
      <c r="AA1157">
        <v>138.19999999999999</v>
      </c>
      <c r="AB1157" s="3">
        <v>42562</v>
      </c>
      <c r="AC1157" t="s">
        <v>53</v>
      </c>
      <c r="AD1157" t="s">
        <v>53</v>
      </c>
      <c r="AK1157">
        <v>0</v>
      </c>
      <c r="AU1157" s="3">
        <v>42513</v>
      </c>
      <c r="AV1157" s="3">
        <v>42513</v>
      </c>
      <c r="AW1157" t="s">
        <v>54</v>
      </c>
      <c r="AX1157" t="str">
        <f>"ALT"</f>
        <v>ALT</v>
      </c>
      <c r="AY1157" t="s">
        <v>72</v>
      </c>
    </row>
    <row r="1158" spans="1:51" hidden="1">
      <c r="A1158">
        <v>101059</v>
      </c>
      <c r="B1158" t="s">
        <v>188</v>
      </c>
      <c r="C1158" t="str">
        <f>"09012850153"</f>
        <v>09012850153</v>
      </c>
      <c r="D1158" t="str">
        <f>"09012850153"</f>
        <v>09012850153</v>
      </c>
      <c r="E1158" t="s">
        <v>52</v>
      </c>
      <c r="F1158">
        <v>2015</v>
      </c>
      <c r="G1158" t="str">
        <f>"          1616810061"</f>
        <v xml:space="preserve">          1616810061</v>
      </c>
      <c r="H1158" s="3">
        <v>42060</v>
      </c>
      <c r="I1158" s="3">
        <v>42069</v>
      </c>
      <c r="J1158" s="3">
        <v>42069</v>
      </c>
      <c r="K1158" s="3">
        <v>42129</v>
      </c>
      <c r="L1158"/>
      <c r="N1158"/>
      <c r="O1158" s="4">
        <v>2400</v>
      </c>
      <c r="P1158">
        <v>279</v>
      </c>
      <c r="Q1158" s="4">
        <v>669600</v>
      </c>
      <c r="R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0</v>
      </c>
      <c r="AB1158" s="3">
        <v>42562</v>
      </c>
      <c r="AC1158" t="s">
        <v>53</v>
      </c>
      <c r="AD1158" t="s">
        <v>53</v>
      </c>
      <c r="AK1158">
        <v>0</v>
      </c>
      <c r="AU1158" s="3">
        <v>42408</v>
      </c>
      <c r="AV1158" s="3">
        <v>42408</v>
      </c>
      <c r="AW1158" t="s">
        <v>54</v>
      </c>
      <c r="AX1158" t="str">
        <f t="shared" ref="AX1158:AX1189" si="149">"FOR"</f>
        <v>FOR</v>
      </c>
      <c r="AY1158" t="s">
        <v>55</v>
      </c>
    </row>
    <row r="1159" spans="1:51">
      <c r="A1159">
        <v>101059</v>
      </c>
      <c r="B1159" t="s">
        <v>188</v>
      </c>
      <c r="C1159" t="str">
        <f>"09012850153"</f>
        <v>09012850153</v>
      </c>
      <c r="D1159" t="str">
        <f>"09012850153"</f>
        <v>09012850153</v>
      </c>
      <c r="E1159" t="s">
        <v>52</v>
      </c>
      <c r="F1159">
        <v>2015</v>
      </c>
      <c r="G1159" t="str">
        <f>"          1616832858"</f>
        <v xml:space="preserve">          1616832858</v>
      </c>
      <c r="H1159" s="3">
        <v>42180</v>
      </c>
      <c r="I1159" s="3">
        <v>42209</v>
      </c>
      <c r="J1159" s="3">
        <v>42207</v>
      </c>
      <c r="K1159" s="3">
        <v>42267</v>
      </c>
      <c r="L1159" s="5">
        <v>16125</v>
      </c>
      <c r="M1159">
        <v>225</v>
      </c>
      <c r="N1159" s="5">
        <v>3628125</v>
      </c>
      <c r="O1159" s="4">
        <v>16125</v>
      </c>
      <c r="P1159">
        <v>225</v>
      </c>
      <c r="Q1159" s="4">
        <v>3628125</v>
      </c>
      <c r="R1159">
        <v>0</v>
      </c>
      <c r="V1159">
        <v>0</v>
      </c>
      <c r="W1159">
        <v>0</v>
      </c>
      <c r="X1159">
        <v>0</v>
      </c>
      <c r="Y1159">
        <v>0</v>
      </c>
      <c r="Z1159">
        <v>0</v>
      </c>
      <c r="AA1159">
        <v>0</v>
      </c>
      <c r="AB1159" s="3">
        <v>42562</v>
      </c>
      <c r="AC1159" t="s">
        <v>53</v>
      </c>
      <c r="AD1159" t="s">
        <v>53</v>
      </c>
      <c r="AK1159">
        <v>0</v>
      </c>
      <c r="AU1159" s="3">
        <v>42492</v>
      </c>
      <c r="AV1159" s="3">
        <v>42492</v>
      </c>
      <c r="AW1159" t="s">
        <v>54</v>
      </c>
      <c r="AX1159" t="str">
        <f t="shared" si="149"/>
        <v>FOR</v>
      </c>
      <c r="AY1159" t="s">
        <v>55</v>
      </c>
    </row>
    <row r="1160" spans="1:51" hidden="1">
      <c r="A1160">
        <v>101074</v>
      </c>
      <c r="B1160" t="s">
        <v>189</v>
      </c>
      <c r="C1160" t="str">
        <f t="shared" ref="C1160:D1163" si="150">"01313240424"</f>
        <v>01313240424</v>
      </c>
      <c r="D1160" t="str">
        <f t="shared" si="150"/>
        <v>01313240424</v>
      </c>
      <c r="E1160" t="s">
        <v>52</v>
      </c>
      <c r="F1160">
        <v>2015</v>
      </c>
      <c r="G1160" t="str">
        <f>"                1914"</f>
        <v xml:space="preserve">                1914</v>
      </c>
      <c r="H1160" s="3">
        <v>42093</v>
      </c>
      <c r="I1160" s="3">
        <v>42115</v>
      </c>
      <c r="J1160" s="3">
        <v>42115</v>
      </c>
      <c r="K1160" s="3">
        <v>42175</v>
      </c>
      <c r="L1160"/>
      <c r="N1160"/>
      <c r="O1160">
        <v>320</v>
      </c>
      <c r="P1160">
        <v>240</v>
      </c>
      <c r="Q1160" s="4">
        <v>76800</v>
      </c>
      <c r="R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 s="3">
        <v>42562</v>
      </c>
      <c r="AC1160" t="s">
        <v>53</v>
      </c>
      <c r="AD1160" t="s">
        <v>53</v>
      </c>
      <c r="AK1160">
        <v>0</v>
      </c>
      <c r="AU1160" s="3">
        <v>42415</v>
      </c>
      <c r="AV1160" s="3">
        <v>42415</v>
      </c>
      <c r="AW1160" t="s">
        <v>54</v>
      </c>
      <c r="AX1160" t="str">
        <f t="shared" si="149"/>
        <v>FOR</v>
      </c>
      <c r="AY1160" t="s">
        <v>55</v>
      </c>
    </row>
    <row r="1161" spans="1:51" hidden="1">
      <c r="A1161">
        <v>101074</v>
      </c>
      <c r="B1161" t="s">
        <v>189</v>
      </c>
      <c r="C1161" t="str">
        <f t="shared" si="150"/>
        <v>01313240424</v>
      </c>
      <c r="D1161" t="str">
        <f t="shared" si="150"/>
        <v>01313240424</v>
      </c>
      <c r="E1161" t="s">
        <v>52</v>
      </c>
      <c r="F1161">
        <v>2015</v>
      </c>
      <c r="G1161" t="str">
        <f>"              939/PA"</f>
        <v xml:space="preserve">              939/PA</v>
      </c>
      <c r="H1161" s="3">
        <v>42135</v>
      </c>
      <c r="I1161" s="3">
        <v>42163</v>
      </c>
      <c r="J1161" s="3">
        <v>42159</v>
      </c>
      <c r="K1161" s="3">
        <v>42219</v>
      </c>
      <c r="L1161"/>
      <c r="N1161"/>
      <c r="O1161">
        <v>200</v>
      </c>
      <c r="P1161">
        <v>196</v>
      </c>
      <c r="Q1161" s="4">
        <v>39200</v>
      </c>
      <c r="R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 s="3">
        <v>42562</v>
      </c>
      <c r="AC1161" t="s">
        <v>53</v>
      </c>
      <c r="AD1161" t="s">
        <v>53</v>
      </c>
      <c r="AK1161">
        <v>0</v>
      </c>
      <c r="AU1161" s="3">
        <v>42415</v>
      </c>
      <c r="AV1161" s="3">
        <v>42415</v>
      </c>
      <c r="AW1161" t="s">
        <v>54</v>
      </c>
      <c r="AX1161" t="str">
        <f t="shared" si="149"/>
        <v>FOR</v>
      </c>
      <c r="AY1161" t="s">
        <v>55</v>
      </c>
    </row>
    <row r="1162" spans="1:51">
      <c r="A1162">
        <v>101074</v>
      </c>
      <c r="B1162" t="s">
        <v>189</v>
      </c>
      <c r="C1162" t="str">
        <f t="shared" si="150"/>
        <v>01313240424</v>
      </c>
      <c r="D1162" t="str">
        <f t="shared" si="150"/>
        <v>01313240424</v>
      </c>
      <c r="E1162" t="s">
        <v>52</v>
      </c>
      <c r="F1162">
        <v>2015</v>
      </c>
      <c r="G1162" t="str">
        <f>"             1988/PA"</f>
        <v xml:space="preserve">             1988/PA</v>
      </c>
      <c r="H1162" s="3">
        <v>42180</v>
      </c>
      <c r="I1162" s="3">
        <v>42202</v>
      </c>
      <c r="J1162" s="3">
        <v>42199</v>
      </c>
      <c r="K1162" s="3">
        <v>42259</v>
      </c>
      <c r="L1162" s="1">
        <v>60</v>
      </c>
      <c r="M1162">
        <v>268</v>
      </c>
      <c r="N1162" s="5">
        <v>16080</v>
      </c>
      <c r="O1162">
        <v>60</v>
      </c>
      <c r="P1162">
        <v>268</v>
      </c>
      <c r="Q1162" s="4">
        <v>16080</v>
      </c>
      <c r="R1162">
        <v>13.2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0</v>
      </c>
      <c r="AB1162" s="3">
        <v>42562</v>
      </c>
      <c r="AC1162" t="s">
        <v>53</v>
      </c>
      <c r="AD1162" t="s">
        <v>53</v>
      </c>
      <c r="AK1162">
        <v>13.2</v>
      </c>
      <c r="AU1162" s="3">
        <v>42527</v>
      </c>
      <c r="AV1162" s="3">
        <v>42527</v>
      </c>
      <c r="AW1162" t="s">
        <v>54</v>
      </c>
      <c r="AX1162" t="str">
        <f t="shared" si="149"/>
        <v>FOR</v>
      </c>
      <c r="AY1162" t="s">
        <v>55</v>
      </c>
    </row>
    <row r="1163" spans="1:51">
      <c r="A1163">
        <v>101074</v>
      </c>
      <c r="B1163" t="s">
        <v>189</v>
      </c>
      <c r="C1163" t="str">
        <f t="shared" si="150"/>
        <v>01313240424</v>
      </c>
      <c r="D1163" t="str">
        <f t="shared" si="150"/>
        <v>01313240424</v>
      </c>
      <c r="E1163" t="s">
        <v>52</v>
      </c>
      <c r="F1163">
        <v>2015</v>
      </c>
      <c r="G1163" t="str">
        <f>"             2268/PA"</f>
        <v xml:space="preserve">             2268/PA</v>
      </c>
      <c r="H1163" s="3">
        <v>42185</v>
      </c>
      <c r="I1163" s="3">
        <v>42202</v>
      </c>
      <c r="J1163" s="3">
        <v>42199</v>
      </c>
      <c r="K1163" s="3">
        <v>42259</v>
      </c>
      <c r="L1163" s="1">
        <v>340</v>
      </c>
      <c r="M1163">
        <v>268</v>
      </c>
      <c r="N1163" s="5">
        <v>91120</v>
      </c>
      <c r="O1163">
        <v>340</v>
      </c>
      <c r="P1163">
        <v>268</v>
      </c>
      <c r="Q1163" s="4">
        <v>91120</v>
      </c>
      <c r="R1163">
        <v>74.8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0</v>
      </c>
      <c r="AB1163" s="3">
        <v>42562</v>
      </c>
      <c r="AC1163" t="s">
        <v>53</v>
      </c>
      <c r="AD1163" t="s">
        <v>53</v>
      </c>
      <c r="AK1163">
        <v>74.8</v>
      </c>
      <c r="AU1163" s="3">
        <v>42527</v>
      </c>
      <c r="AV1163" s="3">
        <v>42527</v>
      </c>
      <c r="AW1163" t="s">
        <v>54</v>
      </c>
      <c r="AX1163" t="str">
        <f t="shared" si="149"/>
        <v>FOR</v>
      </c>
      <c r="AY1163" t="s">
        <v>55</v>
      </c>
    </row>
    <row r="1164" spans="1:51" hidden="1">
      <c r="A1164">
        <v>101077</v>
      </c>
      <c r="B1164" t="s">
        <v>190</v>
      </c>
      <c r="C1164" t="str">
        <f t="shared" ref="C1164:D1167" si="151">"01396940627"</f>
        <v>01396940627</v>
      </c>
      <c r="D1164" t="str">
        <f t="shared" si="151"/>
        <v>01396940627</v>
      </c>
      <c r="E1164" t="s">
        <v>52</v>
      </c>
      <c r="F1164">
        <v>2015</v>
      </c>
      <c r="G1164" t="str">
        <f>"                   4"</f>
        <v xml:space="preserve">                   4</v>
      </c>
      <c r="H1164" s="3">
        <v>42030</v>
      </c>
      <c r="I1164" s="3">
        <v>42369</v>
      </c>
      <c r="J1164" s="3">
        <v>42369</v>
      </c>
      <c r="K1164" s="3">
        <v>42429</v>
      </c>
      <c r="L1164"/>
      <c r="N1164"/>
      <c r="O1164" s="4">
        <v>8000</v>
      </c>
      <c r="P1164">
        <v>-19</v>
      </c>
      <c r="Q1164" s="4">
        <v>-152000</v>
      </c>
      <c r="R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 s="3">
        <v>42562</v>
      </c>
      <c r="AC1164" t="s">
        <v>53</v>
      </c>
      <c r="AD1164" t="s">
        <v>53</v>
      </c>
      <c r="AK1164">
        <v>0</v>
      </c>
      <c r="AU1164" s="3">
        <v>42410</v>
      </c>
      <c r="AV1164" s="3">
        <v>42410</v>
      </c>
      <c r="AW1164" t="s">
        <v>54</v>
      </c>
      <c r="AX1164" t="str">
        <f t="shared" si="149"/>
        <v>FOR</v>
      </c>
      <c r="AY1164" t="s">
        <v>55</v>
      </c>
    </row>
    <row r="1165" spans="1:51" hidden="1">
      <c r="A1165">
        <v>101077</v>
      </c>
      <c r="B1165" t="s">
        <v>190</v>
      </c>
      <c r="C1165" t="str">
        <f t="shared" si="151"/>
        <v>01396940627</v>
      </c>
      <c r="D1165" t="str">
        <f t="shared" si="151"/>
        <v>01396940627</v>
      </c>
      <c r="E1165" t="s">
        <v>52</v>
      </c>
      <c r="F1165">
        <v>2015</v>
      </c>
      <c r="G1165" t="str">
        <f>"                   8"</f>
        <v xml:space="preserve">                   8</v>
      </c>
      <c r="H1165" s="3">
        <v>42060</v>
      </c>
      <c r="I1165" s="3">
        <v>42369</v>
      </c>
      <c r="J1165" s="3">
        <v>42369</v>
      </c>
      <c r="K1165" s="3">
        <v>42429</v>
      </c>
      <c r="L1165"/>
      <c r="N1165"/>
      <c r="O1165" s="4">
        <v>8000</v>
      </c>
      <c r="P1165">
        <v>-19</v>
      </c>
      <c r="Q1165" s="4">
        <v>-152000</v>
      </c>
      <c r="R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 s="3">
        <v>42562</v>
      </c>
      <c r="AC1165" t="s">
        <v>53</v>
      </c>
      <c r="AD1165" t="s">
        <v>53</v>
      </c>
      <c r="AK1165">
        <v>0</v>
      </c>
      <c r="AU1165" s="3">
        <v>42410</v>
      </c>
      <c r="AV1165" s="3">
        <v>42410</v>
      </c>
      <c r="AW1165" t="s">
        <v>54</v>
      </c>
      <c r="AX1165" t="str">
        <f t="shared" si="149"/>
        <v>FOR</v>
      </c>
      <c r="AY1165" t="s">
        <v>55</v>
      </c>
    </row>
    <row r="1166" spans="1:51" hidden="1">
      <c r="A1166">
        <v>101077</v>
      </c>
      <c r="B1166" t="s">
        <v>190</v>
      </c>
      <c r="C1166" t="str">
        <f t="shared" si="151"/>
        <v>01396940627</v>
      </c>
      <c r="D1166" t="str">
        <f t="shared" si="151"/>
        <v>01396940627</v>
      </c>
      <c r="E1166" t="s">
        <v>52</v>
      </c>
      <c r="F1166">
        <v>2015</v>
      </c>
      <c r="G1166" t="str">
        <f>"                  10"</f>
        <v xml:space="preserve">                  10</v>
      </c>
      <c r="H1166" s="3">
        <v>42082</v>
      </c>
      <c r="I1166" s="3">
        <v>42369</v>
      </c>
      <c r="J1166" s="3">
        <v>42369</v>
      </c>
      <c r="K1166" s="3">
        <v>42429</v>
      </c>
      <c r="L1166"/>
      <c r="N1166"/>
      <c r="O1166" s="4">
        <v>8000</v>
      </c>
      <c r="P1166">
        <v>-19</v>
      </c>
      <c r="Q1166" s="4">
        <v>-152000</v>
      </c>
      <c r="R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 s="3">
        <v>42562</v>
      </c>
      <c r="AC1166" t="s">
        <v>53</v>
      </c>
      <c r="AD1166" t="s">
        <v>53</v>
      </c>
      <c r="AK1166">
        <v>0</v>
      </c>
      <c r="AU1166" s="3">
        <v>42410</v>
      </c>
      <c r="AV1166" s="3">
        <v>42410</v>
      </c>
      <c r="AW1166" t="s">
        <v>54</v>
      </c>
      <c r="AX1166" t="str">
        <f t="shared" si="149"/>
        <v>FOR</v>
      </c>
      <c r="AY1166" t="s">
        <v>55</v>
      </c>
    </row>
    <row r="1167" spans="1:51">
      <c r="A1167">
        <v>101077</v>
      </c>
      <c r="B1167" t="s">
        <v>190</v>
      </c>
      <c r="C1167" t="str">
        <f t="shared" si="151"/>
        <v>01396940627</v>
      </c>
      <c r="D1167" t="str">
        <f t="shared" si="151"/>
        <v>01396940627</v>
      </c>
      <c r="E1167" t="s">
        <v>52</v>
      </c>
      <c r="F1167">
        <v>2015</v>
      </c>
      <c r="G1167" t="str">
        <f>"                1/PA"</f>
        <v xml:space="preserve">                1/PA</v>
      </c>
      <c r="H1167" s="3">
        <v>42318</v>
      </c>
      <c r="I1167" s="3">
        <v>42326</v>
      </c>
      <c r="J1167" s="3">
        <v>42324</v>
      </c>
      <c r="K1167" s="3">
        <v>42384</v>
      </c>
      <c r="L1167" s="5">
        <v>72000</v>
      </c>
      <c r="M1167">
        <v>80</v>
      </c>
      <c r="N1167" s="5">
        <v>5760000</v>
      </c>
      <c r="O1167" s="4">
        <v>72000</v>
      </c>
      <c r="P1167">
        <v>80</v>
      </c>
      <c r="Q1167" s="4">
        <v>5760000</v>
      </c>
      <c r="R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0</v>
      </c>
      <c r="AB1167" s="3">
        <v>42562</v>
      </c>
      <c r="AC1167" t="s">
        <v>53</v>
      </c>
      <c r="AD1167" t="s">
        <v>53</v>
      </c>
      <c r="AK1167">
        <v>0</v>
      </c>
      <c r="AU1167" s="3">
        <v>42464</v>
      </c>
      <c r="AV1167" s="3">
        <v>42464</v>
      </c>
      <c r="AW1167" t="s">
        <v>54</v>
      </c>
      <c r="AX1167" t="str">
        <f t="shared" si="149"/>
        <v>FOR</v>
      </c>
      <c r="AY1167" t="s">
        <v>55</v>
      </c>
    </row>
    <row r="1168" spans="1:51">
      <c r="A1168">
        <v>101082</v>
      </c>
      <c r="B1168" t="s">
        <v>191</v>
      </c>
      <c r="C1168" t="str">
        <f>"02451350611"</f>
        <v>02451350611</v>
      </c>
      <c r="D1168" t="str">
        <f>"02451350611"</f>
        <v>02451350611</v>
      </c>
      <c r="E1168" t="s">
        <v>52</v>
      </c>
      <c r="F1168">
        <v>2016</v>
      </c>
      <c r="G1168" t="str">
        <f>"                 107"</f>
        <v xml:space="preserve">                 107</v>
      </c>
      <c r="H1168" s="3">
        <v>42460</v>
      </c>
      <c r="I1168" s="3">
        <v>42507</v>
      </c>
      <c r="J1168" s="3">
        <v>42506</v>
      </c>
      <c r="K1168" s="3">
        <v>42566</v>
      </c>
      <c r="L1168" s="1">
        <v>355</v>
      </c>
      <c r="M1168">
        <v>-37</v>
      </c>
      <c r="N1168" s="5">
        <v>-13135</v>
      </c>
      <c r="O1168">
        <v>355</v>
      </c>
      <c r="P1168">
        <v>-37</v>
      </c>
      <c r="Q1168" s="4">
        <v>-13135</v>
      </c>
      <c r="R1168">
        <v>78.099999999999994</v>
      </c>
      <c r="V1168">
        <v>0</v>
      </c>
      <c r="W1168">
        <v>433.1</v>
      </c>
      <c r="X1168">
        <v>0</v>
      </c>
      <c r="Y1168">
        <v>433.1</v>
      </c>
      <c r="Z1168">
        <v>433.1</v>
      </c>
      <c r="AA1168">
        <v>433.1</v>
      </c>
      <c r="AB1168" s="3">
        <v>42562</v>
      </c>
      <c r="AC1168" t="s">
        <v>53</v>
      </c>
      <c r="AD1168" t="s">
        <v>53</v>
      </c>
      <c r="AK1168">
        <v>0</v>
      </c>
      <c r="AM1168">
        <v>78.099999999999994</v>
      </c>
      <c r="AU1168" s="3">
        <v>42529</v>
      </c>
      <c r="AV1168" s="3">
        <v>42529</v>
      </c>
      <c r="AW1168" t="s">
        <v>54</v>
      </c>
      <c r="AX1168" t="str">
        <f t="shared" si="149"/>
        <v>FOR</v>
      </c>
      <c r="AY1168" t="s">
        <v>55</v>
      </c>
    </row>
    <row r="1169" spans="1:51" hidden="1">
      <c r="A1169">
        <v>101091</v>
      </c>
      <c r="B1169" t="s">
        <v>192</v>
      </c>
      <c r="C1169" t="str">
        <f>"05155791212"</f>
        <v>05155791212</v>
      </c>
      <c r="D1169" t="str">
        <f>""</f>
        <v/>
      </c>
      <c r="E1169" t="s">
        <v>52</v>
      </c>
      <c r="F1169">
        <v>2015</v>
      </c>
      <c r="G1169" t="str">
        <f>"           000006/PA"</f>
        <v xml:space="preserve">           000006/PA</v>
      </c>
      <c r="H1169" s="3">
        <v>42094</v>
      </c>
      <c r="I1169" s="3">
        <v>42165</v>
      </c>
      <c r="J1169" s="3">
        <v>42138</v>
      </c>
      <c r="K1169" s="3">
        <v>42198</v>
      </c>
      <c r="L1169"/>
      <c r="N1169"/>
      <c r="O1169" s="4">
        <v>4838.5</v>
      </c>
      <c r="P1169">
        <v>206</v>
      </c>
      <c r="Q1169" s="4">
        <v>996731</v>
      </c>
      <c r="R1169">
        <v>0</v>
      </c>
      <c r="V1169">
        <v>0</v>
      </c>
      <c r="W1169">
        <v>0</v>
      </c>
      <c r="X1169">
        <v>0</v>
      </c>
      <c r="Y1169">
        <v>0</v>
      </c>
      <c r="Z1169">
        <v>0</v>
      </c>
      <c r="AA1169">
        <v>0</v>
      </c>
      <c r="AB1169" s="3">
        <v>42562</v>
      </c>
      <c r="AC1169" t="s">
        <v>53</v>
      </c>
      <c r="AD1169" t="s">
        <v>53</v>
      </c>
      <c r="AK1169">
        <v>0</v>
      </c>
      <c r="AU1169" s="3">
        <v>42404</v>
      </c>
      <c r="AV1169" s="3">
        <v>42404</v>
      </c>
      <c r="AW1169" t="s">
        <v>54</v>
      </c>
      <c r="AX1169" t="str">
        <f t="shared" si="149"/>
        <v>FOR</v>
      </c>
      <c r="AY1169" t="s">
        <v>55</v>
      </c>
    </row>
    <row r="1170" spans="1:51" hidden="1">
      <c r="A1170">
        <v>101091</v>
      </c>
      <c r="B1170" t="s">
        <v>192</v>
      </c>
      <c r="C1170" t="str">
        <f>"05155791212"</f>
        <v>05155791212</v>
      </c>
      <c r="D1170" t="str">
        <f>""</f>
        <v/>
      </c>
      <c r="E1170" t="s">
        <v>52</v>
      </c>
      <c r="F1170">
        <v>2015</v>
      </c>
      <c r="G1170" t="str">
        <f>"           000060/PA"</f>
        <v xml:space="preserve">           000060/PA</v>
      </c>
      <c r="H1170" s="3">
        <v>42153</v>
      </c>
      <c r="I1170" s="3">
        <v>42165</v>
      </c>
      <c r="J1170" s="3">
        <v>42160</v>
      </c>
      <c r="K1170" s="3">
        <v>42220</v>
      </c>
      <c r="L1170"/>
      <c r="N1170"/>
      <c r="O1170" s="4">
        <v>2160</v>
      </c>
      <c r="P1170">
        <v>233</v>
      </c>
      <c r="Q1170" s="4">
        <v>503280</v>
      </c>
      <c r="R1170">
        <v>0</v>
      </c>
      <c r="V1170">
        <v>0</v>
      </c>
      <c r="W1170">
        <v>0</v>
      </c>
      <c r="X1170">
        <v>0</v>
      </c>
      <c r="Y1170">
        <v>0</v>
      </c>
      <c r="Z1170">
        <v>0</v>
      </c>
      <c r="AA1170">
        <v>0</v>
      </c>
      <c r="AB1170" s="3">
        <v>42562</v>
      </c>
      <c r="AC1170" t="s">
        <v>53</v>
      </c>
      <c r="AD1170" t="s">
        <v>53</v>
      </c>
      <c r="AK1170">
        <v>0</v>
      </c>
      <c r="AU1170" s="3">
        <v>42453</v>
      </c>
      <c r="AV1170" s="3">
        <v>42453</v>
      </c>
      <c r="AW1170" t="s">
        <v>54</v>
      </c>
      <c r="AX1170" t="str">
        <f t="shared" si="149"/>
        <v>FOR</v>
      </c>
      <c r="AY1170" t="s">
        <v>55</v>
      </c>
    </row>
    <row r="1171" spans="1:51" hidden="1">
      <c r="A1171">
        <v>101092</v>
      </c>
      <c r="B1171" t="s">
        <v>193</v>
      </c>
      <c r="C1171" t="str">
        <f>"09577370019"</f>
        <v>09577370019</v>
      </c>
      <c r="D1171" t="str">
        <f>"09577370019"</f>
        <v>09577370019</v>
      </c>
      <c r="E1171" t="s">
        <v>52</v>
      </c>
      <c r="F1171">
        <v>2015</v>
      </c>
      <c r="G1171" t="str">
        <f>"                2066"</f>
        <v xml:space="preserve">                2066</v>
      </c>
      <c r="H1171" s="3">
        <v>42213</v>
      </c>
      <c r="I1171" s="3">
        <v>42223</v>
      </c>
      <c r="J1171" s="3">
        <v>42216</v>
      </c>
      <c r="K1171" s="3">
        <v>42276</v>
      </c>
      <c r="L1171"/>
      <c r="N1171"/>
      <c r="O1171">
        <v>480</v>
      </c>
      <c r="P1171">
        <v>128</v>
      </c>
      <c r="Q1171" s="4">
        <v>61440</v>
      </c>
      <c r="R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 s="3">
        <v>42562</v>
      </c>
      <c r="AC1171" t="s">
        <v>53</v>
      </c>
      <c r="AD1171" t="s">
        <v>53</v>
      </c>
      <c r="AK1171">
        <v>0</v>
      </c>
      <c r="AU1171" s="3">
        <v>42404</v>
      </c>
      <c r="AV1171" s="3">
        <v>42404</v>
      </c>
      <c r="AW1171" t="s">
        <v>54</v>
      </c>
      <c r="AX1171" t="str">
        <f t="shared" si="149"/>
        <v>FOR</v>
      </c>
      <c r="AY1171" t="s">
        <v>55</v>
      </c>
    </row>
    <row r="1172" spans="1:51" hidden="1">
      <c r="A1172">
        <v>101092</v>
      </c>
      <c r="B1172" t="s">
        <v>193</v>
      </c>
      <c r="C1172" t="str">
        <f>"09577370019"</f>
        <v>09577370019</v>
      </c>
      <c r="D1172" t="str">
        <f>"09577370019"</f>
        <v>09577370019</v>
      </c>
      <c r="E1172" t="s">
        <v>52</v>
      </c>
      <c r="F1172">
        <v>2015</v>
      </c>
      <c r="G1172" t="str">
        <f>"                2436"</f>
        <v xml:space="preserve">                2436</v>
      </c>
      <c r="H1172" s="3">
        <v>42254</v>
      </c>
      <c r="I1172" s="3">
        <v>42269</v>
      </c>
      <c r="J1172" s="3">
        <v>42268</v>
      </c>
      <c r="K1172" s="3">
        <v>42328</v>
      </c>
      <c r="L1172"/>
      <c r="N1172"/>
      <c r="O1172" s="4">
        <v>2680</v>
      </c>
      <c r="P1172">
        <v>76</v>
      </c>
      <c r="Q1172" s="4">
        <v>203680</v>
      </c>
      <c r="R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0</v>
      </c>
      <c r="AB1172" s="3">
        <v>42562</v>
      </c>
      <c r="AC1172" t="s">
        <v>53</v>
      </c>
      <c r="AD1172" t="s">
        <v>53</v>
      </c>
      <c r="AK1172">
        <v>0</v>
      </c>
      <c r="AU1172" s="3">
        <v>42404</v>
      </c>
      <c r="AV1172" s="3">
        <v>42404</v>
      </c>
      <c r="AW1172" t="s">
        <v>54</v>
      </c>
      <c r="AX1172" t="str">
        <f t="shared" si="149"/>
        <v>FOR</v>
      </c>
      <c r="AY1172" t="s">
        <v>55</v>
      </c>
    </row>
    <row r="1173" spans="1:51" hidden="1">
      <c r="A1173">
        <v>101095</v>
      </c>
      <c r="B1173" t="s">
        <v>194</v>
      </c>
      <c r="C1173" t="str">
        <f>"02173550282"</f>
        <v>02173550282</v>
      </c>
      <c r="D1173" t="str">
        <f>"02173550282"</f>
        <v>02173550282</v>
      </c>
      <c r="E1173" t="s">
        <v>52</v>
      </c>
      <c r="F1173">
        <v>2015</v>
      </c>
      <c r="G1173" t="str">
        <f>"              1839/3"</f>
        <v xml:space="preserve">              1839/3</v>
      </c>
      <c r="H1173" s="3">
        <v>42138</v>
      </c>
      <c r="I1173" s="3">
        <v>42160</v>
      </c>
      <c r="J1173" s="3">
        <v>42146</v>
      </c>
      <c r="K1173" s="3">
        <v>42206</v>
      </c>
      <c r="L1173"/>
      <c r="N1173"/>
      <c r="O1173">
        <v>480</v>
      </c>
      <c r="P1173">
        <v>246</v>
      </c>
      <c r="Q1173" s="4">
        <v>118080</v>
      </c>
      <c r="R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0</v>
      </c>
      <c r="AB1173" s="3">
        <v>42562</v>
      </c>
      <c r="AC1173" t="s">
        <v>53</v>
      </c>
      <c r="AD1173" t="s">
        <v>53</v>
      </c>
      <c r="AK1173">
        <v>0</v>
      </c>
      <c r="AU1173" s="3">
        <v>42452</v>
      </c>
      <c r="AV1173" s="3">
        <v>42452</v>
      </c>
      <c r="AW1173" t="s">
        <v>54</v>
      </c>
      <c r="AX1173" t="str">
        <f t="shared" si="149"/>
        <v>FOR</v>
      </c>
      <c r="AY1173" t="s">
        <v>55</v>
      </c>
    </row>
    <row r="1174" spans="1:51">
      <c r="A1174">
        <v>101095</v>
      </c>
      <c r="B1174" t="s">
        <v>194</v>
      </c>
      <c r="C1174" t="str">
        <f>"02173550282"</f>
        <v>02173550282</v>
      </c>
      <c r="D1174" t="str">
        <f>"02173550282"</f>
        <v>02173550282</v>
      </c>
      <c r="E1174" t="s">
        <v>52</v>
      </c>
      <c r="F1174">
        <v>2015</v>
      </c>
      <c r="G1174" t="str">
        <f>"              3382/3"</f>
        <v xml:space="preserve">              3382/3</v>
      </c>
      <c r="H1174" s="3">
        <v>42179</v>
      </c>
      <c r="I1174" s="3">
        <v>42186</v>
      </c>
      <c r="J1174" s="3">
        <v>42182</v>
      </c>
      <c r="K1174" s="3">
        <v>42242</v>
      </c>
      <c r="L1174" s="1">
        <v>960</v>
      </c>
      <c r="M1174">
        <v>285</v>
      </c>
      <c r="N1174" s="5">
        <v>273600</v>
      </c>
      <c r="O1174">
        <v>960</v>
      </c>
      <c r="P1174">
        <v>285</v>
      </c>
      <c r="Q1174" s="4">
        <v>273600</v>
      </c>
      <c r="R1174">
        <v>211.2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 s="3">
        <v>42562</v>
      </c>
      <c r="AC1174" t="s">
        <v>53</v>
      </c>
      <c r="AD1174" t="s">
        <v>53</v>
      </c>
      <c r="AK1174">
        <v>211.2</v>
      </c>
      <c r="AU1174" s="3">
        <v>42527</v>
      </c>
      <c r="AV1174" s="3">
        <v>42527</v>
      </c>
      <c r="AW1174" t="s">
        <v>54</v>
      </c>
      <c r="AX1174" t="str">
        <f t="shared" si="149"/>
        <v>FOR</v>
      </c>
      <c r="AY1174" t="s">
        <v>55</v>
      </c>
    </row>
    <row r="1175" spans="1:51" hidden="1">
      <c r="A1175">
        <v>101096</v>
      </c>
      <c r="B1175" t="s">
        <v>195</v>
      </c>
      <c r="C1175" t="str">
        <f t="shared" ref="C1175:D1180" si="152">"04832360632"</f>
        <v>04832360632</v>
      </c>
      <c r="D1175" t="str">
        <f t="shared" si="152"/>
        <v>04832360632</v>
      </c>
      <c r="E1175" t="s">
        <v>52</v>
      </c>
      <c r="F1175">
        <v>2015</v>
      </c>
      <c r="G1175" t="str">
        <f>"            2015/135"</f>
        <v xml:space="preserve">            2015/135</v>
      </c>
      <c r="H1175" s="3">
        <v>42268</v>
      </c>
      <c r="I1175" s="3">
        <v>42272</v>
      </c>
      <c r="J1175" s="3">
        <v>42270</v>
      </c>
      <c r="K1175" s="3">
        <v>42330</v>
      </c>
      <c r="L1175"/>
      <c r="N1175"/>
      <c r="O1175" s="4">
        <v>3940</v>
      </c>
      <c r="P1175">
        <v>122</v>
      </c>
      <c r="Q1175" s="4">
        <v>480680</v>
      </c>
      <c r="R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0</v>
      </c>
      <c r="AB1175" s="3">
        <v>42562</v>
      </c>
      <c r="AC1175" t="s">
        <v>53</v>
      </c>
      <c r="AD1175" t="s">
        <v>53</v>
      </c>
      <c r="AK1175">
        <v>0</v>
      </c>
      <c r="AU1175" s="3">
        <v>42452</v>
      </c>
      <c r="AV1175" s="3">
        <v>42452</v>
      </c>
      <c r="AW1175" t="s">
        <v>54</v>
      </c>
      <c r="AX1175" t="str">
        <f t="shared" si="149"/>
        <v>FOR</v>
      </c>
      <c r="AY1175" t="s">
        <v>55</v>
      </c>
    </row>
    <row r="1176" spans="1:51" hidden="1">
      <c r="A1176">
        <v>101096</v>
      </c>
      <c r="B1176" t="s">
        <v>195</v>
      </c>
      <c r="C1176" t="str">
        <f t="shared" si="152"/>
        <v>04832360632</v>
      </c>
      <c r="D1176" t="str">
        <f t="shared" si="152"/>
        <v>04832360632</v>
      </c>
      <c r="E1176" t="s">
        <v>52</v>
      </c>
      <c r="F1176">
        <v>2015</v>
      </c>
      <c r="G1176" t="str">
        <f>"            2015/136"</f>
        <v xml:space="preserve">            2015/136</v>
      </c>
      <c r="H1176" s="3">
        <v>42268</v>
      </c>
      <c r="I1176" s="3">
        <v>42272</v>
      </c>
      <c r="J1176" s="3">
        <v>42270</v>
      </c>
      <c r="K1176" s="3">
        <v>42330</v>
      </c>
      <c r="L1176"/>
      <c r="N1176"/>
      <c r="O1176" s="4">
        <v>4083</v>
      </c>
      <c r="P1176">
        <v>122</v>
      </c>
      <c r="Q1176" s="4">
        <v>498126</v>
      </c>
      <c r="R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 s="3">
        <v>42562</v>
      </c>
      <c r="AC1176" t="s">
        <v>53</v>
      </c>
      <c r="AD1176" t="s">
        <v>53</v>
      </c>
      <c r="AK1176">
        <v>0</v>
      </c>
      <c r="AU1176" s="3">
        <v>42452</v>
      </c>
      <c r="AV1176" s="3">
        <v>42452</v>
      </c>
      <c r="AW1176" t="s">
        <v>54</v>
      </c>
      <c r="AX1176" t="str">
        <f t="shared" si="149"/>
        <v>FOR</v>
      </c>
      <c r="AY1176" t="s">
        <v>55</v>
      </c>
    </row>
    <row r="1177" spans="1:51" hidden="1">
      <c r="A1177">
        <v>101096</v>
      </c>
      <c r="B1177" t="s">
        <v>195</v>
      </c>
      <c r="C1177" t="str">
        <f t="shared" si="152"/>
        <v>04832360632</v>
      </c>
      <c r="D1177" t="str">
        <f t="shared" si="152"/>
        <v>04832360632</v>
      </c>
      <c r="E1177" t="s">
        <v>52</v>
      </c>
      <c r="F1177">
        <v>2015</v>
      </c>
      <c r="G1177" t="str">
        <f>"            2015/137"</f>
        <v xml:space="preserve">            2015/137</v>
      </c>
      <c r="H1177" s="3">
        <v>42268</v>
      </c>
      <c r="I1177" s="3">
        <v>42277</v>
      </c>
      <c r="J1177" s="3">
        <v>42276</v>
      </c>
      <c r="K1177" s="3">
        <v>42336</v>
      </c>
      <c r="L1177"/>
      <c r="N1177"/>
      <c r="O1177">
        <v>219</v>
      </c>
      <c r="P1177">
        <v>117</v>
      </c>
      <c r="Q1177" s="4">
        <v>25623</v>
      </c>
      <c r="R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0</v>
      </c>
      <c r="AB1177" s="3">
        <v>42562</v>
      </c>
      <c r="AC1177" t="s">
        <v>53</v>
      </c>
      <c r="AD1177" t="s">
        <v>53</v>
      </c>
      <c r="AK1177">
        <v>0</v>
      </c>
      <c r="AU1177" s="3">
        <v>42453</v>
      </c>
      <c r="AV1177" s="3">
        <v>42453</v>
      </c>
      <c r="AW1177" t="s">
        <v>54</v>
      </c>
      <c r="AX1177" t="str">
        <f t="shared" si="149"/>
        <v>FOR</v>
      </c>
      <c r="AY1177" t="s">
        <v>55</v>
      </c>
    </row>
    <row r="1178" spans="1:51" hidden="1">
      <c r="A1178">
        <v>101096</v>
      </c>
      <c r="B1178" t="s">
        <v>195</v>
      </c>
      <c r="C1178" t="str">
        <f t="shared" si="152"/>
        <v>04832360632</v>
      </c>
      <c r="D1178" t="str">
        <f t="shared" si="152"/>
        <v>04832360632</v>
      </c>
      <c r="E1178" t="s">
        <v>52</v>
      </c>
      <c r="F1178">
        <v>2015</v>
      </c>
      <c r="G1178" t="str">
        <f>"            2015/140"</f>
        <v xml:space="preserve">            2015/140</v>
      </c>
      <c r="H1178" s="3">
        <v>42268</v>
      </c>
      <c r="I1178" s="3">
        <v>42286</v>
      </c>
      <c r="J1178" s="3">
        <v>42285</v>
      </c>
      <c r="K1178" s="3">
        <v>42345</v>
      </c>
      <c r="L1178"/>
      <c r="N1178"/>
      <c r="O1178" s="4">
        <v>7675</v>
      </c>
      <c r="P1178">
        <v>107</v>
      </c>
      <c r="Q1178" s="4">
        <v>821225</v>
      </c>
      <c r="R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0</v>
      </c>
      <c r="AB1178" s="3">
        <v>42562</v>
      </c>
      <c r="AC1178" t="s">
        <v>53</v>
      </c>
      <c r="AD1178" t="s">
        <v>53</v>
      </c>
      <c r="AK1178">
        <v>0</v>
      </c>
      <c r="AU1178" s="3">
        <v>42452</v>
      </c>
      <c r="AV1178" s="3">
        <v>42452</v>
      </c>
      <c r="AW1178" t="s">
        <v>54</v>
      </c>
      <c r="AX1178" t="str">
        <f t="shared" si="149"/>
        <v>FOR</v>
      </c>
      <c r="AY1178" t="s">
        <v>55</v>
      </c>
    </row>
    <row r="1179" spans="1:51" hidden="1">
      <c r="A1179">
        <v>101096</v>
      </c>
      <c r="B1179" t="s">
        <v>195</v>
      </c>
      <c r="C1179" t="str">
        <f t="shared" si="152"/>
        <v>04832360632</v>
      </c>
      <c r="D1179" t="str">
        <f t="shared" si="152"/>
        <v>04832360632</v>
      </c>
      <c r="E1179" t="s">
        <v>52</v>
      </c>
      <c r="F1179">
        <v>2015</v>
      </c>
      <c r="G1179" t="str">
        <f>"            2015/149"</f>
        <v xml:space="preserve">            2015/149</v>
      </c>
      <c r="H1179" s="3">
        <v>42286</v>
      </c>
      <c r="I1179" s="3">
        <v>42305</v>
      </c>
      <c r="J1179" s="3">
        <v>42304</v>
      </c>
      <c r="K1179" s="3">
        <v>42364</v>
      </c>
      <c r="L1179"/>
      <c r="N1179"/>
      <c r="O1179" s="4">
        <v>1235</v>
      </c>
      <c r="P1179">
        <v>89</v>
      </c>
      <c r="Q1179" s="4">
        <v>109915</v>
      </c>
      <c r="R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0</v>
      </c>
      <c r="AB1179" s="3">
        <v>42562</v>
      </c>
      <c r="AC1179" t="s">
        <v>53</v>
      </c>
      <c r="AD1179" t="s">
        <v>53</v>
      </c>
      <c r="AK1179">
        <v>0</v>
      </c>
      <c r="AU1179" s="3">
        <v>42453</v>
      </c>
      <c r="AV1179" s="3">
        <v>42453</v>
      </c>
      <c r="AW1179" t="s">
        <v>54</v>
      </c>
      <c r="AX1179" t="str">
        <f t="shared" si="149"/>
        <v>FOR</v>
      </c>
      <c r="AY1179" t="s">
        <v>55</v>
      </c>
    </row>
    <row r="1180" spans="1:51" hidden="1">
      <c r="A1180">
        <v>101096</v>
      </c>
      <c r="B1180" t="s">
        <v>195</v>
      </c>
      <c r="C1180" t="str">
        <f t="shared" si="152"/>
        <v>04832360632</v>
      </c>
      <c r="D1180" t="str">
        <f t="shared" si="152"/>
        <v>04832360632</v>
      </c>
      <c r="E1180" t="s">
        <v>52</v>
      </c>
      <c r="F1180">
        <v>2015</v>
      </c>
      <c r="G1180" t="str">
        <f>"            2015/198"</f>
        <v xml:space="preserve">            2015/198</v>
      </c>
      <c r="H1180" s="3">
        <v>42353</v>
      </c>
      <c r="I1180" s="3">
        <v>42353</v>
      </c>
      <c r="J1180" s="3">
        <v>42353</v>
      </c>
      <c r="K1180" s="3">
        <v>42413</v>
      </c>
      <c r="L1180"/>
      <c r="N1180"/>
      <c r="O1180">
        <v>828</v>
      </c>
      <c r="P1180">
        <v>-10</v>
      </c>
      <c r="Q1180" s="4">
        <v>-8280</v>
      </c>
      <c r="R1180">
        <v>182.16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0</v>
      </c>
      <c r="AB1180" s="3">
        <v>42562</v>
      </c>
      <c r="AC1180" t="s">
        <v>53</v>
      </c>
      <c r="AD1180" t="s">
        <v>53</v>
      </c>
      <c r="AI1180">
        <v>182.16</v>
      </c>
      <c r="AK1180">
        <v>0</v>
      </c>
      <c r="AU1180" s="3">
        <v>42403</v>
      </c>
      <c r="AV1180" s="3">
        <v>42403</v>
      </c>
      <c r="AW1180" t="s">
        <v>54</v>
      </c>
      <c r="AX1180" t="str">
        <f t="shared" si="149"/>
        <v>FOR</v>
      </c>
      <c r="AY1180" t="s">
        <v>55</v>
      </c>
    </row>
    <row r="1181" spans="1:51" hidden="1">
      <c r="A1181">
        <v>101101</v>
      </c>
      <c r="B1181" t="s">
        <v>196</v>
      </c>
      <c r="C1181" t="str">
        <f>"00746550409"</f>
        <v>00746550409</v>
      </c>
      <c r="D1181" t="str">
        <f>"00746550409"</f>
        <v>00746550409</v>
      </c>
      <c r="E1181" t="s">
        <v>52</v>
      </c>
      <c r="F1181">
        <v>2015</v>
      </c>
      <c r="G1181" t="str">
        <f>"               41/PA"</f>
        <v xml:space="preserve">               41/PA</v>
      </c>
      <c r="H1181" s="3">
        <v>42185</v>
      </c>
      <c r="I1181" s="3">
        <v>42233</v>
      </c>
      <c r="J1181" s="3">
        <v>42205</v>
      </c>
      <c r="K1181" s="3">
        <v>42265</v>
      </c>
      <c r="L1181"/>
      <c r="N1181"/>
      <c r="O1181" s="4">
        <v>2376</v>
      </c>
      <c r="P1181">
        <v>187</v>
      </c>
      <c r="Q1181" s="4">
        <v>444312</v>
      </c>
      <c r="R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 s="3">
        <v>42562</v>
      </c>
      <c r="AC1181" t="s">
        <v>53</v>
      </c>
      <c r="AD1181" t="s">
        <v>53</v>
      </c>
      <c r="AK1181">
        <v>0</v>
      </c>
      <c r="AU1181" s="3">
        <v>42452</v>
      </c>
      <c r="AV1181" s="3">
        <v>42452</v>
      </c>
      <c r="AW1181" t="s">
        <v>54</v>
      </c>
      <c r="AX1181" t="str">
        <f t="shared" si="149"/>
        <v>FOR</v>
      </c>
      <c r="AY1181" t="s">
        <v>55</v>
      </c>
    </row>
    <row r="1182" spans="1:51">
      <c r="A1182">
        <v>101116</v>
      </c>
      <c r="B1182" t="s">
        <v>197</v>
      </c>
      <c r="C1182" t="str">
        <f>"01192310124"</f>
        <v>01192310124</v>
      </c>
      <c r="D1182" t="str">
        <f>"01192310124"</f>
        <v>01192310124</v>
      </c>
      <c r="E1182" t="s">
        <v>52</v>
      </c>
      <c r="F1182">
        <v>2015</v>
      </c>
      <c r="G1182" t="str">
        <f>"                2887"</f>
        <v xml:space="preserve">                2887</v>
      </c>
      <c r="H1182" s="3">
        <v>42170</v>
      </c>
      <c r="I1182" s="3">
        <v>42298</v>
      </c>
      <c r="J1182" s="3">
        <v>42297</v>
      </c>
      <c r="K1182" s="3">
        <v>42357</v>
      </c>
      <c r="L1182" s="1">
        <v>795.93</v>
      </c>
      <c r="M1182">
        <v>163</v>
      </c>
      <c r="N1182" s="5">
        <v>129736.59</v>
      </c>
      <c r="O1182">
        <v>795.93</v>
      </c>
      <c r="P1182">
        <v>163</v>
      </c>
      <c r="Q1182" s="4">
        <v>129736.59</v>
      </c>
      <c r="R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0</v>
      </c>
      <c r="AB1182" s="3">
        <v>42562</v>
      </c>
      <c r="AC1182" t="s">
        <v>53</v>
      </c>
      <c r="AD1182" t="s">
        <v>53</v>
      </c>
      <c r="AK1182">
        <v>0</v>
      </c>
      <c r="AU1182" s="3">
        <v>42520</v>
      </c>
      <c r="AV1182" s="3">
        <v>42520</v>
      </c>
      <c r="AW1182" t="s">
        <v>54</v>
      </c>
      <c r="AX1182" t="str">
        <f t="shared" si="149"/>
        <v>FOR</v>
      </c>
      <c r="AY1182" t="s">
        <v>55</v>
      </c>
    </row>
    <row r="1183" spans="1:51">
      <c r="A1183">
        <v>101116</v>
      </c>
      <c r="B1183" t="s">
        <v>197</v>
      </c>
      <c r="C1183" t="str">
        <f>"01192310124"</f>
        <v>01192310124</v>
      </c>
      <c r="D1183" t="str">
        <f>"01192310124"</f>
        <v>01192310124</v>
      </c>
      <c r="E1183" t="s">
        <v>52</v>
      </c>
      <c r="F1183">
        <v>2015</v>
      </c>
      <c r="G1183" t="str">
        <f>"                4649"</f>
        <v xml:space="preserve">                4649</v>
      </c>
      <c r="H1183" s="3">
        <v>42277</v>
      </c>
      <c r="I1183" s="3">
        <v>42298</v>
      </c>
      <c r="J1183" s="3">
        <v>42297</v>
      </c>
      <c r="K1183" s="3">
        <v>42357</v>
      </c>
      <c r="L1183" s="1">
        <v>795.93</v>
      </c>
      <c r="M1183">
        <v>163</v>
      </c>
      <c r="N1183" s="5">
        <v>129736.59</v>
      </c>
      <c r="O1183">
        <v>795.93</v>
      </c>
      <c r="P1183">
        <v>163</v>
      </c>
      <c r="Q1183" s="4">
        <v>129736.59</v>
      </c>
      <c r="R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0</v>
      </c>
      <c r="AB1183" s="3">
        <v>42562</v>
      </c>
      <c r="AC1183" t="s">
        <v>53</v>
      </c>
      <c r="AD1183" t="s">
        <v>53</v>
      </c>
      <c r="AK1183">
        <v>0</v>
      </c>
      <c r="AU1183" s="3">
        <v>42520</v>
      </c>
      <c r="AV1183" s="3">
        <v>42520</v>
      </c>
      <c r="AW1183" t="s">
        <v>54</v>
      </c>
      <c r="AX1183" t="str">
        <f t="shared" si="149"/>
        <v>FOR</v>
      </c>
      <c r="AY1183" t="s">
        <v>55</v>
      </c>
    </row>
    <row r="1184" spans="1:51" hidden="1">
      <c r="A1184">
        <v>101130</v>
      </c>
      <c r="B1184" t="s">
        <v>198</v>
      </c>
      <c r="C1184" t="str">
        <f t="shared" ref="C1184:D1214" si="153">"09238800156"</f>
        <v>09238800156</v>
      </c>
      <c r="D1184" t="str">
        <f t="shared" si="153"/>
        <v>09238800156</v>
      </c>
      <c r="E1184" t="s">
        <v>52</v>
      </c>
      <c r="F1184">
        <v>2014</v>
      </c>
      <c r="G1184" t="str">
        <f>"          1023495388"</f>
        <v xml:space="preserve">          1023495388</v>
      </c>
      <c r="H1184" s="3">
        <v>41886</v>
      </c>
      <c r="I1184" s="3">
        <v>42369</v>
      </c>
      <c r="J1184" s="3">
        <v>42369</v>
      </c>
      <c r="K1184" s="3">
        <v>42429</v>
      </c>
      <c r="L1184"/>
      <c r="N1184"/>
      <c r="O1184">
        <v>241.8</v>
      </c>
      <c r="Q1184">
        <v>0</v>
      </c>
      <c r="R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 s="3">
        <v>42562</v>
      </c>
      <c r="AC1184" t="s">
        <v>53</v>
      </c>
      <c r="AD1184" t="s">
        <v>53</v>
      </c>
      <c r="AK1184">
        <v>0</v>
      </c>
      <c r="AU1184" s="3">
        <v>42429</v>
      </c>
      <c r="AV1184" s="3">
        <v>42429</v>
      </c>
      <c r="AW1184" t="s">
        <v>54</v>
      </c>
      <c r="AX1184" t="str">
        <f t="shared" si="149"/>
        <v>FOR</v>
      </c>
      <c r="AY1184" t="s">
        <v>55</v>
      </c>
    </row>
    <row r="1185" spans="1:51" hidden="1">
      <c r="A1185">
        <v>101130</v>
      </c>
      <c r="B1185" t="s">
        <v>198</v>
      </c>
      <c r="C1185" t="str">
        <f t="shared" si="153"/>
        <v>09238800156</v>
      </c>
      <c r="D1185" t="str">
        <f t="shared" si="153"/>
        <v>09238800156</v>
      </c>
      <c r="E1185" t="s">
        <v>52</v>
      </c>
      <c r="F1185">
        <v>2014</v>
      </c>
      <c r="G1185" t="str">
        <f>"          1023495389"</f>
        <v xml:space="preserve">          1023495389</v>
      </c>
      <c r="H1185" s="3">
        <v>41886</v>
      </c>
      <c r="I1185" s="3">
        <v>42369</v>
      </c>
      <c r="J1185" s="3">
        <v>42369</v>
      </c>
      <c r="K1185" s="3">
        <v>42429</v>
      </c>
      <c r="L1185"/>
      <c r="N1185"/>
      <c r="O1185">
        <v>183</v>
      </c>
      <c r="Q1185">
        <v>0</v>
      </c>
      <c r="R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 s="3">
        <v>42562</v>
      </c>
      <c r="AC1185" t="s">
        <v>53</v>
      </c>
      <c r="AD1185" t="s">
        <v>53</v>
      </c>
      <c r="AK1185">
        <v>0</v>
      </c>
      <c r="AU1185" s="3">
        <v>42429</v>
      </c>
      <c r="AV1185" s="3">
        <v>42429</v>
      </c>
      <c r="AW1185" t="s">
        <v>54</v>
      </c>
      <c r="AX1185" t="str">
        <f t="shared" si="149"/>
        <v>FOR</v>
      </c>
      <c r="AY1185" t="s">
        <v>55</v>
      </c>
    </row>
    <row r="1186" spans="1:51" hidden="1">
      <c r="A1186">
        <v>101130</v>
      </c>
      <c r="B1186" t="s">
        <v>198</v>
      </c>
      <c r="C1186" t="str">
        <f t="shared" si="153"/>
        <v>09238800156</v>
      </c>
      <c r="D1186" t="str">
        <f t="shared" si="153"/>
        <v>09238800156</v>
      </c>
      <c r="E1186" t="s">
        <v>52</v>
      </c>
      <c r="F1186">
        <v>2015</v>
      </c>
      <c r="G1186" t="str">
        <f>"          1023626799"</f>
        <v xml:space="preserve">          1023626799</v>
      </c>
      <c r="H1186" s="3">
        <v>42069</v>
      </c>
      <c r="I1186" s="3">
        <v>42081</v>
      </c>
      <c r="J1186" s="3">
        <v>42081</v>
      </c>
      <c r="K1186" s="3">
        <v>42141</v>
      </c>
      <c r="L1186"/>
      <c r="N1186"/>
      <c r="O1186" s="4">
        <v>5700</v>
      </c>
      <c r="P1186">
        <v>261</v>
      </c>
      <c r="Q1186" s="4">
        <v>1487700</v>
      </c>
      <c r="R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 s="3">
        <v>42562</v>
      </c>
      <c r="AC1186" t="s">
        <v>53</v>
      </c>
      <c r="AD1186" t="s">
        <v>53</v>
      </c>
      <c r="AK1186">
        <v>0</v>
      </c>
      <c r="AU1186" s="3">
        <v>42402</v>
      </c>
      <c r="AV1186" s="3">
        <v>42402</v>
      </c>
      <c r="AW1186" t="s">
        <v>54</v>
      </c>
      <c r="AX1186" t="str">
        <f t="shared" si="149"/>
        <v>FOR</v>
      </c>
      <c r="AY1186" t="s">
        <v>55</v>
      </c>
    </row>
    <row r="1187" spans="1:51" hidden="1">
      <c r="A1187">
        <v>101130</v>
      </c>
      <c r="B1187" t="s">
        <v>198</v>
      </c>
      <c r="C1187" t="str">
        <f t="shared" si="153"/>
        <v>09238800156</v>
      </c>
      <c r="D1187" t="str">
        <f t="shared" si="153"/>
        <v>09238800156</v>
      </c>
      <c r="E1187" t="s">
        <v>52</v>
      </c>
      <c r="F1187">
        <v>2015</v>
      </c>
      <c r="G1187" t="str">
        <f>"          1023627416"</f>
        <v xml:space="preserve">          1023627416</v>
      </c>
      <c r="H1187" s="3">
        <v>42072</v>
      </c>
      <c r="I1187" s="3">
        <v>42081</v>
      </c>
      <c r="J1187" s="3">
        <v>42081</v>
      </c>
      <c r="K1187" s="3">
        <v>42141</v>
      </c>
      <c r="L1187"/>
      <c r="N1187"/>
      <c r="O1187" s="4">
        <v>2985.68</v>
      </c>
      <c r="P1187">
        <v>261</v>
      </c>
      <c r="Q1187" s="4">
        <v>779262.48</v>
      </c>
      <c r="R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 s="3">
        <v>42562</v>
      </c>
      <c r="AC1187" t="s">
        <v>53</v>
      </c>
      <c r="AD1187" t="s">
        <v>53</v>
      </c>
      <c r="AK1187">
        <v>0</v>
      </c>
      <c r="AU1187" s="3">
        <v>42402</v>
      </c>
      <c r="AV1187" s="3">
        <v>42402</v>
      </c>
      <c r="AW1187" t="s">
        <v>54</v>
      </c>
      <c r="AX1187" t="str">
        <f t="shared" si="149"/>
        <v>FOR</v>
      </c>
      <c r="AY1187" t="s">
        <v>55</v>
      </c>
    </row>
    <row r="1188" spans="1:51" hidden="1">
      <c r="A1188">
        <v>101130</v>
      </c>
      <c r="B1188" t="s">
        <v>198</v>
      </c>
      <c r="C1188" t="str">
        <f t="shared" si="153"/>
        <v>09238800156</v>
      </c>
      <c r="D1188" t="str">
        <f t="shared" si="153"/>
        <v>09238800156</v>
      </c>
      <c r="E1188" t="s">
        <v>52</v>
      </c>
      <c r="F1188">
        <v>2015</v>
      </c>
      <c r="G1188" t="str">
        <f>"          1023627943"</f>
        <v xml:space="preserve">          1023627943</v>
      </c>
      <c r="H1188" s="3">
        <v>42073</v>
      </c>
      <c r="I1188" s="3">
        <v>42088</v>
      </c>
      <c r="J1188" s="3">
        <v>42088</v>
      </c>
      <c r="K1188" s="3">
        <v>42148</v>
      </c>
      <c r="L1188"/>
      <c r="N1188"/>
      <c r="O1188" s="4">
        <v>4262.6099999999997</v>
      </c>
      <c r="P1188">
        <v>254</v>
      </c>
      <c r="Q1188" s="4">
        <v>1082702.94</v>
      </c>
      <c r="R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 s="3">
        <v>42562</v>
      </c>
      <c r="AC1188" t="s">
        <v>53</v>
      </c>
      <c r="AD1188" t="s">
        <v>53</v>
      </c>
      <c r="AK1188">
        <v>0</v>
      </c>
      <c r="AU1188" s="3">
        <v>42402</v>
      </c>
      <c r="AV1188" s="3">
        <v>42402</v>
      </c>
      <c r="AW1188" t="s">
        <v>54</v>
      </c>
      <c r="AX1188" t="str">
        <f t="shared" si="149"/>
        <v>FOR</v>
      </c>
      <c r="AY1188" t="s">
        <v>55</v>
      </c>
    </row>
    <row r="1189" spans="1:51" hidden="1">
      <c r="A1189">
        <v>101130</v>
      </c>
      <c r="B1189" t="s">
        <v>198</v>
      </c>
      <c r="C1189" t="str">
        <f t="shared" si="153"/>
        <v>09238800156</v>
      </c>
      <c r="D1189" t="str">
        <f t="shared" si="153"/>
        <v>09238800156</v>
      </c>
      <c r="E1189" t="s">
        <v>52</v>
      </c>
      <c r="F1189">
        <v>2015</v>
      </c>
      <c r="G1189" t="str">
        <f>"          1023639126"</f>
        <v xml:space="preserve">          1023639126</v>
      </c>
      <c r="H1189" s="3">
        <v>42095</v>
      </c>
      <c r="I1189" s="3">
        <v>42160</v>
      </c>
      <c r="J1189" s="3">
        <v>42151</v>
      </c>
      <c r="K1189" s="3">
        <v>42211</v>
      </c>
      <c r="L1189"/>
      <c r="N1189"/>
      <c r="O1189" s="4">
        <v>4878.3999999999996</v>
      </c>
      <c r="P1189">
        <v>205</v>
      </c>
      <c r="Q1189" s="4">
        <v>1000072</v>
      </c>
      <c r="R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 s="3">
        <v>42562</v>
      </c>
      <c r="AC1189" t="s">
        <v>53</v>
      </c>
      <c r="AD1189" t="s">
        <v>53</v>
      </c>
      <c r="AK1189">
        <v>0</v>
      </c>
      <c r="AU1189" s="3">
        <v>42416</v>
      </c>
      <c r="AV1189" s="3">
        <v>42416</v>
      </c>
      <c r="AW1189" t="s">
        <v>54</v>
      </c>
      <c r="AX1189" t="str">
        <f t="shared" si="149"/>
        <v>FOR</v>
      </c>
      <c r="AY1189" t="s">
        <v>55</v>
      </c>
    </row>
    <row r="1190" spans="1:51" hidden="1">
      <c r="A1190">
        <v>101130</v>
      </c>
      <c r="B1190" t="s">
        <v>198</v>
      </c>
      <c r="C1190" t="str">
        <f t="shared" si="153"/>
        <v>09238800156</v>
      </c>
      <c r="D1190" t="str">
        <f t="shared" si="153"/>
        <v>09238800156</v>
      </c>
      <c r="E1190" t="s">
        <v>52</v>
      </c>
      <c r="F1190">
        <v>2015</v>
      </c>
      <c r="G1190" t="str">
        <f>"          1023641250"</f>
        <v xml:space="preserve">          1023641250</v>
      </c>
      <c r="H1190" s="3">
        <v>42102</v>
      </c>
      <c r="I1190" s="3">
        <v>42160</v>
      </c>
      <c r="J1190" s="3">
        <v>42151</v>
      </c>
      <c r="K1190" s="3">
        <v>42211</v>
      </c>
      <c r="L1190"/>
      <c r="N1190"/>
      <c r="O1190" s="4">
        <v>3375</v>
      </c>
      <c r="P1190">
        <v>205</v>
      </c>
      <c r="Q1190" s="4">
        <v>691875</v>
      </c>
      <c r="R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 s="3">
        <v>42562</v>
      </c>
      <c r="AC1190" t="s">
        <v>53</v>
      </c>
      <c r="AD1190" t="s">
        <v>53</v>
      </c>
      <c r="AK1190">
        <v>0</v>
      </c>
      <c r="AU1190" s="3">
        <v>42416</v>
      </c>
      <c r="AV1190" s="3">
        <v>42416</v>
      </c>
      <c r="AW1190" t="s">
        <v>54</v>
      </c>
      <c r="AX1190" t="str">
        <f t="shared" ref="AX1190:AX1221" si="154">"FOR"</f>
        <v>FOR</v>
      </c>
      <c r="AY1190" t="s">
        <v>55</v>
      </c>
    </row>
    <row r="1191" spans="1:51" hidden="1">
      <c r="A1191">
        <v>101130</v>
      </c>
      <c r="B1191" t="s">
        <v>198</v>
      </c>
      <c r="C1191" t="str">
        <f t="shared" si="153"/>
        <v>09238800156</v>
      </c>
      <c r="D1191" t="str">
        <f t="shared" si="153"/>
        <v>09238800156</v>
      </c>
      <c r="E1191" t="s">
        <v>52</v>
      </c>
      <c r="F1191">
        <v>2015</v>
      </c>
      <c r="G1191" t="str">
        <f>"          1023641566"</f>
        <v xml:space="preserve">          1023641566</v>
      </c>
      <c r="H1191" s="3">
        <v>42102</v>
      </c>
      <c r="I1191" s="3">
        <v>42160</v>
      </c>
      <c r="J1191" s="3">
        <v>42151</v>
      </c>
      <c r="K1191" s="3">
        <v>42211</v>
      </c>
      <c r="L1191"/>
      <c r="N1191"/>
      <c r="O1191" s="4">
        <v>6950</v>
      </c>
      <c r="P1191">
        <v>205</v>
      </c>
      <c r="Q1191" s="4">
        <v>1424750</v>
      </c>
      <c r="R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0</v>
      </c>
      <c r="AB1191" s="3">
        <v>42562</v>
      </c>
      <c r="AC1191" t="s">
        <v>53</v>
      </c>
      <c r="AD1191" t="s">
        <v>53</v>
      </c>
      <c r="AK1191">
        <v>0</v>
      </c>
      <c r="AU1191" s="3">
        <v>42416</v>
      </c>
      <c r="AV1191" s="3">
        <v>42416</v>
      </c>
      <c r="AW1191" t="s">
        <v>54</v>
      </c>
      <c r="AX1191" t="str">
        <f t="shared" si="154"/>
        <v>FOR</v>
      </c>
      <c r="AY1191" t="s">
        <v>55</v>
      </c>
    </row>
    <row r="1192" spans="1:51" hidden="1">
      <c r="A1192">
        <v>101130</v>
      </c>
      <c r="B1192" t="s">
        <v>198</v>
      </c>
      <c r="C1192" t="str">
        <f t="shared" si="153"/>
        <v>09238800156</v>
      </c>
      <c r="D1192" t="str">
        <f t="shared" si="153"/>
        <v>09238800156</v>
      </c>
      <c r="E1192" t="s">
        <v>52</v>
      </c>
      <c r="F1192">
        <v>2015</v>
      </c>
      <c r="G1192" t="str">
        <f>"          1023643535"</f>
        <v xml:space="preserve">          1023643535</v>
      </c>
      <c r="H1192" s="3">
        <v>42107</v>
      </c>
      <c r="I1192" s="3">
        <v>42160</v>
      </c>
      <c r="J1192" s="3">
        <v>42151</v>
      </c>
      <c r="K1192" s="3">
        <v>42211</v>
      </c>
      <c r="L1192"/>
      <c r="N1192"/>
      <c r="O1192">
        <v>495</v>
      </c>
      <c r="P1192">
        <v>205</v>
      </c>
      <c r="Q1192" s="4">
        <v>101475</v>
      </c>
      <c r="R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 s="3">
        <v>42562</v>
      </c>
      <c r="AC1192" t="s">
        <v>53</v>
      </c>
      <c r="AD1192" t="s">
        <v>53</v>
      </c>
      <c r="AK1192">
        <v>0</v>
      </c>
      <c r="AU1192" s="3">
        <v>42416</v>
      </c>
      <c r="AV1192" s="3">
        <v>42416</v>
      </c>
      <c r="AW1192" t="s">
        <v>54</v>
      </c>
      <c r="AX1192" t="str">
        <f t="shared" si="154"/>
        <v>FOR</v>
      </c>
      <c r="AY1192" t="s">
        <v>55</v>
      </c>
    </row>
    <row r="1193" spans="1:51" hidden="1">
      <c r="A1193">
        <v>101130</v>
      </c>
      <c r="B1193" t="s">
        <v>198</v>
      </c>
      <c r="C1193" t="str">
        <f t="shared" si="153"/>
        <v>09238800156</v>
      </c>
      <c r="D1193" t="str">
        <f t="shared" si="153"/>
        <v>09238800156</v>
      </c>
      <c r="E1193" t="s">
        <v>52</v>
      </c>
      <c r="F1193">
        <v>2015</v>
      </c>
      <c r="G1193" t="str">
        <f>"          1023645680"</f>
        <v xml:space="preserve">          1023645680</v>
      </c>
      <c r="H1193" s="3">
        <v>42110</v>
      </c>
      <c r="I1193" s="3">
        <v>42160</v>
      </c>
      <c r="J1193" s="3">
        <v>42151</v>
      </c>
      <c r="K1193" s="3">
        <v>42211</v>
      </c>
      <c r="L1193"/>
      <c r="N1193"/>
      <c r="O1193" s="4">
        <v>7376.64</v>
      </c>
      <c r="P1193">
        <v>205</v>
      </c>
      <c r="Q1193" s="4">
        <v>1512211.2</v>
      </c>
      <c r="R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 s="3">
        <v>42562</v>
      </c>
      <c r="AC1193" t="s">
        <v>53</v>
      </c>
      <c r="AD1193" t="s">
        <v>53</v>
      </c>
      <c r="AK1193">
        <v>0</v>
      </c>
      <c r="AU1193" s="3">
        <v>42416</v>
      </c>
      <c r="AV1193" s="3">
        <v>42416</v>
      </c>
      <c r="AW1193" t="s">
        <v>54</v>
      </c>
      <c r="AX1193" t="str">
        <f t="shared" si="154"/>
        <v>FOR</v>
      </c>
      <c r="AY1193" t="s">
        <v>55</v>
      </c>
    </row>
    <row r="1194" spans="1:51" hidden="1">
      <c r="A1194">
        <v>101130</v>
      </c>
      <c r="B1194" t="s">
        <v>198</v>
      </c>
      <c r="C1194" t="str">
        <f t="shared" si="153"/>
        <v>09238800156</v>
      </c>
      <c r="D1194" t="str">
        <f t="shared" si="153"/>
        <v>09238800156</v>
      </c>
      <c r="E1194" t="s">
        <v>52</v>
      </c>
      <c r="F1194">
        <v>2015</v>
      </c>
      <c r="G1194" t="str">
        <f>"          1023648955"</f>
        <v xml:space="preserve">          1023648955</v>
      </c>
      <c r="H1194" s="3">
        <v>42117</v>
      </c>
      <c r="I1194" s="3">
        <v>42160</v>
      </c>
      <c r="J1194" s="3">
        <v>42151</v>
      </c>
      <c r="K1194" s="3">
        <v>42211</v>
      </c>
      <c r="L1194"/>
      <c r="N1194"/>
      <c r="O1194" s="4">
        <v>3375</v>
      </c>
      <c r="P1194">
        <v>205</v>
      </c>
      <c r="Q1194" s="4">
        <v>691875</v>
      </c>
      <c r="R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 s="3">
        <v>42562</v>
      </c>
      <c r="AC1194" t="s">
        <v>53</v>
      </c>
      <c r="AD1194" t="s">
        <v>53</v>
      </c>
      <c r="AK1194">
        <v>0</v>
      </c>
      <c r="AU1194" s="3">
        <v>42416</v>
      </c>
      <c r="AV1194" s="3">
        <v>42416</v>
      </c>
      <c r="AW1194" t="s">
        <v>54</v>
      </c>
      <c r="AX1194" t="str">
        <f t="shared" si="154"/>
        <v>FOR</v>
      </c>
      <c r="AY1194" t="s">
        <v>55</v>
      </c>
    </row>
    <row r="1195" spans="1:51" hidden="1">
      <c r="A1195">
        <v>101130</v>
      </c>
      <c r="B1195" t="s">
        <v>198</v>
      </c>
      <c r="C1195" t="str">
        <f t="shared" si="153"/>
        <v>09238800156</v>
      </c>
      <c r="D1195" t="str">
        <f t="shared" si="153"/>
        <v>09238800156</v>
      </c>
      <c r="E1195" t="s">
        <v>52</v>
      </c>
      <c r="F1195">
        <v>2015</v>
      </c>
      <c r="G1195" t="str">
        <f>"          1023660990"</f>
        <v xml:space="preserve">          1023660990</v>
      </c>
      <c r="H1195" s="3">
        <v>42149</v>
      </c>
      <c r="I1195" s="3">
        <v>42160</v>
      </c>
      <c r="J1195" s="3">
        <v>42151</v>
      </c>
      <c r="K1195" s="3">
        <v>42211</v>
      </c>
      <c r="L1195"/>
      <c r="N1195"/>
      <c r="O1195" s="4">
        <v>1838.1</v>
      </c>
      <c r="P1195">
        <v>205</v>
      </c>
      <c r="Q1195" s="4">
        <v>376810.5</v>
      </c>
      <c r="R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 s="3">
        <v>42562</v>
      </c>
      <c r="AC1195" t="s">
        <v>53</v>
      </c>
      <c r="AD1195" t="s">
        <v>53</v>
      </c>
      <c r="AK1195">
        <v>0</v>
      </c>
      <c r="AU1195" s="3">
        <v>42416</v>
      </c>
      <c r="AV1195" s="3">
        <v>42416</v>
      </c>
      <c r="AW1195" t="s">
        <v>54</v>
      </c>
      <c r="AX1195" t="str">
        <f t="shared" si="154"/>
        <v>FOR</v>
      </c>
      <c r="AY1195" t="s">
        <v>55</v>
      </c>
    </row>
    <row r="1196" spans="1:51" hidden="1">
      <c r="A1196">
        <v>101130</v>
      </c>
      <c r="B1196" t="s">
        <v>198</v>
      </c>
      <c r="C1196" t="str">
        <f t="shared" si="153"/>
        <v>09238800156</v>
      </c>
      <c r="D1196" t="str">
        <f t="shared" si="153"/>
        <v>09238800156</v>
      </c>
      <c r="E1196" t="s">
        <v>52</v>
      </c>
      <c r="F1196">
        <v>2015</v>
      </c>
      <c r="G1196" t="str">
        <f>"          1023660991"</f>
        <v xml:space="preserve">          1023660991</v>
      </c>
      <c r="H1196" s="3">
        <v>42149</v>
      </c>
      <c r="I1196" s="3">
        <v>42160</v>
      </c>
      <c r="J1196" s="3">
        <v>42151</v>
      </c>
      <c r="K1196" s="3">
        <v>42211</v>
      </c>
      <c r="L1196"/>
      <c r="N1196"/>
      <c r="O1196" s="4">
        <v>2875.16</v>
      </c>
      <c r="P1196">
        <v>205</v>
      </c>
      <c r="Q1196" s="4">
        <v>589407.80000000005</v>
      </c>
      <c r="R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0</v>
      </c>
      <c r="AB1196" s="3">
        <v>42562</v>
      </c>
      <c r="AC1196" t="s">
        <v>53</v>
      </c>
      <c r="AD1196" t="s">
        <v>53</v>
      </c>
      <c r="AK1196">
        <v>0</v>
      </c>
      <c r="AU1196" s="3">
        <v>42416</v>
      </c>
      <c r="AV1196" s="3">
        <v>42416</v>
      </c>
      <c r="AW1196" t="s">
        <v>54</v>
      </c>
      <c r="AX1196" t="str">
        <f t="shared" si="154"/>
        <v>FOR</v>
      </c>
      <c r="AY1196" t="s">
        <v>55</v>
      </c>
    </row>
    <row r="1197" spans="1:51" hidden="1">
      <c r="A1197">
        <v>101130</v>
      </c>
      <c r="B1197" t="s">
        <v>198</v>
      </c>
      <c r="C1197" t="str">
        <f t="shared" si="153"/>
        <v>09238800156</v>
      </c>
      <c r="D1197" t="str">
        <f t="shared" si="153"/>
        <v>09238800156</v>
      </c>
      <c r="E1197" t="s">
        <v>52</v>
      </c>
      <c r="F1197">
        <v>2015</v>
      </c>
      <c r="G1197" t="str">
        <f>"          1023664841"</f>
        <v xml:space="preserve">          1023664841</v>
      </c>
      <c r="H1197" s="3">
        <v>42158</v>
      </c>
      <c r="I1197" s="3">
        <v>42163</v>
      </c>
      <c r="J1197" s="3">
        <v>42160</v>
      </c>
      <c r="K1197" s="3">
        <v>42220</v>
      </c>
      <c r="L1197"/>
      <c r="N1197"/>
      <c r="O1197">
        <v>623.20000000000005</v>
      </c>
      <c r="P1197">
        <v>209</v>
      </c>
      <c r="Q1197" s="4">
        <v>130248.8</v>
      </c>
      <c r="R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 s="3">
        <v>42562</v>
      </c>
      <c r="AC1197" t="s">
        <v>53</v>
      </c>
      <c r="AD1197" t="s">
        <v>53</v>
      </c>
      <c r="AK1197">
        <v>0</v>
      </c>
      <c r="AU1197" s="3">
        <v>42429</v>
      </c>
      <c r="AV1197" s="3">
        <v>42429</v>
      </c>
      <c r="AW1197" t="s">
        <v>54</v>
      </c>
      <c r="AX1197" t="str">
        <f t="shared" si="154"/>
        <v>FOR</v>
      </c>
      <c r="AY1197" t="s">
        <v>55</v>
      </c>
    </row>
    <row r="1198" spans="1:51" hidden="1">
      <c r="A1198">
        <v>101130</v>
      </c>
      <c r="B1198" t="s">
        <v>198</v>
      </c>
      <c r="C1198" t="str">
        <f t="shared" si="153"/>
        <v>09238800156</v>
      </c>
      <c r="D1198" t="str">
        <f t="shared" si="153"/>
        <v>09238800156</v>
      </c>
      <c r="E1198" t="s">
        <v>52</v>
      </c>
      <c r="F1198">
        <v>2015</v>
      </c>
      <c r="G1198" t="str">
        <f>"          1023665352"</f>
        <v xml:space="preserve">          1023665352</v>
      </c>
      <c r="H1198" s="3">
        <v>42159</v>
      </c>
      <c r="I1198" s="3">
        <v>42164</v>
      </c>
      <c r="J1198" s="3">
        <v>42163</v>
      </c>
      <c r="K1198" s="3">
        <v>42223</v>
      </c>
      <c r="L1198"/>
      <c r="N1198"/>
      <c r="O1198" s="4">
        <v>3906</v>
      </c>
      <c r="P1198">
        <v>206</v>
      </c>
      <c r="Q1198" s="4">
        <v>804636</v>
      </c>
      <c r="R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0</v>
      </c>
      <c r="AB1198" s="3">
        <v>42562</v>
      </c>
      <c r="AC1198" t="s">
        <v>53</v>
      </c>
      <c r="AD1198" t="s">
        <v>53</v>
      </c>
      <c r="AK1198">
        <v>0</v>
      </c>
      <c r="AU1198" s="3">
        <v>42429</v>
      </c>
      <c r="AV1198" s="3">
        <v>42429</v>
      </c>
      <c r="AW1198" t="s">
        <v>54</v>
      </c>
      <c r="AX1198" t="str">
        <f t="shared" si="154"/>
        <v>FOR</v>
      </c>
      <c r="AY1198" t="s">
        <v>55</v>
      </c>
    </row>
    <row r="1199" spans="1:51" hidden="1">
      <c r="A1199">
        <v>101130</v>
      </c>
      <c r="B1199" t="s">
        <v>198</v>
      </c>
      <c r="C1199" t="str">
        <f t="shared" si="153"/>
        <v>09238800156</v>
      </c>
      <c r="D1199" t="str">
        <f t="shared" si="153"/>
        <v>09238800156</v>
      </c>
      <c r="E1199" t="s">
        <v>52</v>
      </c>
      <c r="F1199">
        <v>2015</v>
      </c>
      <c r="G1199" t="str">
        <f>"          1023666893"</f>
        <v xml:space="preserve">          1023666893</v>
      </c>
      <c r="H1199" s="3">
        <v>42164</v>
      </c>
      <c r="I1199" s="3">
        <v>42167</v>
      </c>
      <c r="J1199" s="3">
        <v>42166</v>
      </c>
      <c r="K1199" s="3">
        <v>42226</v>
      </c>
      <c r="L1199"/>
      <c r="N1199"/>
      <c r="O1199" s="4">
        <v>11400</v>
      </c>
      <c r="P1199">
        <v>203</v>
      </c>
      <c r="Q1199" s="4">
        <v>2314200</v>
      </c>
      <c r="R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 s="3">
        <v>42562</v>
      </c>
      <c r="AC1199" t="s">
        <v>53</v>
      </c>
      <c r="AD1199" t="s">
        <v>53</v>
      </c>
      <c r="AK1199">
        <v>0</v>
      </c>
      <c r="AU1199" s="3">
        <v>42429</v>
      </c>
      <c r="AV1199" s="3">
        <v>42429</v>
      </c>
      <c r="AW1199" t="s">
        <v>54</v>
      </c>
      <c r="AX1199" t="str">
        <f t="shared" si="154"/>
        <v>FOR</v>
      </c>
      <c r="AY1199" t="s">
        <v>55</v>
      </c>
    </row>
    <row r="1200" spans="1:51" hidden="1">
      <c r="A1200">
        <v>101130</v>
      </c>
      <c r="B1200" t="s">
        <v>198</v>
      </c>
      <c r="C1200" t="str">
        <f t="shared" si="153"/>
        <v>09238800156</v>
      </c>
      <c r="D1200" t="str">
        <f t="shared" si="153"/>
        <v>09238800156</v>
      </c>
      <c r="E1200" t="s">
        <v>52</v>
      </c>
      <c r="F1200">
        <v>2015</v>
      </c>
      <c r="G1200" t="str">
        <f>"          1023667561"</f>
        <v xml:space="preserve">          1023667561</v>
      </c>
      <c r="H1200" s="3">
        <v>42165</v>
      </c>
      <c r="I1200" s="3">
        <v>42167</v>
      </c>
      <c r="J1200" s="3">
        <v>42166</v>
      </c>
      <c r="K1200" s="3">
        <v>42226</v>
      </c>
      <c r="L1200"/>
      <c r="N1200"/>
      <c r="O1200">
        <v>400</v>
      </c>
      <c r="P1200">
        <v>203</v>
      </c>
      <c r="Q1200" s="4">
        <v>81200</v>
      </c>
      <c r="R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 s="3">
        <v>42562</v>
      </c>
      <c r="AC1200" t="s">
        <v>53</v>
      </c>
      <c r="AD1200" t="s">
        <v>53</v>
      </c>
      <c r="AK1200">
        <v>0</v>
      </c>
      <c r="AU1200" s="3">
        <v>42429</v>
      </c>
      <c r="AV1200" s="3">
        <v>42429</v>
      </c>
      <c r="AW1200" t="s">
        <v>54</v>
      </c>
      <c r="AX1200" t="str">
        <f t="shared" si="154"/>
        <v>FOR</v>
      </c>
      <c r="AY1200" t="s">
        <v>55</v>
      </c>
    </row>
    <row r="1201" spans="1:51" hidden="1">
      <c r="A1201">
        <v>101130</v>
      </c>
      <c r="B1201" t="s">
        <v>198</v>
      </c>
      <c r="C1201" t="str">
        <f t="shared" si="153"/>
        <v>09238800156</v>
      </c>
      <c r="D1201" t="str">
        <f t="shared" si="153"/>
        <v>09238800156</v>
      </c>
      <c r="E1201" t="s">
        <v>52</v>
      </c>
      <c r="F1201">
        <v>2015</v>
      </c>
      <c r="G1201" t="str">
        <f>"          1023667562"</f>
        <v xml:space="preserve">          1023667562</v>
      </c>
      <c r="H1201" s="3">
        <v>42165</v>
      </c>
      <c r="I1201" s="3">
        <v>42167</v>
      </c>
      <c r="J1201" s="3">
        <v>42166</v>
      </c>
      <c r="K1201" s="3">
        <v>42226</v>
      </c>
      <c r="L1201"/>
      <c r="N1201"/>
      <c r="O1201">
        <v>495</v>
      </c>
      <c r="P1201">
        <v>203</v>
      </c>
      <c r="Q1201" s="4">
        <v>100485</v>
      </c>
      <c r="R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0</v>
      </c>
      <c r="AB1201" s="3">
        <v>42562</v>
      </c>
      <c r="AC1201" t="s">
        <v>53</v>
      </c>
      <c r="AD1201" t="s">
        <v>53</v>
      </c>
      <c r="AK1201">
        <v>0</v>
      </c>
      <c r="AU1201" s="3">
        <v>42429</v>
      </c>
      <c r="AV1201" s="3">
        <v>42429</v>
      </c>
      <c r="AW1201" t="s">
        <v>54</v>
      </c>
      <c r="AX1201" t="str">
        <f t="shared" si="154"/>
        <v>FOR</v>
      </c>
      <c r="AY1201" t="s">
        <v>55</v>
      </c>
    </row>
    <row r="1202" spans="1:51" hidden="1">
      <c r="A1202">
        <v>101130</v>
      </c>
      <c r="B1202" t="s">
        <v>198</v>
      </c>
      <c r="C1202" t="str">
        <f t="shared" si="153"/>
        <v>09238800156</v>
      </c>
      <c r="D1202" t="str">
        <f t="shared" si="153"/>
        <v>09238800156</v>
      </c>
      <c r="E1202" t="s">
        <v>52</v>
      </c>
      <c r="F1202">
        <v>2015</v>
      </c>
      <c r="G1202" t="str">
        <f>"          1023668202"</f>
        <v xml:space="preserve">          1023668202</v>
      </c>
      <c r="H1202" s="3">
        <v>42166</v>
      </c>
      <c r="I1202" s="3">
        <v>42167</v>
      </c>
      <c r="J1202" s="3">
        <v>42167</v>
      </c>
      <c r="K1202" s="3">
        <v>42227</v>
      </c>
      <c r="L1202"/>
      <c r="N1202"/>
      <c r="O1202">
        <v>600</v>
      </c>
      <c r="P1202">
        <v>202</v>
      </c>
      <c r="Q1202" s="4">
        <v>121200</v>
      </c>
      <c r="R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 s="3">
        <v>42562</v>
      </c>
      <c r="AC1202" t="s">
        <v>53</v>
      </c>
      <c r="AD1202" t="s">
        <v>53</v>
      </c>
      <c r="AK1202">
        <v>0</v>
      </c>
      <c r="AU1202" s="3">
        <v>42429</v>
      </c>
      <c r="AV1202" s="3">
        <v>42429</v>
      </c>
      <c r="AW1202" t="s">
        <v>54</v>
      </c>
      <c r="AX1202" t="str">
        <f t="shared" si="154"/>
        <v>FOR</v>
      </c>
      <c r="AY1202" t="s">
        <v>55</v>
      </c>
    </row>
    <row r="1203" spans="1:51" hidden="1">
      <c r="A1203">
        <v>101130</v>
      </c>
      <c r="B1203" t="s">
        <v>198</v>
      </c>
      <c r="C1203" t="str">
        <f t="shared" si="153"/>
        <v>09238800156</v>
      </c>
      <c r="D1203" t="str">
        <f t="shared" si="153"/>
        <v>09238800156</v>
      </c>
      <c r="E1203" t="s">
        <v>52</v>
      </c>
      <c r="F1203">
        <v>2015</v>
      </c>
      <c r="G1203" t="str">
        <f>"          1023668656"</f>
        <v xml:space="preserve">          1023668656</v>
      </c>
      <c r="H1203" s="3">
        <v>42167</v>
      </c>
      <c r="I1203" s="3">
        <v>42171</v>
      </c>
      <c r="J1203" s="3">
        <v>42170</v>
      </c>
      <c r="K1203" s="3">
        <v>42230</v>
      </c>
      <c r="L1203"/>
      <c r="N1203"/>
      <c r="O1203">
        <v>486</v>
      </c>
      <c r="P1203">
        <v>199</v>
      </c>
      <c r="Q1203" s="4">
        <v>96714</v>
      </c>
      <c r="R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0</v>
      </c>
      <c r="AB1203" s="3">
        <v>42562</v>
      </c>
      <c r="AC1203" t="s">
        <v>53</v>
      </c>
      <c r="AD1203" t="s">
        <v>53</v>
      </c>
      <c r="AK1203">
        <v>0</v>
      </c>
      <c r="AU1203" s="3">
        <v>42429</v>
      </c>
      <c r="AV1203" s="3">
        <v>42429</v>
      </c>
      <c r="AW1203" t="s">
        <v>54</v>
      </c>
      <c r="AX1203" t="str">
        <f t="shared" si="154"/>
        <v>FOR</v>
      </c>
      <c r="AY1203" t="s">
        <v>55</v>
      </c>
    </row>
    <row r="1204" spans="1:51" hidden="1">
      <c r="A1204">
        <v>101130</v>
      </c>
      <c r="B1204" t="s">
        <v>198</v>
      </c>
      <c r="C1204" t="str">
        <f t="shared" si="153"/>
        <v>09238800156</v>
      </c>
      <c r="D1204" t="str">
        <f t="shared" si="153"/>
        <v>09238800156</v>
      </c>
      <c r="E1204" t="s">
        <v>52</v>
      </c>
      <c r="F1204">
        <v>2015</v>
      </c>
      <c r="G1204" t="str">
        <f>"          1023672889"</f>
        <v xml:space="preserve">          1023672889</v>
      </c>
      <c r="H1204" s="3">
        <v>42178</v>
      </c>
      <c r="I1204" s="3">
        <v>42186</v>
      </c>
      <c r="J1204" s="3">
        <v>42182</v>
      </c>
      <c r="K1204" s="3">
        <v>42242</v>
      </c>
      <c r="L1204"/>
      <c r="N1204"/>
      <c r="O1204" s="4">
        <v>19811.2</v>
      </c>
      <c r="P1204">
        <v>187</v>
      </c>
      <c r="Q1204" s="4">
        <v>3704694.4</v>
      </c>
      <c r="R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 s="3">
        <v>42562</v>
      </c>
      <c r="AC1204" t="s">
        <v>53</v>
      </c>
      <c r="AD1204" t="s">
        <v>53</v>
      </c>
      <c r="AK1204">
        <v>0</v>
      </c>
      <c r="AU1204" s="3">
        <v>42429</v>
      </c>
      <c r="AV1204" s="3">
        <v>42429</v>
      </c>
      <c r="AW1204" t="s">
        <v>54</v>
      </c>
      <c r="AX1204" t="str">
        <f t="shared" si="154"/>
        <v>FOR</v>
      </c>
      <c r="AY1204" t="s">
        <v>55</v>
      </c>
    </row>
    <row r="1205" spans="1:51">
      <c r="A1205">
        <v>101130</v>
      </c>
      <c r="B1205" t="s">
        <v>198</v>
      </c>
      <c r="C1205" t="str">
        <f t="shared" si="153"/>
        <v>09238800156</v>
      </c>
      <c r="D1205" t="str">
        <f t="shared" si="153"/>
        <v>09238800156</v>
      </c>
      <c r="E1205" t="s">
        <v>52</v>
      </c>
      <c r="F1205">
        <v>2015</v>
      </c>
      <c r="G1205" t="str">
        <f>"          1023683569"</f>
        <v xml:space="preserve">          1023683569</v>
      </c>
      <c r="H1205" s="3">
        <v>42202</v>
      </c>
      <c r="I1205" s="3">
        <v>42229</v>
      </c>
      <c r="J1205" s="3">
        <v>42220</v>
      </c>
      <c r="K1205" s="3">
        <v>42280</v>
      </c>
      <c r="L1205" s="1">
        <v>225</v>
      </c>
      <c r="M1205">
        <v>240</v>
      </c>
      <c r="N1205" s="5">
        <v>54000</v>
      </c>
      <c r="O1205">
        <v>225</v>
      </c>
      <c r="P1205">
        <v>240</v>
      </c>
      <c r="Q1205" s="4">
        <v>54000</v>
      </c>
      <c r="R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 s="3">
        <v>42562</v>
      </c>
      <c r="AC1205" t="s">
        <v>53</v>
      </c>
      <c r="AD1205" t="s">
        <v>53</v>
      </c>
      <c r="AK1205">
        <v>0</v>
      </c>
      <c r="AU1205" s="3">
        <v>42520</v>
      </c>
      <c r="AV1205" s="3">
        <v>42520</v>
      </c>
      <c r="AW1205" t="s">
        <v>54</v>
      </c>
      <c r="AX1205" t="str">
        <f t="shared" si="154"/>
        <v>FOR</v>
      </c>
      <c r="AY1205" t="s">
        <v>55</v>
      </c>
    </row>
    <row r="1206" spans="1:51">
      <c r="A1206">
        <v>101130</v>
      </c>
      <c r="B1206" t="s">
        <v>198</v>
      </c>
      <c r="C1206" t="str">
        <f t="shared" si="153"/>
        <v>09238800156</v>
      </c>
      <c r="D1206" t="str">
        <f t="shared" si="153"/>
        <v>09238800156</v>
      </c>
      <c r="E1206" t="s">
        <v>52</v>
      </c>
      <c r="F1206">
        <v>2015</v>
      </c>
      <c r="G1206" t="str">
        <f>"          1023683970"</f>
        <v xml:space="preserve">          1023683970</v>
      </c>
      <c r="H1206" s="3">
        <v>42205</v>
      </c>
      <c r="I1206" s="3">
        <v>42229</v>
      </c>
      <c r="J1206" s="3">
        <v>42220</v>
      </c>
      <c r="K1206" s="3">
        <v>42280</v>
      </c>
      <c r="L1206" s="1">
        <v>82.5</v>
      </c>
      <c r="M1206">
        <v>240</v>
      </c>
      <c r="N1206" s="5">
        <v>19800</v>
      </c>
      <c r="O1206">
        <v>82.5</v>
      </c>
      <c r="P1206">
        <v>240</v>
      </c>
      <c r="Q1206" s="4">
        <v>19800</v>
      </c>
      <c r="R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 s="3">
        <v>42562</v>
      </c>
      <c r="AC1206" t="s">
        <v>53</v>
      </c>
      <c r="AD1206" t="s">
        <v>53</v>
      </c>
      <c r="AK1206">
        <v>0</v>
      </c>
      <c r="AU1206" s="3">
        <v>42520</v>
      </c>
      <c r="AV1206" s="3">
        <v>42520</v>
      </c>
      <c r="AW1206" t="s">
        <v>54</v>
      </c>
      <c r="AX1206" t="str">
        <f t="shared" si="154"/>
        <v>FOR</v>
      </c>
      <c r="AY1206" t="s">
        <v>55</v>
      </c>
    </row>
    <row r="1207" spans="1:51">
      <c r="A1207">
        <v>101130</v>
      </c>
      <c r="B1207" t="s">
        <v>198</v>
      </c>
      <c r="C1207" t="str">
        <f t="shared" si="153"/>
        <v>09238800156</v>
      </c>
      <c r="D1207" t="str">
        <f t="shared" si="153"/>
        <v>09238800156</v>
      </c>
      <c r="E1207" t="s">
        <v>52</v>
      </c>
      <c r="F1207">
        <v>2015</v>
      </c>
      <c r="G1207" t="str">
        <f>"          1023685726"</f>
        <v xml:space="preserve">          1023685726</v>
      </c>
      <c r="H1207" s="3">
        <v>42208</v>
      </c>
      <c r="I1207" s="3">
        <v>42229</v>
      </c>
      <c r="J1207" s="3">
        <v>42220</v>
      </c>
      <c r="K1207" s="3">
        <v>42280</v>
      </c>
      <c r="L1207" s="1">
        <v>412.5</v>
      </c>
      <c r="M1207">
        <v>240</v>
      </c>
      <c r="N1207" s="5">
        <v>99000</v>
      </c>
      <c r="O1207">
        <v>412.5</v>
      </c>
      <c r="P1207">
        <v>240</v>
      </c>
      <c r="Q1207" s="4">
        <v>99000</v>
      </c>
      <c r="R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0</v>
      </c>
      <c r="AB1207" s="3">
        <v>42562</v>
      </c>
      <c r="AC1207" t="s">
        <v>53</v>
      </c>
      <c r="AD1207" t="s">
        <v>53</v>
      </c>
      <c r="AK1207">
        <v>0</v>
      </c>
      <c r="AU1207" s="3">
        <v>42520</v>
      </c>
      <c r="AV1207" s="3">
        <v>42520</v>
      </c>
      <c r="AW1207" t="s">
        <v>54</v>
      </c>
      <c r="AX1207" t="str">
        <f t="shared" si="154"/>
        <v>FOR</v>
      </c>
      <c r="AY1207" t="s">
        <v>55</v>
      </c>
    </row>
    <row r="1208" spans="1:51">
      <c r="A1208">
        <v>101130</v>
      </c>
      <c r="B1208" t="s">
        <v>198</v>
      </c>
      <c r="C1208" t="str">
        <f t="shared" si="153"/>
        <v>09238800156</v>
      </c>
      <c r="D1208" t="str">
        <f t="shared" si="153"/>
        <v>09238800156</v>
      </c>
      <c r="E1208" t="s">
        <v>52</v>
      </c>
      <c r="F1208">
        <v>2015</v>
      </c>
      <c r="G1208" t="str">
        <f>"          1023686851"</f>
        <v xml:space="preserve">          1023686851</v>
      </c>
      <c r="H1208" s="3">
        <v>42209</v>
      </c>
      <c r="I1208" s="3">
        <v>42251</v>
      </c>
      <c r="J1208" s="3">
        <v>42249</v>
      </c>
      <c r="K1208" s="3">
        <v>42309</v>
      </c>
      <c r="L1208" s="1">
        <v>405</v>
      </c>
      <c r="M1208">
        <v>211</v>
      </c>
      <c r="N1208" s="5">
        <v>85455</v>
      </c>
      <c r="O1208">
        <v>405</v>
      </c>
      <c r="P1208">
        <v>211</v>
      </c>
      <c r="Q1208" s="4">
        <v>85455</v>
      </c>
      <c r="R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 s="3">
        <v>42562</v>
      </c>
      <c r="AC1208" t="s">
        <v>53</v>
      </c>
      <c r="AD1208" t="s">
        <v>53</v>
      </c>
      <c r="AK1208">
        <v>0</v>
      </c>
      <c r="AU1208" s="3">
        <v>42520</v>
      </c>
      <c r="AV1208" s="3">
        <v>42520</v>
      </c>
      <c r="AW1208" t="s">
        <v>54</v>
      </c>
      <c r="AX1208" t="str">
        <f t="shared" si="154"/>
        <v>FOR</v>
      </c>
      <c r="AY1208" t="s">
        <v>55</v>
      </c>
    </row>
    <row r="1209" spans="1:51">
      <c r="A1209">
        <v>101130</v>
      </c>
      <c r="B1209" t="s">
        <v>198</v>
      </c>
      <c r="C1209" t="str">
        <f t="shared" si="153"/>
        <v>09238800156</v>
      </c>
      <c r="D1209" t="str">
        <f t="shared" si="153"/>
        <v>09238800156</v>
      </c>
      <c r="E1209" t="s">
        <v>52</v>
      </c>
      <c r="F1209">
        <v>2015</v>
      </c>
      <c r="G1209" t="str">
        <f>"          1023687176"</f>
        <v xml:space="preserve">          1023687176</v>
      </c>
      <c r="H1209" s="3">
        <v>42212</v>
      </c>
      <c r="I1209" s="3">
        <v>42251</v>
      </c>
      <c r="J1209" s="3">
        <v>42249</v>
      </c>
      <c r="K1209" s="3">
        <v>42309</v>
      </c>
      <c r="L1209" s="5">
        <v>1500</v>
      </c>
      <c r="M1209">
        <v>211</v>
      </c>
      <c r="N1209" s="5">
        <v>316500</v>
      </c>
      <c r="O1209" s="4">
        <v>1500</v>
      </c>
      <c r="P1209">
        <v>211</v>
      </c>
      <c r="Q1209" s="4">
        <v>316500</v>
      </c>
      <c r="R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0</v>
      </c>
      <c r="AB1209" s="3">
        <v>42562</v>
      </c>
      <c r="AC1209" t="s">
        <v>53</v>
      </c>
      <c r="AD1209" t="s">
        <v>53</v>
      </c>
      <c r="AK1209">
        <v>0</v>
      </c>
      <c r="AU1209" s="3">
        <v>42520</v>
      </c>
      <c r="AV1209" s="3">
        <v>42520</v>
      </c>
      <c r="AW1209" t="s">
        <v>54</v>
      </c>
      <c r="AX1209" t="str">
        <f t="shared" si="154"/>
        <v>FOR</v>
      </c>
      <c r="AY1209" t="s">
        <v>55</v>
      </c>
    </row>
    <row r="1210" spans="1:51">
      <c r="A1210">
        <v>101130</v>
      </c>
      <c r="B1210" t="s">
        <v>198</v>
      </c>
      <c r="C1210" t="str">
        <f t="shared" si="153"/>
        <v>09238800156</v>
      </c>
      <c r="D1210" t="str">
        <f t="shared" si="153"/>
        <v>09238800156</v>
      </c>
      <c r="E1210" t="s">
        <v>52</v>
      </c>
      <c r="F1210">
        <v>2015</v>
      </c>
      <c r="G1210" t="str">
        <f>"          1023688516"</f>
        <v xml:space="preserve">          1023688516</v>
      </c>
      <c r="H1210" s="3">
        <v>42213</v>
      </c>
      <c r="I1210" s="3">
        <v>42251</v>
      </c>
      <c r="J1210" s="3">
        <v>42249</v>
      </c>
      <c r="K1210" s="3">
        <v>42309</v>
      </c>
      <c r="L1210" s="1">
        <v>260</v>
      </c>
      <c r="M1210">
        <v>211</v>
      </c>
      <c r="N1210" s="5">
        <v>54860</v>
      </c>
      <c r="O1210">
        <v>260</v>
      </c>
      <c r="P1210">
        <v>211</v>
      </c>
      <c r="Q1210" s="4">
        <v>54860</v>
      </c>
      <c r="R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0</v>
      </c>
      <c r="AB1210" s="3">
        <v>42562</v>
      </c>
      <c r="AC1210" t="s">
        <v>53</v>
      </c>
      <c r="AD1210" t="s">
        <v>53</v>
      </c>
      <c r="AK1210">
        <v>0</v>
      </c>
      <c r="AU1210" s="3">
        <v>42520</v>
      </c>
      <c r="AV1210" s="3">
        <v>42520</v>
      </c>
      <c r="AW1210" t="s">
        <v>54</v>
      </c>
      <c r="AX1210" t="str">
        <f t="shared" si="154"/>
        <v>FOR</v>
      </c>
      <c r="AY1210" t="s">
        <v>55</v>
      </c>
    </row>
    <row r="1211" spans="1:51">
      <c r="A1211">
        <v>101130</v>
      </c>
      <c r="B1211" t="s">
        <v>198</v>
      </c>
      <c r="C1211" t="str">
        <f t="shared" si="153"/>
        <v>09238800156</v>
      </c>
      <c r="D1211" t="str">
        <f t="shared" si="153"/>
        <v>09238800156</v>
      </c>
      <c r="E1211" t="s">
        <v>52</v>
      </c>
      <c r="F1211">
        <v>2015</v>
      </c>
      <c r="G1211" t="str">
        <f>"          1023700809"</f>
        <v xml:space="preserve">          1023700809</v>
      </c>
      <c r="H1211" s="3">
        <v>42255</v>
      </c>
      <c r="I1211" s="3">
        <v>42282</v>
      </c>
      <c r="J1211" s="3">
        <v>42277</v>
      </c>
      <c r="K1211" s="3">
        <v>42337</v>
      </c>
      <c r="L1211" s="5">
        <v>6223</v>
      </c>
      <c r="M1211">
        <v>183</v>
      </c>
      <c r="N1211" s="5">
        <v>1138809</v>
      </c>
      <c r="O1211" s="4">
        <v>6223</v>
      </c>
      <c r="P1211">
        <v>183</v>
      </c>
      <c r="Q1211" s="4">
        <v>1138809</v>
      </c>
      <c r="R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0</v>
      </c>
      <c r="AB1211" s="3">
        <v>42562</v>
      </c>
      <c r="AC1211" t="s">
        <v>53</v>
      </c>
      <c r="AD1211" t="s">
        <v>53</v>
      </c>
      <c r="AK1211">
        <v>0</v>
      </c>
      <c r="AU1211" s="3">
        <v>42520</v>
      </c>
      <c r="AV1211" s="3">
        <v>42520</v>
      </c>
      <c r="AW1211" t="s">
        <v>54</v>
      </c>
      <c r="AX1211" t="str">
        <f t="shared" si="154"/>
        <v>FOR</v>
      </c>
      <c r="AY1211" t="s">
        <v>55</v>
      </c>
    </row>
    <row r="1212" spans="1:51">
      <c r="A1212">
        <v>101130</v>
      </c>
      <c r="B1212" t="s">
        <v>198</v>
      </c>
      <c r="C1212" t="str">
        <f t="shared" si="153"/>
        <v>09238800156</v>
      </c>
      <c r="D1212" t="str">
        <f t="shared" si="153"/>
        <v>09238800156</v>
      </c>
      <c r="E1212" t="s">
        <v>52</v>
      </c>
      <c r="F1212">
        <v>2015</v>
      </c>
      <c r="G1212" t="str">
        <f>"          1023702747"</f>
        <v xml:space="preserve">          1023702747</v>
      </c>
      <c r="H1212" s="3">
        <v>42261</v>
      </c>
      <c r="I1212" s="3">
        <v>42283</v>
      </c>
      <c r="J1212" s="3">
        <v>42282</v>
      </c>
      <c r="K1212" s="3">
        <v>42342</v>
      </c>
      <c r="L1212" s="1">
        <v>621</v>
      </c>
      <c r="M1212">
        <v>178</v>
      </c>
      <c r="N1212" s="5">
        <v>110538</v>
      </c>
      <c r="O1212">
        <v>621</v>
      </c>
      <c r="P1212">
        <v>178</v>
      </c>
      <c r="Q1212" s="4">
        <v>110538</v>
      </c>
      <c r="R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0</v>
      </c>
      <c r="AB1212" s="3">
        <v>42562</v>
      </c>
      <c r="AC1212" t="s">
        <v>53</v>
      </c>
      <c r="AD1212" t="s">
        <v>53</v>
      </c>
      <c r="AK1212">
        <v>0</v>
      </c>
      <c r="AU1212" s="3">
        <v>42520</v>
      </c>
      <c r="AV1212" s="3">
        <v>42520</v>
      </c>
      <c r="AW1212" t="s">
        <v>54</v>
      </c>
      <c r="AX1212" t="str">
        <f t="shared" si="154"/>
        <v>FOR</v>
      </c>
      <c r="AY1212" t="s">
        <v>55</v>
      </c>
    </row>
    <row r="1213" spans="1:51">
      <c r="A1213">
        <v>101130</v>
      </c>
      <c r="B1213" t="s">
        <v>198</v>
      </c>
      <c r="C1213" t="str">
        <f t="shared" si="153"/>
        <v>09238800156</v>
      </c>
      <c r="D1213" t="str">
        <f t="shared" si="153"/>
        <v>09238800156</v>
      </c>
      <c r="E1213" t="s">
        <v>52</v>
      </c>
      <c r="F1213">
        <v>2015</v>
      </c>
      <c r="G1213" t="str">
        <f>"          1023703731"</f>
        <v xml:space="preserve">          1023703731</v>
      </c>
      <c r="H1213" s="3">
        <v>42263</v>
      </c>
      <c r="I1213" s="3">
        <v>42284</v>
      </c>
      <c r="J1213" s="3">
        <v>42283</v>
      </c>
      <c r="K1213" s="3">
        <v>42343</v>
      </c>
      <c r="L1213" s="1">
        <v>300</v>
      </c>
      <c r="M1213">
        <v>177</v>
      </c>
      <c r="N1213" s="5">
        <v>53100</v>
      </c>
      <c r="O1213">
        <v>300</v>
      </c>
      <c r="P1213">
        <v>177</v>
      </c>
      <c r="Q1213" s="4">
        <v>53100</v>
      </c>
      <c r="R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 s="3">
        <v>42562</v>
      </c>
      <c r="AC1213" t="s">
        <v>53</v>
      </c>
      <c r="AD1213" t="s">
        <v>53</v>
      </c>
      <c r="AK1213">
        <v>0</v>
      </c>
      <c r="AU1213" s="3">
        <v>42520</v>
      </c>
      <c r="AV1213" s="3">
        <v>42520</v>
      </c>
      <c r="AW1213" t="s">
        <v>54</v>
      </c>
      <c r="AX1213" t="str">
        <f t="shared" si="154"/>
        <v>FOR</v>
      </c>
      <c r="AY1213" t="s">
        <v>55</v>
      </c>
    </row>
    <row r="1214" spans="1:51">
      <c r="A1214">
        <v>101130</v>
      </c>
      <c r="B1214" t="s">
        <v>198</v>
      </c>
      <c r="C1214" t="str">
        <f t="shared" si="153"/>
        <v>09238800156</v>
      </c>
      <c r="D1214" t="str">
        <f t="shared" si="153"/>
        <v>09238800156</v>
      </c>
      <c r="E1214" t="s">
        <v>52</v>
      </c>
      <c r="F1214">
        <v>2015</v>
      </c>
      <c r="G1214" t="str">
        <f>"          1027493363"</f>
        <v xml:space="preserve">          1027493363</v>
      </c>
      <c r="H1214" s="3">
        <v>42271</v>
      </c>
      <c r="I1214" s="3">
        <v>42296</v>
      </c>
      <c r="J1214" s="3">
        <v>42293</v>
      </c>
      <c r="K1214" s="3">
        <v>42353</v>
      </c>
      <c r="L1214" s="5">
        <v>1412.09</v>
      </c>
      <c r="M1214">
        <v>167</v>
      </c>
      <c r="N1214" s="5">
        <v>235819.03</v>
      </c>
      <c r="O1214" s="4">
        <v>1412.09</v>
      </c>
      <c r="P1214">
        <v>167</v>
      </c>
      <c r="Q1214" s="4">
        <v>235819.03</v>
      </c>
      <c r="R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 s="3">
        <v>42562</v>
      </c>
      <c r="AC1214" t="s">
        <v>53</v>
      </c>
      <c r="AD1214" t="s">
        <v>53</v>
      </c>
      <c r="AK1214">
        <v>0</v>
      </c>
      <c r="AU1214" s="3">
        <v>42520</v>
      </c>
      <c r="AV1214" s="3">
        <v>42520</v>
      </c>
      <c r="AW1214" t="s">
        <v>54</v>
      </c>
      <c r="AX1214" t="str">
        <f t="shared" si="154"/>
        <v>FOR</v>
      </c>
      <c r="AY1214" t="s">
        <v>55</v>
      </c>
    </row>
    <row r="1215" spans="1:51">
      <c r="A1215">
        <v>101136</v>
      </c>
      <c r="B1215" t="s">
        <v>199</v>
      </c>
      <c r="C1215" t="str">
        <f>"00226250165"</f>
        <v>00226250165</v>
      </c>
      <c r="D1215" t="str">
        <f>"00226250165"</f>
        <v>00226250165</v>
      </c>
      <c r="E1215" t="s">
        <v>52</v>
      </c>
      <c r="F1215">
        <v>2015</v>
      </c>
      <c r="G1215" t="str">
        <f>"                7970"</f>
        <v xml:space="preserve">                7970</v>
      </c>
      <c r="H1215" s="3">
        <v>42296</v>
      </c>
      <c r="I1215" s="3">
        <v>42331</v>
      </c>
      <c r="J1215" s="3">
        <v>42331</v>
      </c>
      <c r="K1215" s="3">
        <v>42391</v>
      </c>
      <c r="L1215" s="1">
        <v>300</v>
      </c>
      <c r="M1215">
        <v>129</v>
      </c>
      <c r="N1215" s="5">
        <v>38700</v>
      </c>
      <c r="O1215">
        <v>300</v>
      </c>
      <c r="P1215">
        <v>129</v>
      </c>
      <c r="Q1215" s="4">
        <v>38700</v>
      </c>
      <c r="R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0</v>
      </c>
      <c r="AB1215" s="3">
        <v>42562</v>
      </c>
      <c r="AC1215" t="s">
        <v>53</v>
      </c>
      <c r="AD1215" t="s">
        <v>53</v>
      </c>
      <c r="AK1215">
        <v>0</v>
      </c>
      <c r="AU1215" s="3">
        <v>42520</v>
      </c>
      <c r="AV1215" s="3">
        <v>42520</v>
      </c>
      <c r="AW1215" t="s">
        <v>54</v>
      </c>
      <c r="AX1215" t="str">
        <f t="shared" si="154"/>
        <v>FOR</v>
      </c>
      <c r="AY1215" t="s">
        <v>55</v>
      </c>
    </row>
    <row r="1216" spans="1:51" hidden="1">
      <c r="A1216">
        <v>101150</v>
      </c>
      <c r="B1216" t="s">
        <v>200</v>
      </c>
      <c r="C1216" t="str">
        <f>"01696821006"</f>
        <v>01696821006</v>
      </c>
      <c r="D1216" t="str">
        <f>"07146020586"</f>
        <v>07146020586</v>
      </c>
      <c r="E1216" t="s">
        <v>52</v>
      </c>
      <c r="F1216">
        <v>2015</v>
      </c>
      <c r="G1216" t="str">
        <f>"          1020021757"</f>
        <v xml:space="preserve">          1020021757</v>
      </c>
      <c r="H1216" s="3">
        <v>42058</v>
      </c>
      <c r="I1216" s="3">
        <v>42081</v>
      </c>
      <c r="J1216" s="3">
        <v>42081</v>
      </c>
      <c r="K1216" s="3">
        <v>42141</v>
      </c>
      <c r="L1216"/>
      <c r="N1216"/>
      <c r="O1216">
        <v>209.17</v>
      </c>
      <c r="P1216">
        <v>267</v>
      </c>
      <c r="Q1216" s="4">
        <v>55848.39</v>
      </c>
      <c r="R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 s="3">
        <v>42562</v>
      </c>
      <c r="AC1216" t="s">
        <v>53</v>
      </c>
      <c r="AD1216" t="s">
        <v>53</v>
      </c>
      <c r="AK1216">
        <v>0</v>
      </c>
      <c r="AU1216" s="3">
        <v>42408</v>
      </c>
      <c r="AV1216" s="3">
        <v>42408</v>
      </c>
      <c r="AW1216" t="s">
        <v>54</v>
      </c>
      <c r="AX1216" t="str">
        <f t="shared" si="154"/>
        <v>FOR</v>
      </c>
      <c r="AY1216" t="s">
        <v>55</v>
      </c>
    </row>
    <row r="1217" spans="1:51" hidden="1">
      <c r="A1217">
        <v>101150</v>
      </c>
      <c r="B1217" t="s">
        <v>200</v>
      </c>
      <c r="C1217" t="str">
        <f>"01696821006"</f>
        <v>01696821006</v>
      </c>
      <c r="D1217" t="str">
        <f>"07146020586"</f>
        <v>07146020586</v>
      </c>
      <c r="E1217" t="s">
        <v>52</v>
      </c>
      <c r="F1217">
        <v>2015</v>
      </c>
      <c r="G1217" t="str">
        <f>"          1020021758"</f>
        <v xml:space="preserve">          1020021758</v>
      </c>
      <c r="H1217" s="3">
        <v>42058</v>
      </c>
      <c r="I1217" s="3">
        <v>42080</v>
      </c>
      <c r="J1217" s="3">
        <v>42080</v>
      </c>
      <c r="K1217" s="3">
        <v>42140</v>
      </c>
      <c r="L1217"/>
      <c r="N1217"/>
      <c r="O1217">
        <v>100</v>
      </c>
      <c r="P1217">
        <v>268</v>
      </c>
      <c r="Q1217" s="4">
        <v>26800</v>
      </c>
      <c r="R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 s="3">
        <v>42562</v>
      </c>
      <c r="AC1217" t="s">
        <v>53</v>
      </c>
      <c r="AD1217" t="s">
        <v>53</v>
      </c>
      <c r="AK1217">
        <v>0</v>
      </c>
      <c r="AU1217" s="3">
        <v>42408</v>
      </c>
      <c r="AV1217" s="3">
        <v>42408</v>
      </c>
      <c r="AW1217" t="s">
        <v>54</v>
      </c>
      <c r="AX1217" t="str">
        <f t="shared" si="154"/>
        <v>FOR</v>
      </c>
      <c r="AY1217" t="s">
        <v>55</v>
      </c>
    </row>
    <row r="1218" spans="1:51" hidden="1">
      <c r="A1218">
        <v>101150</v>
      </c>
      <c r="B1218" t="s">
        <v>200</v>
      </c>
      <c r="C1218" t="str">
        <f>"01696821006"</f>
        <v>01696821006</v>
      </c>
      <c r="D1218" t="str">
        <f>"07146020586"</f>
        <v>07146020586</v>
      </c>
      <c r="E1218" t="s">
        <v>52</v>
      </c>
      <c r="F1218">
        <v>2015</v>
      </c>
      <c r="G1218" t="str">
        <f>"          1020027392"</f>
        <v xml:space="preserve">          1020027392</v>
      </c>
      <c r="H1218" s="3">
        <v>42060</v>
      </c>
      <c r="I1218" s="3">
        <v>42080</v>
      </c>
      <c r="J1218" s="3">
        <v>42080</v>
      </c>
      <c r="K1218" s="3">
        <v>42140</v>
      </c>
      <c r="L1218"/>
      <c r="N1218"/>
      <c r="O1218">
        <v>550</v>
      </c>
      <c r="P1218">
        <v>268</v>
      </c>
      <c r="Q1218" s="4">
        <v>147400</v>
      </c>
      <c r="R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0</v>
      </c>
      <c r="AB1218" s="3">
        <v>42562</v>
      </c>
      <c r="AC1218" t="s">
        <v>53</v>
      </c>
      <c r="AD1218" t="s">
        <v>53</v>
      </c>
      <c r="AK1218">
        <v>0</v>
      </c>
      <c r="AU1218" s="3">
        <v>42408</v>
      </c>
      <c r="AV1218" s="3">
        <v>42408</v>
      </c>
      <c r="AW1218" t="s">
        <v>54</v>
      </c>
      <c r="AX1218" t="str">
        <f t="shared" si="154"/>
        <v>FOR</v>
      </c>
      <c r="AY1218" t="s">
        <v>55</v>
      </c>
    </row>
    <row r="1219" spans="1:51" hidden="1">
      <c r="A1219">
        <v>101150</v>
      </c>
      <c r="B1219" t="s">
        <v>200</v>
      </c>
      <c r="C1219" t="str">
        <f>"01696821006"</f>
        <v>01696821006</v>
      </c>
      <c r="D1219" t="str">
        <f>"07146020586"</f>
        <v>07146020586</v>
      </c>
      <c r="E1219" t="s">
        <v>52</v>
      </c>
      <c r="F1219">
        <v>2015</v>
      </c>
      <c r="G1219" t="str">
        <f>"          1020028557"</f>
        <v xml:space="preserve">          1020028557</v>
      </c>
      <c r="H1219" s="3">
        <v>42063</v>
      </c>
      <c r="I1219" s="3">
        <v>42086</v>
      </c>
      <c r="J1219" s="3">
        <v>42086</v>
      </c>
      <c r="K1219" s="3">
        <v>42146</v>
      </c>
      <c r="L1219"/>
      <c r="N1219"/>
      <c r="O1219">
        <v>550</v>
      </c>
      <c r="P1219">
        <v>262</v>
      </c>
      <c r="Q1219" s="4">
        <v>144100</v>
      </c>
      <c r="R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 s="3">
        <v>42562</v>
      </c>
      <c r="AC1219" t="s">
        <v>53</v>
      </c>
      <c r="AD1219" t="s">
        <v>53</v>
      </c>
      <c r="AK1219">
        <v>0</v>
      </c>
      <c r="AU1219" s="3">
        <v>42408</v>
      </c>
      <c r="AV1219" s="3">
        <v>42408</v>
      </c>
      <c r="AW1219" t="s">
        <v>54</v>
      </c>
      <c r="AX1219" t="str">
        <f t="shared" si="154"/>
        <v>FOR</v>
      </c>
      <c r="AY1219" t="s">
        <v>55</v>
      </c>
    </row>
    <row r="1220" spans="1:51" hidden="1">
      <c r="A1220">
        <v>101150</v>
      </c>
      <c r="B1220" t="s">
        <v>200</v>
      </c>
      <c r="C1220" t="str">
        <f>"01696821006"</f>
        <v>01696821006</v>
      </c>
      <c r="D1220" t="str">
        <f>"07146020586"</f>
        <v>07146020586</v>
      </c>
      <c r="E1220" t="s">
        <v>52</v>
      </c>
      <c r="F1220">
        <v>2015</v>
      </c>
      <c r="G1220" t="str">
        <f>"          1020028558"</f>
        <v xml:space="preserve">          1020028558</v>
      </c>
      <c r="H1220" s="3">
        <v>42063</v>
      </c>
      <c r="I1220" s="3">
        <v>42086</v>
      </c>
      <c r="J1220" s="3">
        <v>42086</v>
      </c>
      <c r="K1220" s="3">
        <v>42146</v>
      </c>
      <c r="L1220"/>
      <c r="N1220"/>
      <c r="O1220">
        <v>100</v>
      </c>
      <c r="P1220">
        <v>262</v>
      </c>
      <c r="Q1220" s="4">
        <v>26200</v>
      </c>
      <c r="R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0</v>
      </c>
      <c r="AB1220" s="3">
        <v>42562</v>
      </c>
      <c r="AC1220" t="s">
        <v>53</v>
      </c>
      <c r="AD1220" t="s">
        <v>53</v>
      </c>
      <c r="AK1220">
        <v>0</v>
      </c>
      <c r="AU1220" s="3">
        <v>42408</v>
      </c>
      <c r="AV1220" s="3">
        <v>42408</v>
      </c>
      <c r="AW1220" t="s">
        <v>54</v>
      </c>
      <c r="AX1220" t="str">
        <f t="shared" si="154"/>
        <v>FOR</v>
      </c>
      <c r="AY1220" t="s">
        <v>55</v>
      </c>
    </row>
    <row r="1221" spans="1:51">
      <c r="A1221">
        <v>101170</v>
      </c>
      <c r="B1221" t="s">
        <v>201</v>
      </c>
      <c r="C1221" t="str">
        <f t="shared" ref="C1221:D1240" si="155">"00527500540"</f>
        <v>00527500540</v>
      </c>
      <c r="D1221" t="str">
        <f t="shared" si="155"/>
        <v>00527500540</v>
      </c>
      <c r="E1221" t="s">
        <v>52</v>
      </c>
      <c r="F1221">
        <v>2013</v>
      </c>
      <c r="G1221" t="str">
        <f>"              300547"</f>
        <v xml:space="preserve">              300547</v>
      </c>
      <c r="H1221" s="3">
        <v>41394</v>
      </c>
      <c r="I1221" s="3">
        <v>41445</v>
      </c>
      <c r="J1221" s="3">
        <v>41445</v>
      </c>
      <c r="K1221" s="3">
        <v>41535</v>
      </c>
      <c r="L1221" s="5">
        <v>42609.79</v>
      </c>
      <c r="M1221">
        <v>1000</v>
      </c>
      <c r="N1221" s="5">
        <v>42609790</v>
      </c>
      <c r="O1221" s="4">
        <v>42609.79</v>
      </c>
      <c r="P1221">
        <v>1000</v>
      </c>
      <c r="Q1221" s="4">
        <v>42609790</v>
      </c>
      <c r="R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0</v>
      </c>
      <c r="AB1221" s="3">
        <v>42562</v>
      </c>
      <c r="AC1221" t="s">
        <v>53</v>
      </c>
      <c r="AD1221" t="s">
        <v>53</v>
      </c>
      <c r="AK1221">
        <v>0</v>
      </c>
      <c r="AU1221" s="3">
        <v>42535</v>
      </c>
      <c r="AV1221" s="3">
        <v>42535</v>
      </c>
      <c r="AW1221" t="s">
        <v>54</v>
      </c>
      <c r="AX1221" t="str">
        <f t="shared" si="154"/>
        <v>FOR</v>
      </c>
      <c r="AY1221" t="s">
        <v>55</v>
      </c>
    </row>
    <row r="1222" spans="1:51">
      <c r="A1222">
        <v>101170</v>
      </c>
      <c r="B1222" t="s">
        <v>201</v>
      </c>
      <c r="C1222" t="str">
        <f t="shared" si="155"/>
        <v>00527500540</v>
      </c>
      <c r="D1222" t="str">
        <f t="shared" si="155"/>
        <v>00527500540</v>
      </c>
      <c r="E1222" t="s">
        <v>52</v>
      </c>
      <c r="F1222">
        <v>2014</v>
      </c>
      <c r="G1222" t="str">
        <f>"              300421"</f>
        <v xml:space="preserve">              300421</v>
      </c>
      <c r="H1222" s="3">
        <v>41729</v>
      </c>
      <c r="I1222" s="3">
        <v>42534</v>
      </c>
      <c r="J1222" s="3">
        <v>42534</v>
      </c>
      <c r="K1222" s="3">
        <v>42594</v>
      </c>
      <c r="L1222" s="5">
        <v>42961.93</v>
      </c>
      <c r="M1222">
        <v>-59</v>
      </c>
      <c r="N1222" s="5">
        <v>-2534753.87</v>
      </c>
      <c r="O1222" s="4">
        <v>42961.93</v>
      </c>
      <c r="P1222">
        <v>-59</v>
      </c>
      <c r="Q1222" s="4">
        <v>-2534753.87</v>
      </c>
      <c r="R1222">
        <v>0</v>
      </c>
      <c r="V1222">
        <v>0</v>
      </c>
      <c r="W1222" s="4">
        <v>42961.93</v>
      </c>
      <c r="X1222">
        <v>0</v>
      </c>
      <c r="Y1222">
        <v>0</v>
      </c>
      <c r="Z1222" s="4">
        <v>42961.93</v>
      </c>
      <c r="AA1222">
        <v>0</v>
      </c>
      <c r="AB1222" s="3">
        <v>42562</v>
      </c>
      <c r="AC1222" t="s">
        <v>53</v>
      </c>
      <c r="AD1222" t="s">
        <v>53</v>
      </c>
      <c r="AK1222">
        <v>0</v>
      </c>
      <c r="AU1222" s="3">
        <v>42535</v>
      </c>
      <c r="AV1222" s="3">
        <v>42535</v>
      </c>
      <c r="AW1222" t="s">
        <v>54</v>
      </c>
      <c r="AX1222" t="str">
        <f t="shared" ref="AX1222:AX1253" si="156">"FOR"</f>
        <v>FOR</v>
      </c>
      <c r="AY1222" t="s">
        <v>55</v>
      </c>
    </row>
    <row r="1223" spans="1:51">
      <c r="A1223">
        <v>101170</v>
      </c>
      <c r="B1223" t="s">
        <v>201</v>
      </c>
      <c r="C1223" t="str">
        <f t="shared" si="155"/>
        <v>00527500540</v>
      </c>
      <c r="D1223" t="str">
        <f t="shared" si="155"/>
        <v>00527500540</v>
      </c>
      <c r="E1223" t="s">
        <v>52</v>
      </c>
      <c r="F1223">
        <v>2014</v>
      </c>
      <c r="G1223" t="str">
        <f>"              300422"</f>
        <v xml:space="preserve">              300422</v>
      </c>
      <c r="H1223" s="3">
        <v>41729</v>
      </c>
      <c r="I1223" s="3">
        <v>42534</v>
      </c>
      <c r="J1223" s="3">
        <v>42534</v>
      </c>
      <c r="K1223" s="3">
        <v>42594</v>
      </c>
      <c r="L1223" s="5">
        <v>42961.93</v>
      </c>
      <c r="M1223">
        <v>-59</v>
      </c>
      <c r="N1223" s="5">
        <v>-2534753.87</v>
      </c>
      <c r="O1223" s="4">
        <v>42961.93</v>
      </c>
      <c r="P1223">
        <v>-59</v>
      </c>
      <c r="Q1223" s="4">
        <v>-2534753.87</v>
      </c>
      <c r="R1223">
        <v>0</v>
      </c>
      <c r="V1223">
        <v>0</v>
      </c>
      <c r="W1223" s="4">
        <v>42961.93</v>
      </c>
      <c r="X1223">
        <v>0</v>
      </c>
      <c r="Y1223">
        <v>0</v>
      </c>
      <c r="Z1223" s="4">
        <v>42961.93</v>
      </c>
      <c r="AA1223">
        <v>0</v>
      </c>
      <c r="AB1223" s="3">
        <v>42562</v>
      </c>
      <c r="AC1223" t="s">
        <v>53</v>
      </c>
      <c r="AD1223" t="s">
        <v>53</v>
      </c>
      <c r="AK1223">
        <v>0</v>
      </c>
      <c r="AU1223" s="3">
        <v>42535</v>
      </c>
      <c r="AV1223" s="3">
        <v>42535</v>
      </c>
      <c r="AW1223" t="s">
        <v>54</v>
      </c>
      <c r="AX1223" t="str">
        <f t="shared" si="156"/>
        <v>FOR</v>
      </c>
      <c r="AY1223" t="s">
        <v>55</v>
      </c>
    </row>
    <row r="1224" spans="1:51">
      <c r="A1224">
        <v>101170</v>
      </c>
      <c r="B1224" t="s">
        <v>201</v>
      </c>
      <c r="C1224" t="str">
        <f t="shared" si="155"/>
        <v>00527500540</v>
      </c>
      <c r="D1224" t="str">
        <f t="shared" si="155"/>
        <v>00527500540</v>
      </c>
      <c r="E1224" t="s">
        <v>52</v>
      </c>
      <c r="F1224">
        <v>2014</v>
      </c>
      <c r="G1224" t="str">
        <f>"              300423"</f>
        <v xml:space="preserve">              300423</v>
      </c>
      <c r="H1224" s="3">
        <v>41729</v>
      </c>
      <c r="I1224" s="3">
        <v>42534</v>
      </c>
      <c r="J1224" s="3">
        <v>42534</v>
      </c>
      <c r="K1224" s="3">
        <v>42594</v>
      </c>
      <c r="L1224" s="5">
        <v>42961.93</v>
      </c>
      <c r="M1224">
        <v>-59</v>
      </c>
      <c r="N1224" s="5">
        <v>-2534753.87</v>
      </c>
      <c r="O1224" s="4">
        <v>42961.93</v>
      </c>
      <c r="P1224">
        <v>-59</v>
      </c>
      <c r="Q1224" s="4">
        <v>-2534753.87</v>
      </c>
      <c r="R1224">
        <v>0</v>
      </c>
      <c r="V1224">
        <v>0</v>
      </c>
      <c r="W1224" s="4">
        <v>42961.93</v>
      </c>
      <c r="X1224">
        <v>0</v>
      </c>
      <c r="Y1224">
        <v>0</v>
      </c>
      <c r="Z1224" s="4">
        <v>42961.93</v>
      </c>
      <c r="AA1224">
        <v>0</v>
      </c>
      <c r="AB1224" s="3">
        <v>42562</v>
      </c>
      <c r="AC1224" t="s">
        <v>53</v>
      </c>
      <c r="AD1224" t="s">
        <v>53</v>
      </c>
      <c r="AK1224">
        <v>0</v>
      </c>
      <c r="AU1224" s="3">
        <v>42535</v>
      </c>
      <c r="AV1224" s="3">
        <v>42535</v>
      </c>
      <c r="AW1224" t="s">
        <v>54</v>
      </c>
      <c r="AX1224" t="str">
        <f t="shared" si="156"/>
        <v>FOR</v>
      </c>
      <c r="AY1224" t="s">
        <v>55</v>
      </c>
    </row>
    <row r="1225" spans="1:51">
      <c r="A1225">
        <v>101170</v>
      </c>
      <c r="B1225" t="s">
        <v>201</v>
      </c>
      <c r="C1225" t="str">
        <f t="shared" si="155"/>
        <v>00527500540</v>
      </c>
      <c r="D1225" t="str">
        <f t="shared" si="155"/>
        <v>00527500540</v>
      </c>
      <c r="E1225" t="s">
        <v>52</v>
      </c>
      <c r="F1225">
        <v>2014</v>
      </c>
      <c r="G1225" t="str">
        <f>"              300424"</f>
        <v xml:space="preserve">              300424</v>
      </c>
      <c r="H1225" s="3">
        <v>41729</v>
      </c>
      <c r="I1225" s="3">
        <v>42534</v>
      </c>
      <c r="J1225" s="3">
        <v>42534</v>
      </c>
      <c r="K1225" s="3">
        <v>42594</v>
      </c>
      <c r="L1225" s="5">
        <v>42961.93</v>
      </c>
      <c r="M1225">
        <v>-59</v>
      </c>
      <c r="N1225" s="5">
        <v>-2534753.87</v>
      </c>
      <c r="O1225" s="4">
        <v>42961.93</v>
      </c>
      <c r="P1225">
        <v>-59</v>
      </c>
      <c r="Q1225" s="4">
        <v>-2534753.87</v>
      </c>
      <c r="R1225">
        <v>0</v>
      </c>
      <c r="V1225">
        <v>0</v>
      </c>
      <c r="W1225" s="4">
        <v>42961.93</v>
      </c>
      <c r="X1225">
        <v>0</v>
      </c>
      <c r="Y1225">
        <v>0</v>
      </c>
      <c r="Z1225" s="4">
        <v>42961.93</v>
      </c>
      <c r="AA1225">
        <v>0</v>
      </c>
      <c r="AB1225" s="3">
        <v>42562</v>
      </c>
      <c r="AC1225" t="s">
        <v>53</v>
      </c>
      <c r="AD1225" t="s">
        <v>53</v>
      </c>
      <c r="AK1225">
        <v>0</v>
      </c>
      <c r="AU1225" s="3">
        <v>42535</v>
      </c>
      <c r="AV1225" s="3">
        <v>42535</v>
      </c>
      <c r="AW1225" t="s">
        <v>54</v>
      </c>
      <c r="AX1225" t="str">
        <f t="shared" si="156"/>
        <v>FOR</v>
      </c>
      <c r="AY1225" t="s">
        <v>55</v>
      </c>
    </row>
    <row r="1226" spans="1:51">
      <c r="A1226">
        <v>101170</v>
      </c>
      <c r="B1226" t="s">
        <v>201</v>
      </c>
      <c r="C1226" t="str">
        <f t="shared" si="155"/>
        <v>00527500540</v>
      </c>
      <c r="D1226" t="str">
        <f t="shared" si="155"/>
        <v>00527500540</v>
      </c>
      <c r="E1226" t="s">
        <v>52</v>
      </c>
      <c r="F1226">
        <v>2014</v>
      </c>
      <c r="G1226" t="str">
        <f>"              300425"</f>
        <v xml:space="preserve">              300425</v>
      </c>
      <c r="H1226" s="3">
        <v>41729</v>
      </c>
      <c r="I1226" s="3">
        <v>42534</v>
      </c>
      <c r="J1226" s="3">
        <v>42534</v>
      </c>
      <c r="K1226" s="3">
        <v>42594</v>
      </c>
      <c r="L1226" s="5">
        <v>42961.93</v>
      </c>
      <c r="M1226">
        <v>-59</v>
      </c>
      <c r="N1226" s="5">
        <v>-2534753.87</v>
      </c>
      <c r="O1226" s="4">
        <v>42961.93</v>
      </c>
      <c r="P1226">
        <v>-59</v>
      </c>
      <c r="Q1226" s="4">
        <v>-2534753.87</v>
      </c>
      <c r="R1226">
        <v>0</v>
      </c>
      <c r="V1226">
        <v>0</v>
      </c>
      <c r="W1226" s="4">
        <v>42961.93</v>
      </c>
      <c r="X1226">
        <v>0</v>
      </c>
      <c r="Y1226">
        <v>0</v>
      </c>
      <c r="Z1226" s="4">
        <v>42961.93</v>
      </c>
      <c r="AA1226">
        <v>0</v>
      </c>
      <c r="AB1226" s="3">
        <v>42562</v>
      </c>
      <c r="AC1226" t="s">
        <v>53</v>
      </c>
      <c r="AD1226" t="s">
        <v>53</v>
      </c>
      <c r="AK1226">
        <v>0</v>
      </c>
      <c r="AU1226" s="3">
        <v>42535</v>
      </c>
      <c r="AV1226" s="3">
        <v>42535</v>
      </c>
      <c r="AW1226" t="s">
        <v>54</v>
      </c>
      <c r="AX1226" t="str">
        <f t="shared" si="156"/>
        <v>FOR</v>
      </c>
      <c r="AY1226" t="s">
        <v>55</v>
      </c>
    </row>
    <row r="1227" spans="1:51">
      <c r="A1227">
        <v>101170</v>
      </c>
      <c r="B1227" t="s">
        <v>201</v>
      </c>
      <c r="C1227" t="str">
        <f t="shared" si="155"/>
        <v>00527500540</v>
      </c>
      <c r="D1227" t="str">
        <f t="shared" si="155"/>
        <v>00527500540</v>
      </c>
      <c r="E1227" t="s">
        <v>52</v>
      </c>
      <c r="F1227">
        <v>2014</v>
      </c>
      <c r="G1227" t="str">
        <f>"              300481"</f>
        <v xml:space="preserve">              300481</v>
      </c>
      <c r="H1227" s="3">
        <v>41759</v>
      </c>
      <c r="I1227" s="3">
        <v>42534</v>
      </c>
      <c r="J1227" s="3">
        <v>42534</v>
      </c>
      <c r="K1227" s="3">
        <v>42594</v>
      </c>
      <c r="L1227" s="5">
        <v>42961.93</v>
      </c>
      <c r="M1227">
        <v>-59</v>
      </c>
      <c r="N1227" s="5">
        <v>-2534753.87</v>
      </c>
      <c r="O1227" s="4">
        <v>42961.93</v>
      </c>
      <c r="P1227">
        <v>-59</v>
      </c>
      <c r="Q1227" s="4">
        <v>-2534753.87</v>
      </c>
      <c r="R1227">
        <v>0</v>
      </c>
      <c r="V1227">
        <v>0</v>
      </c>
      <c r="W1227" s="4">
        <v>42961.93</v>
      </c>
      <c r="X1227">
        <v>0</v>
      </c>
      <c r="Y1227">
        <v>0</v>
      </c>
      <c r="Z1227" s="4">
        <v>42961.93</v>
      </c>
      <c r="AA1227">
        <v>0</v>
      </c>
      <c r="AB1227" s="3">
        <v>42562</v>
      </c>
      <c r="AC1227" t="s">
        <v>53</v>
      </c>
      <c r="AD1227" t="s">
        <v>53</v>
      </c>
      <c r="AK1227">
        <v>0</v>
      </c>
      <c r="AU1227" s="3">
        <v>42535</v>
      </c>
      <c r="AV1227" s="3">
        <v>42535</v>
      </c>
      <c r="AW1227" t="s">
        <v>54</v>
      </c>
      <c r="AX1227" t="str">
        <f t="shared" si="156"/>
        <v>FOR</v>
      </c>
      <c r="AY1227" t="s">
        <v>55</v>
      </c>
    </row>
    <row r="1228" spans="1:51" hidden="1">
      <c r="A1228">
        <v>101170</v>
      </c>
      <c r="B1228" t="s">
        <v>201</v>
      </c>
      <c r="C1228" t="str">
        <f t="shared" si="155"/>
        <v>00527500540</v>
      </c>
      <c r="D1228" t="str">
        <f t="shared" si="155"/>
        <v>00527500540</v>
      </c>
      <c r="E1228" t="s">
        <v>52</v>
      </c>
      <c r="F1228">
        <v>2015</v>
      </c>
      <c r="G1228" t="str">
        <f>"              100439"</f>
        <v xml:space="preserve">              100439</v>
      </c>
      <c r="H1228" s="3">
        <v>42124</v>
      </c>
      <c r="I1228" s="3">
        <v>42180</v>
      </c>
      <c r="J1228" s="3">
        <v>42167</v>
      </c>
      <c r="K1228" s="3">
        <v>42227</v>
      </c>
      <c r="L1228"/>
      <c r="N1228"/>
      <c r="O1228" s="4">
        <v>35214.699999999997</v>
      </c>
      <c r="P1228">
        <v>189</v>
      </c>
      <c r="Q1228" s="4">
        <v>6655578.2999999998</v>
      </c>
      <c r="R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 s="3">
        <v>42562</v>
      </c>
      <c r="AC1228" t="s">
        <v>53</v>
      </c>
      <c r="AD1228" t="s">
        <v>53</v>
      </c>
      <c r="AK1228">
        <v>0</v>
      </c>
      <c r="AU1228" s="3">
        <v>42416</v>
      </c>
      <c r="AV1228" s="3">
        <v>42416</v>
      </c>
      <c r="AW1228" t="s">
        <v>54</v>
      </c>
      <c r="AX1228" t="str">
        <f t="shared" si="156"/>
        <v>FOR</v>
      </c>
      <c r="AY1228" t="s">
        <v>55</v>
      </c>
    </row>
    <row r="1229" spans="1:51" hidden="1">
      <c r="A1229">
        <v>101170</v>
      </c>
      <c r="B1229" t="s">
        <v>201</v>
      </c>
      <c r="C1229" t="str">
        <f t="shared" si="155"/>
        <v>00527500540</v>
      </c>
      <c r="D1229" t="str">
        <f t="shared" si="155"/>
        <v>00527500540</v>
      </c>
      <c r="E1229" t="s">
        <v>52</v>
      </c>
      <c r="F1229">
        <v>2015</v>
      </c>
      <c r="G1229" t="str">
        <f>"              200242"</f>
        <v xml:space="preserve">              200242</v>
      </c>
      <c r="H1229" s="3">
        <v>42124</v>
      </c>
      <c r="I1229" s="3">
        <v>42135</v>
      </c>
      <c r="J1229" s="3">
        <v>42133</v>
      </c>
      <c r="K1229" s="3">
        <v>42193</v>
      </c>
      <c r="L1229"/>
      <c r="N1229"/>
      <c r="O1229" s="4">
        <v>1020</v>
      </c>
      <c r="P1229">
        <v>223</v>
      </c>
      <c r="Q1229" s="4">
        <v>227460</v>
      </c>
      <c r="R1229">
        <v>0</v>
      </c>
      <c r="V1229">
        <v>0</v>
      </c>
      <c r="W1229">
        <v>0</v>
      </c>
      <c r="X1229">
        <v>0</v>
      </c>
      <c r="Y1229">
        <v>0</v>
      </c>
      <c r="Z1229">
        <v>0</v>
      </c>
      <c r="AA1229">
        <v>0</v>
      </c>
      <c r="AB1229" s="3">
        <v>42562</v>
      </c>
      <c r="AC1229" t="s">
        <v>53</v>
      </c>
      <c r="AD1229" t="s">
        <v>53</v>
      </c>
      <c r="AK1229">
        <v>0</v>
      </c>
      <c r="AU1229" s="3">
        <v>42416</v>
      </c>
      <c r="AV1229" s="3">
        <v>42416</v>
      </c>
      <c r="AW1229" t="s">
        <v>54</v>
      </c>
      <c r="AX1229" t="str">
        <f t="shared" si="156"/>
        <v>FOR</v>
      </c>
      <c r="AY1229" t="s">
        <v>55</v>
      </c>
    </row>
    <row r="1230" spans="1:51" hidden="1">
      <c r="A1230">
        <v>101170</v>
      </c>
      <c r="B1230" t="s">
        <v>201</v>
      </c>
      <c r="C1230" t="str">
        <f t="shared" si="155"/>
        <v>00527500540</v>
      </c>
      <c r="D1230" t="str">
        <f t="shared" si="155"/>
        <v>00527500540</v>
      </c>
      <c r="E1230" t="s">
        <v>52</v>
      </c>
      <c r="F1230">
        <v>2015</v>
      </c>
      <c r="G1230" t="str">
        <f>"              200243"</f>
        <v xml:space="preserve">              200243</v>
      </c>
      <c r="H1230" s="3">
        <v>42124</v>
      </c>
      <c r="I1230" s="3">
        <v>42228</v>
      </c>
      <c r="J1230" s="3">
        <v>42221</v>
      </c>
      <c r="K1230" s="3">
        <v>42281</v>
      </c>
      <c r="L1230"/>
      <c r="N1230"/>
      <c r="O1230">
        <v>295</v>
      </c>
      <c r="P1230">
        <v>135</v>
      </c>
      <c r="Q1230" s="4">
        <v>39825</v>
      </c>
      <c r="R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 s="3">
        <v>42562</v>
      </c>
      <c r="AC1230" t="s">
        <v>53</v>
      </c>
      <c r="AD1230" t="s">
        <v>53</v>
      </c>
      <c r="AK1230">
        <v>0</v>
      </c>
      <c r="AU1230" s="3">
        <v>42416</v>
      </c>
      <c r="AV1230" s="3">
        <v>42416</v>
      </c>
      <c r="AW1230" t="s">
        <v>54</v>
      </c>
      <c r="AX1230" t="str">
        <f t="shared" si="156"/>
        <v>FOR</v>
      </c>
      <c r="AY1230" t="s">
        <v>55</v>
      </c>
    </row>
    <row r="1231" spans="1:51" hidden="1">
      <c r="A1231">
        <v>101170</v>
      </c>
      <c r="B1231" t="s">
        <v>201</v>
      </c>
      <c r="C1231" t="str">
        <f t="shared" si="155"/>
        <v>00527500540</v>
      </c>
      <c r="D1231" t="str">
        <f t="shared" si="155"/>
        <v>00527500540</v>
      </c>
      <c r="E1231" t="s">
        <v>52</v>
      </c>
      <c r="F1231">
        <v>2015</v>
      </c>
      <c r="G1231" t="str">
        <f>"              200244"</f>
        <v xml:space="preserve">              200244</v>
      </c>
      <c r="H1231" s="3">
        <v>42124</v>
      </c>
      <c r="I1231" s="3">
        <v>42228</v>
      </c>
      <c r="J1231" s="3">
        <v>42221</v>
      </c>
      <c r="K1231" s="3">
        <v>42281</v>
      </c>
      <c r="L1231"/>
      <c r="N1231"/>
      <c r="O1231" s="4">
        <v>4200</v>
      </c>
      <c r="P1231">
        <v>135</v>
      </c>
      <c r="Q1231" s="4">
        <v>567000</v>
      </c>
      <c r="R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 s="3">
        <v>42562</v>
      </c>
      <c r="AC1231" t="s">
        <v>53</v>
      </c>
      <c r="AD1231" t="s">
        <v>53</v>
      </c>
      <c r="AK1231">
        <v>0</v>
      </c>
      <c r="AU1231" s="3">
        <v>42416</v>
      </c>
      <c r="AV1231" s="3">
        <v>42416</v>
      </c>
      <c r="AW1231" t="s">
        <v>54</v>
      </c>
      <c r="AX1231" t="str">
        <f t="shared" si="156"/>
        <v>FOR</v>
      </c>
      <c r="AY1231" t="s">
        <v>55</v>
      </c>
    </row>
    <row r="1232" spans="1:51" hidden="1">
      <c r="A1232">
        <v>101170</v>
      </c>
      <c r="B1232" t="s">
        <v>201</v>
      </c>
      <c r="C1232" t="str">
        <f t="shared" si="155"/>
        <v>00527500540</v>
      </c>
      <c r="D1232" t="str">
        <f t="shared" si="155"/>
        <v>00527500540</v>
      </c>
      <c r="E1232" t="s">
        <v>52</v>
      </c>
      <c r="F1232">
        <v>2015</v>
      </c>
      <c r="G1232" t="str">
        <f>"              200245"</f>
        <v xml:space="preserve">              200245</v>
      </c>
      <c r="H1232" s="3">
        <v>42124</v>
      </c>
      <c r="I1232" s="3">
        <v>42228</v>
      </c>
      <c r="J1232" s="3">
        <v>42221</v>
      </c>
      <c r="K1232" s="3">
        <v>42281</v>
      </c>
      <c r="L1232"/>
      <c r="N1232"/>
      <c r="O1232">
        <v>950</v>
      </c>
      <c r="P1232">
        <v>135</v>
      </c>
      <c r="Q1232" s="4">
        <v>128250</v>
      </c>
      <c r="R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 s="3">
        <v>42562</v>
      </c>
      <c r="AC1232" t="s">
        <v>53</v>
      </c>
      <c r="AD1232" t="s">
        <v>53</v>
      </c>
      <c r="AK1232">
        <v>0</v>
      </c>
      <c r="AU1232" s="3">
        <v>42416</v>
      </c>
      <c r="AV1232" s="3">
        <v>42416</v>
      </c>
      <c r="AW1232" t="s">
        <v>54</v>
      </c>
      <c r="AX1232" t="str">
        <f t="shared" si="156"/>
        <v>FOR</v>
      </c>
      <c r="AY1232" t="s">
        <v>55</v>
      </c>
    </row>
    <row r="1233" spans="1:51" hidden="1">
      <c r="A1233">
        <v>101170</v>
      </c>
      <c r="B1233" t="s">
        <v>201</v>
      </c>
      <c r="C1233" t="str">
        <f t="shared" si="155"/>
        <v>00527500540</v>
      </c>
      <c r="D1233" t="str">
        <f t="shared" si="155"/>
        <v>00527500540</v>
      </c>
      <c r="E1233" t="s">
        <v>52</v>
      </c>
      <c r="F1233">
        <v>2015</v>
      </c>
      <c r="G1233" t="str">
        <f>"              200246"</f>
        <v xml:space="preserve">              200246</v>
      </c>
      <c r="H1233" s="3">
        <v>42124</v>
      </c>
      <c r="I1233" s="3">
        <v>42228</v>
      </c>
      <c r="J1233" s="3">
        <v>42221</v>
      </c>
      <c r="K1233" s="3">
        <v>42281</v>
      </c>
      <c r="L1233"/>
      <c r="N1233"/>
      <c r="O1233" s="4">
        <v>3739</v>
      </c>
      <c r="P1233">
        <v>135</v>
      </c>
      <c r="Q1233" s="4">
        <v>504765</v>
      </c>
      <c r="R1233">
        <v>0</v>
      </c>
      <c r="V1233">
        <v>0</v>
      </c>
      <c r="W1233">
        <v>0</v>
      </c>
      <c r="X1233">
        <v>0</v>
      </c>
      <c r="Y1233">
        <v>0</v>
      </c>
      <c r="Z1233">
        <v>0</v>
      </c>
      <c r="AA1233">
        <v>0</v>
      </c>
      <c r="AB1233" s="3">
        <v>42562</v>
      </c>
      <c r="AC1233" t="s">
        <v>53</v>
      </c>
      <c r="AD1233" t="s">
        <v>53</v>
      </c>
      <c r="AK1233">
        <v>0</v>
      </c>
      <c r="AU1233" s="3">
        <v>42416</v>
      </c>
      <c r="AV1233" s="3">
        <v>42416</v>
      </c>
      <c r="AW1233" t="s">
        <v>54</v>
      </c>
      <c r="AX1233" t="str">
        <f t="shared" si="156"/>
        <v>FOR</v>
      </c>
      <c r="AY1233" t="s">
        <v>55</v>
      </c>
    </row>
    <row r="1234" spans="1:51" hidden="1">
      <c r="A1234">
        <v>101170</v>
      </c>
      <c r="B1234" t="s">
        <v>201</v>
      </c>
      <c r="C1234" t="str">
        <f t="shared" si="155"/>
        <v>00527500540</v>
      </c>
      <c r="D1234" t="str">
        <f t="shared" si="155"/>
        <v>00527500540</v>
      </c>
      <c r="E1234" t="s">
        <v>52</v>
      </c>
      <c r="F1234">
        <v>2015</v>
      </c>
      <c r="G1234" t="str">
        <f>"              200247"</f>
        <v xml:space="preserve">              200247</v>
      </c>
      <c r="H1234" s="3">
        <v>42124</v>
      </c>
      <c r="I1234" s="3">
        <v>42228</v>
      </c>
      <c r="J1234" s="3">
        <v>42221</v>
      </c>
      <c r="K1234" s="3">
        <v>42281</v>
      </c>
      <c r="L1234"/>
      <c r="N1234"/>
      <c r="O1234" s="4">
        <v>3739</v>
      </c>
      <c r="P1234">
        <v>135</v>
      </c>
      <c r="Q1234" s="4">
        <v>504765</v>
      </c>
      <c r="R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0</v>
      </c>
      <c r="AB1234" s="3">
        <v>42562</v>
      </c>
      <c r="AC1234" t="s">
        <v>53</v>
      </c>
      <c r="AD1234" t="s">
        <v>53</v>
      </c>
      <c r="AK1234">
        <v>0</v>
      </c>
      <c r="AU1234" s="3">
        <v>42416</v>
      </c>
      <c r="AV1234" s="3">
        <v>42416</v>
      </c>
      <c r="AW1234" t="s">
        <v>54</v>
      </c>
      <c r="AX1234" t="str">
        <f t="shared" si="156"/>
        <v>FOR</v>
      </c>
      <c r="AY1234" t="s">
        <v>55</v>
      </c>
    </row>
    <row r="1235" spans="1:51" hidden="1">
      <c r="A1235">
        <v>101170</v>
      </c>
      <c r="B1235" t="s">
        <v>201</v>
      </c>
      <c r="C1235" t="str">
        <f t="shared" si="155"/>
        <v>00527500540</v>
      </c>
      <c r="D1235" t="str">
        <f t="shared" si="155"/>
        <v>00527500540</v>
      </c>
      <c r="E1235" t="s">
        <v>52</v>
      </c>
      <c r="F1235">
        <v>2015</v>
      </c>
      <c r="G1235" t="str">
        <f>"              200248"</f>
        <v xml:space="preserve">              200248</v>
      </c>
      <c r="H1235" s="3">
        <v>42124</v>
      </c>
      <c r="I1235" s="3">
        <v>42228</v>
      </c>
      <c r="J1235" s="3">
        <v>42221</v>
      </c>
      <c r="K1235" s="3">
        <v>42281</v>
      </c>
      <c r="L1235"/>
      <c r="N1235"/>
      <c r="O1235" s="4">
        <v>1490</v>
      </c>
      <c r="P1235">
        <v>135</v>
      </c>
      <c r="Q1235" s="4">
        <v>201150</v>
      </c>
      <c r="R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0</v>
      </c>
      <c r="AB1235" s="3">
        <v>42562</v>
      </c>
      <c r="AC1235" t="s">
        <v>53</v>
      </c>
      <c r="AD1235" t="s">
        <v>53</v>
      </c>
      <c r="AK1235">
        <v>0</v>
      </c>
      <c r="AU1235" s="3">
        <v>42416</v>
      </c>
      <c r="AV1235" s="3">
        <v>42416</v>
      </c>
      <c r="AW1235" t="s">
        <v>54</v>
      </c>
      <c r="AX1235" t="str">
        <f t="shared" si="156"/>
        <v>FOR</v>
      </c>
      <c r="AY1235" t="s">
        <v>55</v>
      </c>
    </row>
    <row r="1236" spans="1:51" hidden="1">
      <c r="A1236">
        <v>101170</v>
      </c>
      <c r="B1236" t="s">
        <v>201</v>
      </c>
      <c r="C1236" t="str">
        <f t="shared" si="155"/>
        <v>00527500540</v>
      </c>
      <c r="D1236" t="str">
        <f t="shared" si="155"/>
        <v>00527500540</v>
      </c>
      <c r="E1236" t="s">
        <v>52</v>
      </c>
      <c r="F1236">
        <v>2015</v>
      </c>
      <c r="G1236" t="str">
        <f>"              200249"</f>
        <v xml:space="preserve">              200249</v>
      </c>
      <c r="H1236" s="3">
        <v>42124</v>
      </c>
      <c r="I1236" s="3">
        <v>42228</v>
      </c>
      <c r="J1236" s="3">
        <v>42221</v>
      </c>
      <c r="K1236" s="3">
        <v>42281</v>
      </c>
      <c r="L1236"/>
      <c r="N1236"/>
      <c r="O1236">
        <v>288</v>
      </c>
      <c r="P1236">
        <v>135</v>
      </c>
      <c r="Q1236" s="4">
        <v>38880</v>
      </c>
      <c r="R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 s="3">
        <v>42562</v>
      </c>
      <c r="AC1236" t="s">
        <v>53</v>
      </c>
      <c r="AD1236" t="s">
        <v>53</v>
      </c>
      <c r="AK1236">
        <v>0</v>
      </c>
      <c r="AU1236" s="3">
        <v>42416</v>
      </c>
      <c r="AV1236" s="3">
        <v>42416</v>
      </c>
      <c r="AW1236" t="s">
        <v>54</v>
      </c>
      <c r="AX1236" t="str">
        <f t="shared" si="156"/>
        <v>FOR</v>
      </c>
      <c r="AY1236" t="s">
        <v>55</v>
      </c>
    </row>
    <row r="1237" spans="1:51" hidden="1">
      <c r="A1237">
        <v>101170</v>
      </c>
      <c r="B1237" t="s">
        <v>201</v>
      </c>
      <c r="C1237" t="str">
        <f t="shared" si="155"/>
        <v>00527500540</v>
      </c>
      <c r="D1237" t="str">
        <f t="shared" si="155"/>
        <v>00527500540</v>
      </c>
      <c r="E1237" t="s">
        <v>52</v>
      </c>
      <c r="F1237">
        <v>2015</v>
      </c>
      <c r="G1237" t="str">
        <f>"              200250"</f>
        <v xml:space="preserve">              200250</v>
      </c>
      <c r="H1237" s="3">
        <v>42124</v>
      </c>
      <c r="I1237" s="3">
        <v>42228</v>
      </c>
      <c r="J1237" s="3">
        <v>42221</v>
      </c>
      <c r="K1237" s="3">
        <v>42281</v>
      </c>
      <c r="L1237"/>
      <c r="N1237"/>
      <c r="O1237" s="4">
        <v>3204</v>
      </c>
      <c r="P1237">
        <v>135</v>
      </c>
      <c r="Q1237" s="4">
        <v>432540</v>
      </c>
      <c r="R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0</v>
      </c>
      <c r="AB1237" s="3">
        <v>42562</v>
      </c>
      <c r="AC1237" t="s">
        <v>53</v>
      </c>
      <c r="AD1237" t="s">
        <v>53</v>
      </c>
      <c r="AK1237">
        <v>0</v>
      </c>
      <c r="AU1237" s="3">
        <v>42416</v>
      </c>
      <c r="AV1237" s="3">
        <v>42416</v>
      </c>
      <c r="AW1237" t="s">
        <v>54</v>
      </c>
      <c r="AX1237" t="str">
        <f t="shared" si="156"/>
        <v>FOR</v>
      </c>
      <c r="AY1237" t="s">
        <v>55</v>
      </c>
    </row>
    <row r="1238" spans="1:51" hidden="1">
      <c r="A1238">
        <v>101170</v>
      </c>
      <c r="B1238" t="s">
        <v>201</v>
      </c>
      <c r="C1238" t="str">
        <f t="shared" si="155"/>
        <v>00527500540</v>
      </c>
      <c r="D1238" t="str">
        <f t="shared" si="155"/>
        <v>00527500540</v>
      </c>
      <c r="E1238" t="s">
        <v>52</v>
      </c>
      <c r="F1238">
        <v>2015</v>
      </c>
      <c r="G1238" t="str">
        <f>"              200251"</f>
        <v xml:space="preserve">              200251</v>
      </c>
      <c r="H1238" s="3">
        <v>42124</v>
      </c>
      <c r="I1238" s="3">
        <v>42228</v>
      </c>
      <c r="J1238" s="3">
        <v>42221</v>
      </c>
      <c r="K1238" s="3">
        <v>42281</v>
      </c>
      <c r="L1238"/>
      <c r="N1238"/>
      <c r="O1238" s="4">
        <v>3204</v>
      </c>
      <c r="P1238">
        <v>135</v>
      </c>
      <c r="Q1238" s="4">
        <v>432540</v>
      </c>
      <c r="R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0</v>
      </c>
      <c r="AB1238" s="3">
        <v>42562</v>
      </c>
      <c r="AC1238" t="s">
        <v>53</v>
      </c>
      <c r="AD1238" t="s">
        <v>53</v>
      </c>
      <c r="AK1238">
        <v>0</v>
      </c>
      <c r="AU1238" s="3">
        <v>42416</v>
      </c>
      <c r="AV1238" s="3">
        <v>42416</v>
      </c>
      <c r="AW1238" t="s">
        <v>54</v>
      </c>
      <c r="AX1238" t="str">
        <f t="shared" si="156"/>
        <v>FOR</v>
      </c>
      <c r="AY1238" t="s">
        <v>55</v>
      </c>
    </row>
    <row r="1239" spans="1:51" hidden="1">
      <c r="A1239">
        <v>101170</v>
      </c>
      <c r="B1239" t="s">
        <v>201</v>
      </c>
      <c r="C1239" t="str">
        <f t="shared" si="155"/>
        <v>00527500540</v>
      </c>
      <c r="D1239" t="str">
        <f t="shared" si="155"/>
        <v>00527500540</v>
      </c>
      <c r="E1239" t="s">
        <v>52</v>
      </c>
      <c r="F1239">
        <v>2015</v>
      </c>
      <c r="G1239" t="str">
        <f>"              200252"</f>
        <v xml:space="preserve">              200252</v>
      </c>
      <c r="H1239" s="3">
        <v>42124</v>
      </c>
      <c r="I1239" s="3">
        <v>42135</v>
      </c>
      <c r="J1239" s="3">
        <v>42133</v>
      </c>
      <c r="K1239" s="3">
        <v>42193</v>
      </c>
      <c r="L1239"/>
      <c r="N1239"/>
      <c r="O1239">
        <v>200</v>
      </c>
      <c r="P1239">
        <v>223</v>
      </c>
      <c r="Q1239" s="4">
        <v>44600</v>
      </c>
      <c r="R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0</v>
      </c>
      <c r="AB1239" s="3">
        <v>42562</v>
      </c>
      <c r="AC1239" t="s">
        <v>53</v>
      </c>
      <c r="AD1239" t="s">
        <v>53</v>
      </c>
      <c r="AK1239">
        <v>0</v>
      </c>
      <c r="AU1239" s="3">
        <v>42416</v>
      </c>
      <c r="AV1239" s="3">
        <v>42416</v>
      </c>
      <c r="AW1239" t="s">
        <v>54</v>
      </c>
      <c r="AX1239" t="str">
        <f t="shared" si="156"/>
        <v>FOR</v>
      </c>
      <c r="AY1239" t="s">
        <v>55</v>
      </c>
    </row>
    <row r="1240" spans="1:51" hidden="1">
      <c r="A1240">
        <v>101170</v>
      </c>
      <c r="B1240" t="s">
        <v>201</v>
      </c>
      <c r="C1240" t="str">
        <f t="shared" si="155"/>
        <v>00527500540</v>
      </c>
      <c r="D1240" t="str">
        <f t="shared" si="155"/>
        <v>00527500540</v>
      </c>
      <c r="E1240" t="s">
        <v>52</v>
      </c>
      <c r="F1240">
        <v>2015</v>
      </c>
      <c r="G1240" t="str">
        <f>"              200253"</f>
        <v xml:space="preserve">              200253</v>
      </c>
      <c r="H1240" s="3">
        <v>42124</v>
      </c>
      <c r="I1240" s="3">
        <v>42135</v>
      </c>
      <c r="J1240" s="3">
        <v>42133</v>
      </c>
      <c r="K1240" s="3">
        <v>42193</v>
      </c>
      <c r="L1240"/>
      <c r="N1240"/>
      <c r="O1240" s="4">
        <v>4200</v>
      </c>
      <c r="P1240">
        <v>223</v>
      </c>
      <c r="Q1240" s="4">
        <v>936600</v>
      </c>
      <c r="R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 s="3">
        <v>42562</v>
      </c>
      <c r="AC1240" t="s">
        <v>53</v>
      </c>
      <c r="AD1240" t="s">
        <v>53</v>
      </c>
      <c r="AK1240">
        <v>0</v>
      </c>
      <c r="AU1240" s="3">
        <v>42416</v>
      </c>
      <c r="AV1240" s="3">
        <v>42416</v>
      </c>
      <c r="AW1240" t="s">
        <v>54</v>
      </c>
      <c r="AX1240" t="str">
        <f t="shared" si="156"/>
        <v>FOR</v>
      </c>
      <c r="AY1240" t="s">
        <v>55</v>
      </c>
    </row>
    <row r="1241" spans="1:51" hidden="1">
      <c r="A1241">
        <v>101170</v>
      </c>
      <c r="B1241" t="s">
        <v>201</v>
      </c>
      <c r="C1241" t="str">
        <f t="shared" ref="C1241:D1260" si="157">"00527500540"</f>
        <v>00527500540</v>
      </c>
      <c r="D1241" t="str">
        <f t="shared" si="157"/>
        <v>00527500540</v>
      </c>
      <c r="E1241" t="s">
        <v>52</v>
      </c>
      <c r="F1241">
        <v>2015</v>
      </c>
      <c r="G1241" t="str">
        <f>"              200254"</f>
        <v xml:space="preserve">              200254</v>
      </c>
      <c r="H1241" s="3">
        <v>42124</v>
      </c>
      <c r="I1241" s="3">
        <v>42135</v>
      </c>
      <c r="J1241" s="3">
        <v>42133</v>
      </c>
      <c r="K1241" s="3">
        <v>42193</v>
      </c>
      <c r="L1241"/>
      <c r="N1241"/>
      <c r="O1241" s="4">
        <v>2300</v>
      </c>
      <c r="P1241">
        <v>223</v>
      </c>
      <c r="Q1241" s="4">
        <v>512900</v>
      </c>
      <c r="R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 s="3">
        <v>42562</v>
      </c>
      <c r="AC1241" t="s">
        <v>53</v>
      </c>
      <c r="AD1241" t="s">
        <v>53</v>
      </c>
      <c r="AK1241">
        <v>0</v>
      </c>
      <c r="AU1241" s="3">
        <v>42416</v>
      </c>
      <c r="AV1241" s="3">
        <v>42416</v>
      </c>
      <c r="AW1241" t="s">
        <v>54</v>
      </c>
      <c r="AX1241" t="str">
        <f t="shared" si="156"/>
        <v>FOR</v>
      </c>
      <c r="AY1241" t="s">
        <v>55</v>
      </c>
    </row>
    <row r="1242" spans="1:51" hidden="1">
      <c r="A1242">
        <v>101170</v>
      </c>
      <c r="B1242" t="s">
        <v>201</v>
      </c>
      <c r="C1242" t="str">
        <f t="shared" si="157"/>
        <v>00527500540</v>
      </c>
      <c r="D1242" t="str">
        <f t="shared" si="157"/>
        <v>00527500540</v>
      </c>
      <c r="E1242" t="s">
        <v>52</v>
      </c>
      <c r="F1242">
        <v>2015</v>
      </c>
      <c r="G1242" t="str">
        <f>"              200255"</f>
        <v xml:space="preserve">              200255</v>
      </c>
      <c r="H1242" s="3">
        <v>42124</v>
      </c>
      <c r="I1242" s="3">
        <v>42135</v>
      </c>
      <c r="J1242" s="3">
        <v>42133</v>
      </c>
      <c r="K1242" s="3">
        <v>42193</v>
      </c>
      <c r="L1242"/>
      <c r="N1242"/>
      <c r="O1242" s="4">
        <v>4200</v>
      </c>
      <c r="P1242">
        <v>223</v>
      </c>
      <c r="Q1242" s="4">
        <v>936600</v>
      </c>
      <c r="R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 s="3">
        <v>42562</v>
      </c>
      <c r="AC1242" t="s">
        <v>53</v>
      </c>
      <c r="AD1242" t="s">
        <v>53</v>
      </c>
      <c r="AK1242">
        <v>0</v>
      </c>
      <c r="AU1242" s="3">
        <v>42416</v>
      </c>
      <c r="AV1242" s="3">
        <v>42416</v>
      </c>
      <c r="AW1242" t="s">
        <v>54</v>
      </c>
      <c r="AX1242" t="str">
        <f t="shared" si="156"/>
        <v>FOR</v>
      </c>
      <c r="AY1242" t="s">
        <v>55</v>
      </c>
    </row>
    <row r="1243" spans="1:51" hidden="1">
      <c r="A1243">
        <v>101170</v>
      </c>
      <c r="B1243" t="s">
        <v>201</v>
      </c>
      <c r="C1243" t="str">
        <f t="shared" si="157"/>
        <v>00527500540</v>
      </c>
      <c r="D1243" t="str">
        <f t="shared" si="157"/>
        <v>00527500540</v>
      </c>
      <c r="E1243" t="s">
        <v>52</v>
      </c>
      <c r="F1243">
        <v>2015</v>
      </c>
      <c r="G1243" t="str">
        <f>"              200294"</f>
        <v xml:space="preserve">              200294</v>
      </c>
      <c r="H1243" s="3">
        <v>42124</v>
      </c>
      <c r="I1243" s="3">
        <v>42163</v>
      </c>
      <c r="J1243" s="3">
        <v>42149</v>
      </c>
      <c r="K1243" s="3">
        <v>42209</v>
      </c>
      <c r="L1243"/>
      <c r="N1243"/>
      <c r="O1243" s="4">
        <v>4138</v>
      </c>
      <c r="P1243">
        <v>207</v>
      </c>
      <c r="Q1243" s="4">
        <v>856566</v>
      </c>
      <c r="R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 s="3">
        <v>42562</v>
      </c>
      <c r="AC1243" t="s">
        <v>53</v>
      </c>
      <c r="AD1243" t="s">
        <v>53</v>
      </c>
      <c r="AK1243">
        <v>0</v>
      </c>
      <c r="AU1243" s="3">
        <v>42416</v>
      </c>
      <c r="AV1243" s="3">
        <v>42416</v>
      </c>
      <c r="AW1243" t="s">
        <v>54</v>
      </c>
      <c r="AX1243" t="str">
        <f t="shared" si="156"/>
        <v>FOR</v>
      </c>
      <c r="AY1243" t="s">
        <v>55</v>
      </c>
    </row>
    <row r="1244" spans="1:51" hidden="1">
      <c r="A1244">
        <v>101170</v>
      </c>
      <c r="B1244" t="s">
        <v>201</v>
      </c>
      <c r="C1244" t="str">
        <f t="shared" si="157"/>
        <v>00527500540</v>
      </c>
      <c r="D1244" t="str">
        <f t="shared" si="157"/>
        <v>00527500540</v>
      </c>
      <c r="E1244" t="s">
        <v>52</v>
      </c>
      <c r="F1244">
        <v>2015</v>
      </c>
      <c r="G1244" t="str">
        <f>"              200296"</f>
        <v xml:space="preserve">              200296</v>
      </c>
      <c r="H1244" s="3">
        <v>42124</v>
      </c>
      <c r="I1244" s="3">
        <v>42163</v>
      </c>
      <c r="J1244" s="3">
        <v>42149</v>
      </c>
      <c r="K1244" s="3">
        <v>42209</v>
      </c>
      <c r="L1244"/>
      <c r="N1244"/>
      <c r="O1244" s="4">
        <v>4138</v>
      </c>
      <c r="P1244">
        <v>207</v>
      </c>
      <c r="Q1244" s="4">
        <v>856566</v>
      </c>
      <c r="R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 s="3">
        <v>42562</v>
      </c>
      <c r="AC1244" t="s">
        <v>53</v>
      </c>
      <c r="AD1244" t="s">
        <v>53</v>
      </c>
      <c r="AK1244">
        <v>0</v>
      </c>
      <c r="AU1244" s="3">
        <v>42416</v>
      </c>
      <c r="AV1244" s="3">
        <v>42416</v>
      </c>
      <c r="AW1244" t="s">
        <v>54</v>
      </c>
      <c r="AX1244" t="str">
        <f t="shared" si="156"/>
        <v>FOR</v>
      </c>
      <c r="AY1244" t="s">
        <v>55</v>
      </c>
    </row>
    <row r="1245" spans="1:51" hidden="1">
      <c r="A1245">
        <v>101170</v>
      </c>
      <c r="B1245" t="s">
        <v>201</v>
      </c>
      <c r="C1245" t="str">
        <f t="shared" si="157"/>
        <v>00527500540</v>
      </c>
      <c r="D1245" t="str">
        <f t="shared" si="157"/>
        <v>00527500540</v>
      </c>
      <c r="E1245" t="s">
        <v>52</v>
      </c>
      <c r="F1245">
        <v>2015</v>
      </c>
      <c r="G1245" t="str">
        <f>"              200297"</f>
        <v xml:space="preserve">              200297</v>
      </c>
      <c r="H1245" s="3">
        <v>42124</v>
      </c>
      <c r="I1245" s="3">
        <v>42163</v>
      </c>
      <c r="J1245" s="3">
        <v>42149</v>
      </c>
      <c r="K1245" s="3">
        <v>42209</v>
      </c>
      <c r="L1245"/>
      <c r="N1245"/>
      <c r="O1245" s="4">
        <v>4048</v>
      </c>
      <c r="P1245">
        <v>207</v>
      </c>
      <c r="Q1245" s="4">
        <v>837936</v>
      </c>
      <c r="R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0</v>
      </c>
      <c r="AB1245" s="3">
        <v>42562</v>
      </c>
      <c r="AC1245" t="s">
        <v>53</v>
      </c>
      <c r="AD1245" t="s">
        <v>53</v>
      </c>
      <c r="AK1245">
        <v>0</v>
      </c>
      <c r="AU1245" s="3">
        <v>42416</v>
      </c>
      <c r="AV1245" s="3">
        <v>42416</v>
      </c>
      <c r="AW1245" t="s">
        <v>54</v>
      </c>
      <c r="AX1245" t="str">
        <f t="shared" si="156"/>
        <v>FOR</v>
      </c>
      <c r="AY1245" t="s">
        <v>55</v>
      </c>
    </row>
    <row r="1246" spans="1:51" hidden="1">
      <c r="A1246">
        <v>101170</v>
      </c>
      <c r="B1246" t="s">
        <v>201</v>
      </c>
      <c r="C1246" t="str">
        <f t="shared" si="157"/>
        <v>00527500540</v>
      </c>
      <c r="D1246" t="str">
        <f t="shared" si="157"/>
        <v>00527500540</v>
      </c>
      <c r="E1246" t="s">
        <v>52</v>
      </c>
      <c r="F1246">
        <v>2015</v>
      </c>
      <c r="G1246" t="str">
        <f>"              200299"</f>
        <v xml:space="preserve">              200299</v>
      </c>
      <c r="H1246" s="3">
        <v>42124</v>
      </c>
      <c r="I1246" s="3">
        <v>42163</v>
      </c>
      <c r="J1246" s="3">
        <v>42150</v>
      </c>
      <c r="K1246" s="3">
        <v>42210</v>
      </c>
      <c r="L1246"/>
      <c r="N1246"/>
      <c r="O1246" s="4">
        <v>2625</v>
      </c>
      <c r="P1246">
        <v>206</v>
      </c>
      <c r="Q1246" s="4">
        <v>540750</v>
      </c>
      <c r="R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 s="3">
        <v>42562</v>
      </c>
      <c r="AC1246" t="s">
        <v>53</v>
      </c>
      <c r="AD1246" t="s">
        <v>53</v>
      </c>
      <c r="AK1246">
        <v>0</v>
      </c>
      <c r="AU1246" s="3">
        <v>42416</v>
      </c>
      <c r="AV1246" s="3">
        <v>42416</v>
      </c>
      <c r="AW1246" t="s">
        <v>54</v>
      </c>
      <c r="AX1246" t="str">
        <f t="shared" si="156"/>
        <v>FOR</v>
      </c>
      <c r="AY1246" t="s">
        <v>55</v>
      </c>
    </row>
    <row r="1247" spans="1:51" hidden="1">
      <c r="A1247">
        <v>101170</v>
      </c>
      <c r="B1247" t="s">
        <v>201</v>
      </c>
      <c r="C1247" t="str">
        <f t="shared" si="157"/>
        <v>00527500540</v>
      </c>
      <c r="D1247" t="str">
        <f t="shared" si="157"/>
        <v>00527500540</v>
      </c>
      <c r="E1247" t="s">
        <v>52</v>
      </c>
      <c r="F1247">
        <v>2015</v>
      </c>
      <c r="G1247" t="str">
        <f>"              200306"</f>
        <v xml:space="preserve">              200306</v>
      </c>
      <c r="H1247" s="3">
        <v>42124</v>
      </c>
      <c r="I1247" s="3">
        <v>42163</v>
      </c>
      <c r="J1247" s="3">
        <v>42149</v>
      </c>
      <c r="K1247" s="3">
        <v>42209</v>
      </c>
      <c r="L1247"/>
      <c r="N1247"/>
      <c r="O1247" s="4">
        <v>2056.3000000000002</v>
      </c>
      <c r="P1247">
        <v>207</v>
      </c>
      <c r="Q1247" s="4">
        <v>425654.1</v>
      </c>
      <c r="R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0</v>
      </c>
      <c r="AB1247" s="3">
        <v>42562</v>
      </c>
      <c r="AC1247" t="s">
        <v>53</v>
      </c>
      <c r="AD1247" t="s">
        <v>53</v>
      </c>
      <c r="AK1247">
        <v>0</v>
      </c>
      <c r="AU1247" s="3">
        <v>42416</v>
      </c>
      <c r="AV1247" s="3">
        <v>42416</v>
      </c>
      <c r="AW1247" t="s">
        <v>54</v>
      </c>
      <c r="AX1247" t="str">
        <f t="shared" si="156"/>
        <v>FOR</v>
      </c>
      <c r="AY1247" t="s">
        <v>55</v>
      </c>
    </row>
    <row r="1248" spans="1:51" hidden="1">
      <c r="A1248">
        <v>101170</v>
      </c>
      <c r="B1248" t="s">
        <v>201</v>
      </c>
      <c r="C1248" t="str">
        <f t="shared" si="157"/>
        <v>00527500540</v>
      </c>
      <c r="D1248" t="str">
        <f t="shared" si="157"/>
        <v>00527500540</v>
      </c>
      <c r="E1248" t="s">
        <v>52</v>
      </c>
      <c r="F1248">
        <v>2015</v>
      </c>
      <c r="G1248" t="str">
        <f>"              200308"</f>
        <v xml:space="preserve">              200308</v>
      </c>
      <c r="H1248" s="3">
        <v>42124</v>
      </c>
      <c r="I1248" s="3">
        <v>42163</v>
      </c>
      <c r="J1248" s="3">
        <v>42149</v>
      </c>
      <c r="K1248" s="3">
        <v>42209</v>
      </c>
      <c r="L1248"/>
      <c r="N1248"/>
      <c r="O1248">
        <v>800</v>
      </c>
      <c r="P1248">
        <v>207</v>
      </c>
      <c r="Q1248" s="4">
        <v>165600</v>
      </c>
      <c r="R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 s="3">
        <v>42562</v>
      </c>
      <c r="AC1248" t="s">
        <v>53</v>
      </c>
      <c r="AD1248" t="s">
        <v>53</v>
      </c>
      <c r="AK1248">
        <v>0</v>
      </c>
      <c r="AU1248" s="3">
        <v>42416</v>
      </c>
      <c r="AV1248" s="3">
        <v>42416</v>
      </c>
      <c r="AW1248" t="s">
        <v>54</v>
      </c>
      <c r="AX1248" t="str">
        <f t="shared" si="156"/>
        <v>FOR</v>
      </c>
      <c r="AY1248" t="s">
        <v>55</v>
      </c>
    </row>
    <row r="1249" spans="1:51" hidden="1">
      <c r="A1249">
        <v>101170</v>
      </c>
      <c r="B1249" t="s">
        <v>201</v>
      </c>
      <c r="C1249" t="str">
        <f t="shared" si="157"/>
        <v>00527500540</v>
      </c>
      <c r="D1249" t="str">
        <f t="shared" si="157"/>
        <v>00527500540</v>
      </c>
      <c r="E1249" t="s">
        <v>52</v>
      </c>
      <c r="F1249">
        <v>2015</v>
      </c>
      <c r="G1249" t="str">
        <f>"              200417"</f>
        <v xml:space="preserve">              200417</v>
      </c>
      <c r="H1249" s="3">
        <v>42145</v>
      </c>
      <c r="I1249" s="3">
        <v>42163</v>
      </c>
      <c r="J1249" s="3">
        <v>42149</v>
      </c>
      <c r="K1249" s="3">
        <v>42209</v>
      </c>
      <c r="L1249"/>
      <c r="N1249"/>
      <c r="O1249" s="4">
        <v>1450</v>
      </c>
      <c r="P1249">
        <v>244</v>
      </c>
      <c r="Q1249" s="4">
        <v>353800</v>
      </c>
      <c r="R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 s="3">
        <v>42562</v>
      </c>
      <c r="AC1249" t="s">
        <v>53</v>
      </c>
      <c r="AD1249" t="s">
        <v>53</v>
      </c>
      <c r="AK1249">
        <v>0</v>
      </c>
      <c r="AU1249" s="3">
        <v>42453</v>
      </c>
      <c r="AV1249" s="3">
        <v>42453</v>
      </c>
      <c r="AW1249" t="s">
        <v>54</v>
      </c>
      <c r="AX1249" t="str">
        <f t="shared" si="156"/>
        <v>FOR</v>
      </c>
      <c r="AY1249" t="s">
        <v>55</v>
      </c>
    </row>
    <row r="1250" spans="1:51" hidden="1">
      <c r="A1250">
        <v>101170</v>
      </c>
      <c r="B1250" t="s">
        <v>201</v>
      </c>
      <c r="C1250" t="str">
        <f t="shared" si="157"/>
        <v>00527500540</v>
      </c>
      <c r="D1250" t="str">
        <f t="shared" si="157"/>
        <v>00527500540</v>
      </c>
      <c r="E1250" t="s">
        <v>52</v>
      </c>
      <c r="F1250">
        <v>2015</v>
      </c>
      <c r="G1250" t="str">
        <f>"              200418"</f>
        <v xml:space="preserve">              200418</v>
      </c>
      <c r="H1250" s="3">
        <v>42145</v>
      </c>
      <c r="I1250" s="3">
        <v>42163</v>
      </c>
      <c r="J1250" s="3">
        <v>42149</v>
      </c>
      <c r="K1250" s="3">
        <v>42209</v>
      </c>
      <c r="L1250"/>
      <c r="N1250"/>
      <c r="O1250">
        <v>520</v>
      </c>
      <c r="P1250">
        <v>244</v>
      </c>
      <c r="Q1250" s="4">
        <v>126880</v>
      </c>
      <c r="R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 s="3">
        <v>42562</v>
      </c>
      <c r="AC1250" t="s">
        <v>53</v>
      </c>
      <c r="AD1250" t="s">
        <v>53</v>
      </c>
      <c r="AK1250">
        <v>0</v>
      </c>
      <c r="AU1250" s="3">
        <v>42453</v>
      </c>
      <c r="AV1250" s="3">
        <v>42453</v>
      </c>
      <c r="AW1250" t="s">
        <v>54</v>
      </c>
      <c r="AX1250" t="str">
        <f t="shared" si="156"/>
        <v>FOR</v>
      </c>
      <c r="AY1250" t="s">
        <v>55</v>
      </c>
    </row>
    <row r="1251" spans="1:51" hidden="1">
      <c r="A1251">
        <v>101170</v>
      </c>
      <c r="B1251" t="s">
        <v>201</v>
      </c>
      <c r="C1251" t="str">
        <f t="shared" si="157"/>
        <v>00527500540</v>
      </c>
      <c r="D1251" t="str">
        <f t="shared" si="157"/>
        <v>00527500540</v>
      </c>
      <c r="E1251" t="s">
        <v>52</v>
      </c>
      <c r="F1251">
        <v>2015</v>
      </c>
      <c r="G1251" t="str">
        <f>"              200419"</f>
        <v xml:space="preserve">              200419</v>
      </c>
      <c r="H1251" s="3">
        <v>42145</v>
      </c>
      <c r="I1251" s="3">
        <v>42163</v>
      </c>
      <c r="J1251" s="3">
        <v>42149</v>
      </c>
      <c r="K1251" s="3">
        <v>42209</v>
      </c>
      <c r="L1251"/>
      <c r="N1251"/>
      <c r="O1251" s="4">
        <v>2298</v>
      </c>
      <c r="P1251">
        <v>244</v>
      </c>
      <c r="Q1251" s="4">
        <v>560712</v>
      </c>
      <c r="R1251">
        <v>0</v>
      </c>
      <c r="V1251">
        <v>0</v>
      </c>
      <c r="W1251">
        <v>0</v>
      </c>
      <c r="X1251">
        <v>0</v>
      </c>
      <c r="Y1251">
        <v>0</v>
      </c>
      <c r="Z1251">
        <v>0</v>
      </c>
      <c r="AA1251">
        <v>0</v>
      </c>
      <c r="AB1251" s="3">
        <v>42562</v>
      </c>
      <c r="AC1251" t="s">
        <v>53</v>
      </c>
      <c r="AD1251" t="s">
        <v>53</v>
      </c>
      <c r="AK1251">
        <v>0</v>
      </c>
      <c r="AU1251" s="3">
        <v>42453</v>
      </c>
      <c r="AV1251" s="3">
        <v>42453</v>
      </c>
      <c r="AW1251" t="s">
        <v>54</v>
      </c>
      <c r="AX1251" t="str">
        <f t="shared" si="156"/>
        <v>FOR</v>
      </c>
      <c r="AY1251" t="s">
        <v>55</v>
      </c>
    </row>
    <row r="1252" spans="1:51" hidden="1">
      <c r="A1252">
        <v>101170</v>
      </c>
      <c r="B1252" t="s">
        <v>201</v>
      </c>
      <c r="C1252" t="str">
        <f t="shared" si="157"/>
        <v>00527500540</v>
      </c>
      <c r="D1252" t="str">
        <f t="shared" si="157"/>
        <v>00527500540</v>
      </c>
      <c r="E1252" t="s">
        <v>52</v>
      </c>
      <c r="F1252">
        <v>2015</v>
      </c>
      <c r="G1252" t="str">
        <f>"              200420"</f>
        <v xml:space="preserve">              200420</v>
      </c>
      <c r="H1252" s="3">
        <v>42145</v>
      </c>
      <c r="I1252" s="3">
        <v>42163</v>
      </c>
      <c r="J1252" s="3">
        <v>42149</v>
      </c>
      <c r="K1252" s="3">
        <v>42209</v>
      </c>
      <c r="L1252"/>
      <c r="N1252"/>
      <c r="O1252">
        <v>620</v>
      </c>
      <c r="P1252">
        <v>244</v>
      </c>
      <c r="Q1252" s="4">
        <v>151280</v>
      </c>
      <c r="R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0</v>
      </c>
      <c r="AB1252" s="3">
        <v>42562</v>
      </c>
      <c r="AC1252" t="s">
        <v>53</v>
      </c>
      <c r="AD1252" t="s">
        <v>53</v>
      </c>
      <c r="AK1252">
        <v>0</v>
      </c>
      <c r="AU1252" s="3">
        <v>42453</v>
      </c>
      <c r="AV1252" s="3">
        <v>42453</v>
      </c>
      <c r="AW1252" t="s">
        <v>54</v>
      </c>
      <c r="AX1252" t="str">
        <f t="shared" si="156"/>
        <v>FOR</v>
      </c>
      <c r="AY1252" t="s">
        <v>55</v>
      </c>
    </row>
    <row r="1253" spans="1:51" hidden="1">
      <c r="A1253">
        <v>101170</v>
      </c>
      <c r="B1253" t="s">
        <v>201</v>
      </c>
      <c r="C1253" t="str">
        <f t="shared" si="157"/>
        <v>00527500540</v>
      </c>
      <c r="D1253" t="str">
        <f t="shared" si="157"/>
        <v>00527500540</v>
      </c>
      <c r="E1253" t="s">
        <v>52</v>
      </c>
      <c r="F1253">
        <v>2015</v>
      </c>
      <c r="G1253" t="str">
        <f>"              200421"</f>
        <v xml:space="preserve">              200421</v>
      </c>
      <c r="H1253" s="3">
        <v>42145</v>
      </c>
      <c r="I1253" s="3">
        <v>42163</v>
      </c>
      <c r="J1253" s="3">
        <v>42149</v>
      </c>
      <c r="K1253" s="3">
        <v>42209</v>
      </c>
      <c r="L1253"/>
      <c r="N1253"/>
      <c r="O1253">
        <v>520</v>
      </c>
      <c r="P1253">
        <v>244</v>
      </c>
      <c r="Q1253" s="4">
        <v>126880</v>
      </c>
      <c r="R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0</v>
      </c>
      <c r="AB1253" s="3">
        <v>42562</v>
      </c>
      <c r="AC1253" t="s">
        <v>53</v>
      </c>
      <c r="AD1253" t="s">
        <v>53</v>
      </c>
      <c r="AK1253">
        <v>0</v>
      </c>
      <c r="AU1253" s="3">
        <v>42453</v>
      </c>
      <c r="AV1253" s="3">
        <v>42453</v>
      </c>
      <c r="AW1253" t="s">
        <v>54</v>
      </c>
      <c r="AX1253" t="str">
        <f t="shared" si="156"/>
        <v>FOR</v>
      </c>
      <c r="AY1253" t="s">
        <v>55</v>
      </c>
    </row>
    <row r="1254" spans="1:51" hidden="1">
      <c r="A1254">
        <v>101170</v>
      </c>
      <c r="B1254" t="s">
        <v>201</v>
      </c>
      <c r="C1254" t="str">
        <f t="shared" si="157"/>
        <v>00527500540</v>
      </c>
      <c r="D1254" t="str">
        <f t="shared" si="157"/>
        <v>00527500540</v>
      </c>
      <c r="E1254" t="s">
        <v>52</v>
      </c>
      <c r="F1254">
        <v>2015</v>
      </c>
      <c r="G1254" t="str">
        <f>"              200422"</f>
        <v xml:space="preserve">              200422</v>
      </c>
      <c r="H1254" s="3">
        <v>42145</v>
      </c>
      <c r="I1254" s="3">
        <v>42163</v>
      </c>
      <c r="J1254" s="3">
        <v>42149</v>
      </c>
      <c r="K1254" s="3">
        <v>42209</v>
      </c>
      <c r="L1254"/>
      <c r="N1254"/>
      <c r="O1254">
        <v>777</v>
      </c>
      <c r="P1254">
        <v>244</v>
      </c>
      <c r="Q1254" s="4">
        <v>189588</v>
      </c>
      <c r="R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 s="3">
        <v>42562</v>
      </c>
      <c r="AC1254" t="s">
        <v>53</v>
      </c>
      <c r="AD1254" t="s">
        <v>53</v>
      </c>
      <c r="AK1254">
        <v>0</v>
      </c>
      <c r="AU1254" s="3">
        <v>42453</v>
      </c>
      <c r="AV1254" s="3">
        <v>42453</v>
      </c>
      <c r="AW1254" t="s">
        <v>54</v>
      </c>
      <c r="AX1254" t="str">
        <f t="shared" ref="AX1254:AX1279" si="158">"FOR"</f>
        <v>FOR</v>
      </c>
      <c r="AY1254" t="s">
        <v>55</v>
      </c>
    </row>
    <row r="1255" spans="1:51" hidden="1">
      <c r="A1255">
        <v>101170</v>
      </c>
      <c r="B1255" t="s">
        <v>201</v>
      </c>
      <c r="C1255" t="str">
        <f t="shared" si="157"/>
        <v>00527500540</v>
      </c>
      <c r="D1255" t="str">
        <f t="shared" si="157"/>
        <v>00527500540</v>
      </c>
      <c r="E1255" t="s">
        <v>52</v>
      </c>
      <c r="F1255">
        <v>2015</v>
      </c>
      <c r="G1255" t="str">
        <f>"              200423"</f>
        <v xml:space="preserve">              200423</v>
      </c>
      <c r="H1255" s="3">
        <v>42145</v>
      </c>
      <c r="I1255" s="3">
        <v>42163</v>
      </c>
      <c r="J1255" s="3">
        <v>42149</v>
      </c>
      <c r="K1255" s="3">
        <v>42209</v>
      </c>
      <c r="L1255"/>
      <c r="N1255"/>
      <c r="O1255" s="4">
        <v>1700</v>
      </c>
      <c r="P1255">
        <v>244</v>
      </c>
      <c r="Q1255" s="4">
        <v>414800</v>
      </c>
      <c r="R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 s="3">
        <v>42562</v>
      </c>
      <c r="AC1255" t="s">
        <v>53</v>
      </c>
      <c r="AD1255" t="s">
        <v>53</v>
      </c>
      <c r="AK1255">
        <v>0</v>
      </c>
      <c r="AU1255" s="3">
        <v>42453</v>
      </c>
      <c r="AV1255" s="3">
        <v>42453</v>
      </c>
      <c r="AW1255" t="s">
        <v>54</v>
      </c>
      <c r="AX1255" t="str">
        <f t="shared" si="158"/>
        <v>FOR</v>
      </c>
      <c r="AY1255" t="s">
        <v>55</v>
      </c>
    </row>
    <row r="1256" spans="1:51">
      <c r="A1256">
        <v>101170</v>
      </c>
      <c r="B1256" t="s">
        <v>201</v>
      </c>
      <c r="C1256" t="str">
        <f t="shared" si="157"/>
        <v>00527500540</v>
      </c>
      <c r="D1256" t="str">
        <f t="shared" si="157"/>
        <v>00527500540</v>
      </c>
      <c r="E1256" t="s">
        <v>52</v>
      </c>
      <c r="F1256">
        <v>2015</v>
      </c>
      <c r="G1256" t="str">
        <f>"              200560"</f>
        <v xml:space="preserve">              200560</v>
      </c>
      <c r="H1256" s="3">
        <v>42178</v>
      </c>
      <c r="I1256" s="3">
        <v>42185</v>
      </c>
      <c r="J1256" s="3">
        <v>42181</v>
      </c>
      <c r="K1256" s="3">
        <v>42241</v>
      </c>
      <c r="L1256" s="1">
        <v>390</v>
      </c>
      <c r="M1256">
        <v>251</v>
      </c>
      <c r="N1256" s="5">
        <v>97890</v>
      </c>
      <c r="O1256">
        <v>390</v>
      </c>
      <c r="P1256">
        <v>251</v>
      </c>
      <c r="Q1256" s="4">
        <v>97890</v>
      </c>
      <c r="R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 s="3">
        <v>42562</v>
      </c>
      <c r="AC1256" t="s">
        <v>53</v>
      </c>
      <c r="AD1256" t="s">
        <v>53</v>
      </c>
      <c r="AK1256">
        <v>0</v>
      </c>
      <c r="AU1256" s="3">
        <v>42492</v>
      </c>
      <c r="AV1256" s="3">
        <v>42492</v>
      </c>
      <c r="AW1256" t="s">
        <v>54</v>
      </c>
      <c r="AX1256" t="str">
        <f t="shared" si="158"/>
        <v>FOR</v>
      </c>
      <c r="AY1256" t="s">
        <v>55</v>
      </c>
    </row>
    <row r="1257" spans="1:51">
      <c r="A1257">
        <v>101170</v>
      </c>
      <c r="B1257" t="s">
        <v>201</v>
      </c>
      <c r="C1257" t="str">
        <f t="shared" si="157"/>
        <v>00527500540</v>
      </c>
      <c r="D1257" t="str">
        <f t="shared" si="157"/>
        <v>00527500540</v>
      </c>
      <c r="E1257" t="s">
        <v>52</v>
      </c>
      <c r="F1257">
        <v>2015</v>
      </c>
      <c r="G1257" t="str">
        <f>"              200561"</f>
        <v xml:space="preserve">              200561</v>
      </c>
      <c r="H1257" s="3">
        <v>42178</v>
      </c>
      <c r="I1257" s="3">
        <v>42185</v>
      </c>
      <c r="J1257" s="3">
        <v>42181</v>
      </c>
      <c r="K1257" s="3">
        <v>42241</v>
      </c>
      <c r="L1257" s="1">
        <v>150</v>
      </c>
      <c r="M1257">
        <v>251</v>
      </c>
      <c r="N1257" s="5">
        <v>37650</v>
      </c>
      <c r="O1257">
        <v>150</v>
      </c>
      <c r="P1257">
        <v>251</v>
      </c>
      <c r="Q1257" s="4">
        <v>37650</v>
      </c>
      <c r="R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0</v>
      </c>
      <c r="AB1257" s="3">
        <v>42562</v>
      </c>
      <c r="AC1257" t="s">
        <v>53</v>
      </c>
      <c r="AD1257" t="s">
        <v>53</v>
      </c>
      <c r="AK1257">
        <v>0</v>
      </c>
      <c r="AU1257" s="3">
        <v>42492</v>
      </c>
      <c r="AV1257" s="3">
        <v>42492</v>
      </c>
      <c r="AW1257" t="s">
        <v>54</v>
      </c>
      <c r="AX1257" t="str">
        <f t="shared" si="158"/>
        <v>FOR</v>
      </c>
      <c r="AY1257" t="s">
        <v>55</v>
      </c>
    </row>
    <row r="1258" spans="1:51">
      <c r="A1258">
        <v>101170</v>
      </c>
      <c r="B1258" t="s">
        <v>201</v>
      </c>
      <c r="C1258" t="str">
        <f t="shared" si="157"/>
        <v>00527500540</v>
      </c>
      <c r="D1258" t="str">
        <f t="shared" si="157"/>
        <v>00527500540</v>
      </c>
      <c r="E1258" t="s">
        <v>52</v>
      </c>
      <c r="F1258">
        <v>2015</v>
      </c>
      <c r="G1258" t="str">
        <f>"              200563"</f>
        <v xml:space="preserve">              200563</v>
      </c>
      <c r="H1258" s="3">
        <v>42178</v>
      </c>
      <c r="I1258" s="3">
        <v>42186</v>
      </c>
      <c r="J1258" s="3">
        <v>42182</v>
      </c>
      <c r="K1258" s="3">
        <v>42242</v>
      </c>
      <c r="L1258" s="1">
        <v>540</v>
      </c>
      <c r="M1258">
        <v>250</v>
      </c>
      <c r="N1258" s="5">
        <v>135000</v>
      </c>
      <c r="O1258">
        <v>540</v>
      </c>
      <c r="P1258">
        <v>250</v>
      </c>
      <c r="Q1258" s="4">
        <v>135000</v>
      </c>
      <c r="R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 s="3">
        <v>42562</v>
      </c>
      <c r="AC1258" t="s">
        <v>53</v>
      </c>
      <c r="AD1258" t="s">
        <v>53</v>
      </c>
      <c r="AK1258">
        <v>0</v>
      </c>
      <c r="AU1258" s="3">
        <v>42492</v>
      </c>
      <c r="AV1258" s="3">
        <v>42492</v>
      </c>
      <c r="AW1258" t="s">
        <v>54</v>
      </c>
      <c r="AX1258" t="str">
        <f t="shared" si="158"/>
        <v>FOR</v>
      </c>
      <c r="AY1258" t="s">
        <v>55</v>
      </c>
    </row>
    <row r="1259" spans="1:51">
      <c r="A1259">
        <v>101170</v>
      </c>
      <c r="B1259" t="s">
        <v>201</v>
      </c>
      <c r="C1259" t="str">
        <f t="shared" si="157"/>
        <v>00527500540</v>
      </c>
      <c r="D1259" t="str">
        <f t="shared" si="157"/>
        <v>00527500540</v>
      </c>
      <c r="E1259" t="s">
        <v>52</v>
      </c>
      <c r="F1259">
        <v>2015</v>
      </c>
      <c r="G1259" t="str">
        <f>"              200564"</f>
        <v xml:space="preserve">              200564</v>
      </c>
      <c r="H1259" s="3">
        <v>42178</v>
      </c>
      <c r="I1259" s="3">
        <v>42185</v>
      </c>
      <c r="J1259" s="3">
        <v>42181</v>
      </c>
      <c r="K1259" s="3">
        <v>42241</v>
      </c>
      <c r="L1259" s="1">
        <v>136</v>
      </c>
      <c r="M1259">
        <v>251</v>
      </c>
      <c r="N1259" s="5">
        <v>34136</v>
      </c>
      <c r="O1259">
        <v>136</v>
      </c>
      <c r="P1259">
        <v>251</v>
      </c>
      <c r="Q1259" s="4">
        <v>34136</v>
      </c>
      <c r="R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 s="3">
        <v>42562</v>
      </c>
      <c r="AC1259" t="s">
        <v>53</v>
      </c>
      <c r="AD1259" t="s">
        <v>53</v>
      </c>
      <c r="AK1259">
        <v>0</v>
      </c>
      <c r="AU1259" s="3">
        <v>42492</v>
      </c>
      <c r="AV1259" s="3">
        <v>42492</v>
      </c>
      <c r="AW1259" t="s">
        <v>54</v>
      </c>
      <c r="AX1259" t="str">
        <f t="shared" si="158"/>
        <v>FOR</v>
      </c>
      <c r="AY1259" t="s">
        <v>55</v>
      </c>
    </row>
    <row r="1260" spans="1:51">
      <c r="A1260">
        <v>101170</v>
      </c>
      <c r="B1260" t="s">
        <v>201</v>
      </c>
      <c r="C1260" t="str">
        <f t="shared" si="157"/>
        <v>00527500540</v>
      </c>
      <c r="D1260" t="str">
        <f t="shared" si="157"/>
        <v>00527500540</v>
      </c>
      <c r="E1260" t="s">
        <v>52</v>
      </c>
      <c r="F1260">
        <v>2015</v>
      </c>
      <c r="G1260" t="str">
        <f>"              200565"</f>
        <v xml:space="preserve">              200565</v>
      </c>
      <c r="H1260" s="3">
        <v>42178</v>
      </c>
      <c r="I1260" s="3">
        <v>42185</v>
      </c>
      <c r="J1260" s="3">
        <v>42181</v>
      </c>
      <c r="K1260" s="3">
        <v>42241</v>
      </c>
      <c r="L1260" s="1">
        <v>145</v>
      </c>
      <c r="M1260">
        <v>251</v>
      </c>
      <c r="N1260" s="5">
        <v>36395</v>
      </c>
      <c r="O1260">
        <v>145</v>
      </c>
      <c r="P1260">
        <v>251</v>
      </c>
      <c r="Q1260" s="4">
        <v>36395</v>
      </c>
      <c r="R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 s="3">
        <v>42562</v>
      </c>
      <c r="AC1260" t="s">
        <v>53</v>
      </c>
      <c r="AD1260" t="s">
        <v>53</v>
      </c>
      <c r="AK1260">
        <v>0</v>
      </c>
      <c r="AU1260" s="3">
        <v>42492</v>
      </c>
      <c r="AV1260" s="3">
        <v>42492</v>
      </c>
      <c r="AW1260" t="s">
        <v>54</v>
      </c>
      <c r="AX1260" t="str">
        <f t="shared" si="158"/>
        <v>FOR</v>
      </c>
      <c r="AY1260" t="s">
        <v>55</v>
      </c>
    </row>
    <row r="1261" spans="1:51">
      <c r="A1261">
        <v>101170</v>
      </c>
      <c r="B1261" t="s">
        <v>201</v>
      </c>
      <c r="C1261" t="str">
        <f t="shared" ref="C1261:D1275" si="159">"00527500540"</f>
        <v>00527500540</v>
      </c>
      <c r="D1261" t="str">
        <f t="shared" si="159"/>
        <v>00527500540</v>
      </c>
      <c r="E1261" t="s">
        <v>52</v>
      </c>
      <c r="F1261">
        <v>2015</v>
      </c>
      <c r="G1261" t="str">
        <f>"              200566"</f>
        <v xml:space="preserve">              200566</v>
      </c>
      <c r="H1261" s="3">
        <v>42178</v>
      </c>
      <c r="I1261" s="3">
        <v>42185</v>
      </c>
      <c r="J1261" s="3">
        <v>42181</v>
      </c>
      <c r="K1261" s="3">
        <v>42241</v>
      </c>
      <c r="L1261" s="5">
        <v>1226</v>
      </c>
      <c r="M1261">
        <v>251</v>
      </c>
      <c r="N1261" s="5">
        <v>307726</v>
      </c>
      <c r="O1261" s="4">
        <v>1226</v>
      </c>
      <c r="P1261">
        <v>251</v>
      </c>
      <c r="Q1261" s="4">
        <v>307726</v>
      </c>
      <c r="R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 s="3">
        <v>42562</v>
      </c>
      <c r="AC1261" t="s">
        <v>53</v>
      </c>
      <c r="AD1261" t="s">
        <v>53</v>
      </c>
      <c r="AK1261">
        <v>0</v>
      </c>
      <c r="AU1261" s="3">
        <v>42492</v>
      </c>
      <c r="AV1261" s="3">
        <v>42492</v>
      </c>
      <c r="AW1261" t="s">
        <v>54</v>
      </c>
      <c r="AX1261" t="str">
        <f t="shared" si="158"/>
        <v>FOR</v>
      </c>
      <c r="AY1261" t="s">
        <v>55</v>
      </c>
    </row>
    <row r="1262" spans="1:51">
      <c r="A1262">
        <v>101170</v>
      </c>
      <c r="B1262" t="s">
        <v>201</v>
      </c>
      <c r="C1262" t="str">
        <f t="shared" si="159"/>
        <v>00527500540</v>
      </c>
      <c r="D1262" t="str">
        <f t="shared" si="159"/>
        <v>00527500540</v>
      </c>
      <c r="E1262" t="s">
        <v>52</v>
      </c>
      <c r="F1262">
        <v>2015</v>
      </c>
      <c r="G1262" t="str">
        <f>"              200567"</f>
        <v xml:space="preserve">              200567</v>
      </c>
      <c r="H1262" s="3">
        <v>42178</v>
      </c>
      <c r="I1262" s="3">
        <v>42185</v>
      </c>
      <c r="J1262" s="3">
        <v>42181</v>
      </c>
      <c r="K1262" s="3">
        <v>42241</v>
      </c>
      <c r="L1262" s="1">
        <v>450</v>
      </c>
      <c r="M1262">
        <v>251</v>
      </c>
      <c r="N1262" s="5">
        <v>112950</v>
      </c>
      <c r="O1262">
        <v>450</v>
      </c>
      <c r="P1262">
        <v>251</v>
      </c>
      <c r="Q1262" s="4">
        <v>112950</v>
      </c>
      <c r="R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0</v>
      </c>
      <c r="AB1262" s="3">
        <v>42562</v>
      </c>
      <c r="AC1262" t="s">
        <v>53</v>
      </c>
      <c r="AD1262" t="s">
        <v>53</v>
      </c>
      <c r="AK1262">
        <v>0</v>
      </c>
      <c r="AU1262" s="3">
        <v>42492</v>
      </c>
      <c r="AV1262" s="3">
        <v>42492</v>
      </c>
      <c r="AW1262" t="s">
        <v>54</v>
      </c>
      <c r="AX1262" t="str">
        <f t="shared" si="158"/>
        <v>FOR</v>
      </c>
      <c r="AY1262" t="s">
        <v>55</v>
      </c>
    </row>
    <row r="1263" spans="1:51">
      <c r="A1263">
        <v>101170</v>
      </c>
      <c r="B1263" t="s">
        <v>201</v>
      </c>
      <c r="C1263" t="str">
        <f t="shared" si="159"/>
        <v>00527500540</v>
      </c>
      <c r="D1263" t="str">
        <f t="shared" si="159"/>
        <v>00527500540</v>
      </c>
      <c r="E1263" t="s">
        <v>52</v>
      </c>
      <c r="F1263">
        <v>2015</v>
      </c>
      <c r="G1263" t="str">
        <f>"              200568"</f>
        <v xml:space="preserve">              200568</v>
      </c>
      <c r="H1263" s="3">
        <v>42178</v>
      </c>
      <c r="I1263" s="3">
        <v>42185</v>
      </c>
      <c r="J1263" s="3">
        <v>42181</v>
      </c>
      <c r="K1263" s="3">
        <v>42241</v>
      </c>
      <c r="L1263" s="1">
        <v>200</v>
      </c>
      <c r="M1263">
        <v>251</v>
      </c>
      <c r="N1263" s="5">
        <v>50200</v>
      </c>
      <c r="O1263">
        <v>200</v>
      </c>
      <c r="P1263">
        <v>251</v>
      </c>
      <c r="Q1263" s="4">
        <v>50200</v>
      </c>
      <c r="R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 s="3">
        <v>42562</v>
      </c>
      <c r="AC1263" t="s">
        <v>53</v>
      </c>
      <c r="AD1263" t="s">
        <v>53</v>
      </c>
      <c r="AK1263">
        <v>0</v>
      </c>
      <c r="AU1263" s="3">
        <v>42492</v>
      </c>
      <c r="AV1263" s="3">
        <v>42492</v>
      </c>
      <c r="AW1263" t="s">
        <v>54</v>
      </c>
      <c r="AX1263" t="str">
        <f t="shared" si="158"/>
        <v>FOR</v>
      </c>
      <c r="AY1263" t="s">
        <v>55</v>
      </c>
    </row>
    <row r="1264" spans="1:51">
      <c r="A1264">
        <v>101170</v>
      </c>
      <c r="B1264" t="s">
        <v>201</v>
      </c>
      <c r="C1264" t="str">
        <f t="shared" si="159"/>
        <v>00527500540</v>
      </c>
      <c r="D1264" t="str">
        <f t="shared" si="159"/>
        <v>00527500540</v>
      </c>
      <c r="E1264" t="s">
        <v>52</v>
      </c>
      <c r="F1264">
        <v>2015</v>
      </c>
      <c r="G1264" t="str">
        <f>"              200569"</f>
        <v xml:space="preserve">              200569</v>
      </c>
      <c r="H1264" s="3">
        <v>42178</v>
      </c>
      <c r="I1264" s="3">
        <v>42185</v>
      </c>
      <c r="J1264" s="3">
        <v>42181</v>
      </c>
      <c r="K1264" s="3">
        <v>42241</v>
      </c>
      <c r="L1264" s="1">
        <v>450</v>
      </c>
      <c r="M1264">
        <v>251</v>
      </c>
      <c r="N1264" s="5">
        <v>112950</v>
      </c>
      <c r="O1264">
        <v>450</v>
      </c>
      <c r="P1264">
        <v>251</v>
      </c>
      <c r="Q1264" s="4">
        <v>112950</v>
      </c>
      <c r="R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 s="3">
        <v>42562</v>
      </c>
      <c r="AC1264" t="s">
        <v>53</v>
      </c>
      <c r="AD1264" t="s">
        <v>53</v>
      </c>
      <c r="AK1264">
        <v>0</v>
      </c>
      <c r="AU1264" s="3">
        <v>42492</v>
      </c>
      <c r="AV1264" s="3">
        <v>42492</v>
      </c>
      <c r="AW1264" t="s">
        <v>54</v>
      </c>
      <c r="AX1264" t="str">
        <f t="shared" si="158"/>
        <v>FOR</v>
      </c>
      <c r="AY1264" t="s">
        <v>55</v>
      </c>
    </row>
    <row r="1265" spans="1:51">
      <c r="A1265">
        <v>101170</v>
      </c>
      <c r="B1265" t="s">
        <v>201</v>
      </c>
      <c r="C1265" t="str">
        <f t="shared" si="159"/>
        <v>00527500540</v>
      </c>
      <c r="D1265" t="str">
        <f t="shared" si="159"/>
        <v>00527500540</v>
      </c>
      <c r="E1265" t="s">
        <v>52</v>
      </c>
      <c r="F1265">
        <v>2015</v>
      </c>
      <c r="G1265" t="str">
        <f>"              200570"</f>
        <v xml:space="preserve">              200570</v>
      </c>
      <c r="H1265" s="3">
        <v>42178</v>
      </c>
      <c r="I1265" s="3">
        <v>42185</v>
      </c>
      <c r="J1265" s="3">
        <v>42181</v>
      </c>
      <c r="K1265" s="3">
        <v>42241</v>
      </c>
      <c r="L1265" s="5">
        <v>4200</v>
      </c>
      <c r="M1265">
        <v>251</v>
      </c>
      <c r="N1265" s="5">
        <v>1054200</v>
      </c>
      <c r="O1265" s="4">
        <v>4200</v>
      </c>
      <c r="P1265">
        <v>251</v>
      </c>
      <c r="Q1265" s="4">
        <v>1054200</v>
      </c>
      <c r="R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0</v>
      </c>
      <c r="AB1265" s="3">
        <v>42562</v>
      </c>
      <c r="AC1265" t="s">
        <v>53</v>
      </c>
      <c r="AD1265" t="s">
        <v>53</v>
      </c>
      <c r="AK1265">
        <v>0</v>
      </c>
      <c r="AU1265" s="3">
        <v>42492</v>
      </c>
      <c r="AV1265" s="3">
        <v>42492</v>
      </c>
      <c r="AW1265" t="s">
        <v>54</v>
      </c>
      <c r="AX1265" t="str">
        <f t="shared" si="158"/>
        <v>FOR</v>
      </c>
      <c r="AY1265" t="s">
        <v>55</v>
      </c>
    </row>
    <row r="1266" spans="1:51">
      <c r="A1266">
        <v>101170</v>
      </c>
      <c r="B1266" t="s">
        <v>201</v>
      </c>
      <c r="C1266" t="str">
        <f t="shared" si="159"/>
        <v>00527500540</v>
      </c>
      <c r="D1266" t="str">
        <f t="shared" si="159"/>
        <v>00527500540</v>
      </c>
      <c r="E1266" t="s">
        <v>52</v>
      </c>
      <c r="F1266">
        <v>2015</v>
      </c>
      <c r="G1266" t="str">
        <f>"              200571"</f>
        <v xml:space="preserve">              200571</v>
      </c>
      <c r="H1266" s="3">
        <v>42178</v>
      </c>
      <c r="I1266" s="3">
        <v>42185</v>
      </c>
      <c r="J1266" s="3">
        <v>42181</v>
      </c>
      <c r="K1266" s="3">
        <v>42241</v>
      </c>
      <c r="L1266" s="1">
        <v>665</v>
      </c>
      <c r="M1266">
        <v>251</v>
      </c>
      <c r="N1266" s="5">
        <v>166915</v>
      </c>
      <c r="O1266">
        <v>665</v>
      </c>
      <c r="P1266">
        <v>251</v>
      </c>
      <c r="Q1266" s="4">
        <v>166915</v>
      </c>
      <c r="R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 s="3">
        <v>42562</v>
      </c>
      <c r="AC1266" t="s">
        <v>53</v>
      </c>
      <c r="AD1266" t="s">
        <v>53</v>
      </c>
      <c r="AK1266">
        <v>0</v>
      </c>
      <c r="AU1266" s="3">
        <v>42492</v>
      </c>
      <c r="AV1266" s="3">
        <v>42492</v>
      </c>
      <c r="AW1266" t="s">
        <v>54</v>
      </c>
      <c r="AX1266" t="str">
        <f t="shared" si="158"/>
        <v>FOR</v>
      </c>
      <c r="AY1266" t="s">
        <v>55</v>
      </c>
    </row>
    <row r="1267" spans="1:51">
      <c r="A1267">
        <v>101170</v>
      </c>
      <c r="B1267" t="s">
        <v>201</v>
      </c>
      <c r="C1267" t="str">
        <f t="shared" si="159"/>
        <v>00527500540</v>
      </c>
      <c r="D1267" t="str">
        <f t="shared" si="159"/>
        <v>00527500540</v>
      </c>
      <c r="E1267" t="s">
        <v>52</v>
      </c>
      <c r="F1267">
        <v>2015</v>
      </c>
      <c r="G1267" t="str">
        <f>"              200572"</f>
        <v xml:space="preserve">              200572</v>
      </c>
      <c r="H1267" s="3">
        <v>42178</v>
      </c>
      <c r="I1267" s="3">
        <v>42188</v>
      </c>
      <c r="J1267" s="3">
        <v>42181</v>
      </c>
      <c r="K1267" s="3">
        <v>42241</v>
      </c>
      <c r="L1267" s="1">
        <v>345</v>
      </c>
      <c r="M1267">
        <v>251</v>
      </c>
      <c r="N1267" s="5">
        <v>86595</v>
      </c>
      <c r="O1267">
        <v>345</v>
      </c>
      <c r="P1267">
        <v>251</v>
      </c>
      <c r="Q1267" s="4">
        <v>86595</v>
      </c>
      <c r="R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 s="3">
        <v>42562</v>
      </c>
      <c r="AC1267" t="s">
        <v>53</v>
      </c>
      <c r="AD1267" t="s">
        <v>53</v>
      </c>
      <c r="AK1267">
        <v>0</v>
      </c>
      <c r="AU1267" s="3">
        <v>42492</v>
      </c>
      <c r="AV1267" s="3">
        <v>42492</v>
      </c>
      <c r="AW1267" t="s">
        <v>54</v>
      </c>
      <c r="AX1267" t="str">
        <f t="shared" si="158"/>
        <v>FOR</v>
      </c>
      <c r="AY1267" t="s">
        <v>55</v>
      </c>
    </row>
    <row r="1268" spans="1:51">
      <c r="A1268">
        <v>101170</v>
      </c>
      <c r="B1268" t="s">
        <v>201</v>
      </c>
      <c r="C1268" t="str">
        <f t="shared" si="159"/>
        <v>00527500540</v>
      </c>
      <c r="D1268" t="str">
        <f t="shared" si="159"/>
        <v>00527500540</v>
      </c>
      <c r="E1268" t="s">
        <v>52</v>
      </c>
      <c r="F1268">
        <v>2015</v>
      </c>
      <c r="G1268" t="str">
        <f>"              200573"</f>
        <v xml:space="preserve">              200573</v>
      </c>
      <c r="H1268" s="3">
        <v>42178</v>
      </c>
      <c r="I1268" s="3">
        <v>42185</v>
      </c>
      <c r="J1268" s="3">
        <v>42181</v>
      </c>
      <c r="K1268" s="3">
        <v>42241</v>
      </c>
      <c r="L1268" s="5">
        <v>4200</v>
      </c>
      <c r="M1268">
        <v>251</v>
      </c>
      <c r="N1268" s="5">
        <v>1054200</v>
      </c>
      <c r="O1268" s="4">
        <v>4200</v>
      </c>
      <c r="P1268">
        <v>251</v>
      </c>
      <c r="Q1268" s="4">
        <v>1054200</v>
      </c>
      <c r="R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 s="3">
        <v>42562</v>
      </c>
      <c r="AC1268" t="s">
        <v>53</v>
      </c>
      <c r="AD1268" t="s">
        <v>53</v>
      </c>
      <c r="AK1268">
        <v>0</v>
      </c>
      <c r="AU1268" s="3">
        <v>42492</v>
      </c>
      <c r="AV1268" s="3">
        <v>42492</v>
      </c>
      <c r="AW1268" t="s">
        <v>54</v>
      </c>
      <c r="AX1268" t="str">
        <f t="shared" si="158"/>
        <v>FOR</v>
      </c>
      <c r="AY1268" t="s">
        <v>55</v>
      </c>
    </row>
    <row r="1269" spans="1:51">
      <c r="A1269">
        <v>101170</v>
      </c>
      <c r="B1269" t="s">
        <v>201</v>
      </c>
      <c r="C1269" t="str">
        <f t="shared" si="159"/>
        <v>00527500540</v>
      </c>
      <c r="D1269" t="str">
        <f t="shared" si="159"/>
        <v>00527500540</v>
      </c>
      <c r="E1269" t="s">
        <v>52</v>
      </c>
      <c r="F1269">
        <v>2015</v>
      </c>
      <c r="G1269" t="str">
        <f>"              200574"</f>
        <v xml:space="preserve">              200574</v>
      </c>
      <c r="H1269" s="3">
        <v>42178</v>
      </c>
      <c r="I1269" s="3">
        <v>42185</v>
      </c>
      <c r="J1269" s="3">
        <v>42181</v>
      </c>
      <c r="K1269" s="3">
        <v>42241</v>
      </c>
      <c r="L1269" s="1">
        <v>490</v>
      </c>
      <c r="M1269">
        <v>251</v>
      </c>
      <c r="N1269" s="5">
        <v>122990</v>
      </c>
      <c r="O1269">
        <v>490</v>
      </c>
      <c r="P1269">
        <v>251</v>
      </c>
      <c r="Q1269" s="4">
        <v>122990</v>
      </c>
      <c r="R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0</v>
      </c>
      <c r="AB1269" s="3">
        <v>42562</v>
      </c>
      <c r="AC1269" t="s">
        <v>53</v>
      </c>
      <c r="AD1269" t="s">
        <v>53</v>
      </c>
      <c r="AK1269">
        <v>0</v>
      </c>
      <c r="AU1269" s="3">
        <v>42492</v>
      </c>
      <c r="AV1269" s="3">
        <v>42492</v>
      </c>
      <c r="AW1269" t="s">
        <v>54</v>
      </c>
      <c r="AX1269" t="str">
        <f t="shared" si="158"/>
        <v>FOR</v>
      </c>
      <c r="AY1269" t="s">
        <v>55</v>
      </c>
    </row>
    <row r="1270" spans="1:51">
      <c r="A1270">
        <v>101170</v>
      </c>
      <c r="B1270" t="s">
        <v>201</v>
      </c>
      <c r="C1270" t="str">
        <f t="shared" si="159"/>
        <v>00527500540</v>
      </c>
      <c r="D1270" t="str">
        <f t="shared" si="159"/>
        <v>00527500540</v>
      </c>
      <c r="E1270" t="s">
        <v>52</v>
      </c>
      <c r="F1270">
        <v>2015</v>
      </c>
      <c r="G1270" t="str">
        <f>"              200575"</f>
        <v xml:space="preserve">              200575</v>
      </c>
      <c r="H1270" s="3">
        <v>42178</v>
      </c>
      <c r="I1270" s="3">
        <v>42185</v>
      </c>
      <c r="J1270" s="3">
        <v>42181</v>
      </c>
      <c r="K1270" s="3">
        <v>42241</v>
      </c>
      <c r="L1270" s="1">
        <v>780</v>
      </c>
      <c r="M1270">
        <v>251</v>
      </c>
      <c r="N1270" s="5">
        <v>195780</v>
      </c>
      <c r="O1270">
        <v>780</v>
      </c>
      <c r="P1270">
        <v>251</v>
      </c>
      <c r="Q1270" s="4">
        <v>195780</v>
      </c>
      <c r="R1270">
        <v>0</v>
      </c>
      <c r="V1270">
        <v>0</v>
      </c>
      <c r="W1270">
        <v>0</v>
      </c>
      <c r="X1270">
        <v>0</v>
      </c>
      <c r="Y1270">
        <v>0</v>
      </c>
      <c r="Z1270">
        <v>0</v>
      </c>
      <c r="AA1270">
        <v>0</v>
      </c>
      <c r="AB1270" s="3">
        <v>42562</v>
      </c>
      <c r="AC1270" t="s">
        <v>53</v>
      </c>
      <c r="AD1270" t="s">
        <v>53</v>
      </c>
      <c r="AK1270">
        <v>0</v>
      </c>
      <c r="AU1270" s="3">
        <v>42492</v>
      </c>
      <c r="AV1270" s="3">
        <v>42492</v>
      </c>
      <c r="AW1270" t="s">
        <v>54</v>
      </c>
      <c r="AX1270" t="str">
        <f t="shared" si="158"/>
        <v>FOR</v>
      </c>
      <c r="AY1270" t="s">
        <v>55</v>
      </c>
    </row>
    <row r="1271" spans="1:51">
      <c r="A1271">
        <v>101170</v>
      </c>
      <c r="B1271" t="s">
        <v>201</v>
      </c>
      <c r="C1271" t="str">
        <f t="shared" si="159"/>
        <v>00527500540</v>
      </c>
      <c r="D1271" t="str">
        <f t="shared" si="159"/>
        <v>00527500540</v>
      </c>
      <c r="E1271" t="s">
        <v>52</v>
      </c>
      <c r="F1271">
        <v>2015</v>
      </c>
      <c r="G1271" t="str">
        <f>"              200576"</f>
        <v xml:space="preserve">              200576</v>
      </c>
      <c r="H1271" s="3">
        <v>42178</v>
      </c>
      <c r="I1271" s="3">
        <v>42185</v>
      </c>
      <c r="J1271" s="3">
        <v>42181</v>
      </c>
      <c r="K1271" s="3">
        <v>42241</v>
      </c>
      <c r="L1271" s="5">
        <v>4200</v>
      </c>
      <c r="M1271">
        <v>251</v>
      </c>
      <c r="N1271" s="5">
        <v>1054200</v>
      </c>
      <c r="O1271" s="4">
        <v>4200</v>
      </c>
      <c r="P1271">
        <v>251</v>
      </c>
      <c r="Q1271" s="4">
        <v>1054200</v>
      </c>
      <c r="R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0</v>
      </c>
      <c r="AB1271" s="3">
        <v>42562</v>
      </c>
      <c r="AC1271" t="s">
        <v>53</v>
      </c>
      <c r="AD1271" t="s">
        <v>53</v>
      </c>
      <c r="AK1271">
        <v>0</v>
      </c>
      <c r="AU1271" s="3">
        <v>42492</v>
      </c>
      <c r="AV1271" s="3">
        <v>42492</v>
      </c>
      <c r="AW1271" t="s">
        <v>54</v>
      </c>
      <c r="AX1271" t="str">
        <f t="shared" si="158"/>
        <v>FOR</v>
      </c>
      <c r="AY1271" t="s">
        <v>55</v>
      </c>
    </row>
    <row r="1272" spans="1:51">
      <c r="A1272">
        <v>101170</v>
      </c>
      <c r="B1272" t="s">
        <v>201</v>
      </c>
      <c r="C1272" t="str">
        <f t="shared" si="159"/>
        <v>00527500540</v>
      </c>
      <c r="D1272" t="str">
        <f t="shared" si="159"/>
        <v>00527500540</v>
      </c>
      <c r="E1272" t="s">
        <v>52</v>
      </c>
      <c r="F1272">
        <v>2015</v>
      </c>
      <c r="G1272" t="str">
        <f>"              200577"</f>
        <v xml:space="preserve">              200577</v>
      </c>
      <c r="H1272" s="3">
        <v>42178</v>
      </c>
      <c r="I1272" s="3">
        <v>42185</v>
      </c>
      <c r="J1272" s="3">
        <v>42181</v>
      </c>
      <c r="K1272" s="3">
        <v>42241</v>
      </c>
      <c r="L1272" s="5">
        <v>1414</v>
      </c>
      <c r="M1272">
        <v>251</v>
      </c>
      <c r="N1272" s="5">
        <v>354914</v>
      </c>
      <c r="O1272" s="4">
        <v>1414</v>
      </c>
      <c r="P1272">
        <v>251</v>
      </c>
      <c r="Q1272" s="4">
        <v>354914</v>
      </c>
      <c r="R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 s="3">
        <v>42562</v>
      </c>
      <c r="AC1272" t="s">
        <v>53</v>
      </c>
      <c r="AD1272" t="s">
        <v>53</v>
      </c>
      <c r="AK1272">
        <v>0</v>
      </c>
      <c r="AU1272" s="3">
        <v>42492</v>
      </c>
      <c r="AV1272" s="3">
        <v>42492</v>
      </c>
      <c r="AW1272" t="s">
        <v>54</v>
      </c>
      <c r="AX1272" t="str">
        <f t="shared" si="158"/>
        <v>FOR</v>
      </c>
      <c r="AY1272" t="s">
        <v>55</v>
      </c>
    </row>
    <row r="1273" spans="1:51">
      <c r="A1273">
        <v>101170</v>
      </c>
      <c r="B1273" t="s">
        <v>201</v>
      </c>
      <c r="C1273" t="str">
        <f t="shared" si="159"/>
        <v>00527500540</v>
      </c>
      <c r="D1273" t="str">
        <f t="shared" si="159"/>
        <v>00527500540</v>
      </c>
      <c r="E1273" t="s">
        <v>52</v>
      </c>
      <c r="F1273">
        <v>2015</v>
      </c>
      <c r="G1273" t="str">
        <f>"              200578"</f>
        <v xml:space="preserve">              200578</v>
      </c>
      <c r="H1273" s="3">
        <v>42179</v>
      </c>
      <c r="I1273" s="3">
        <v>42185</v>
      </c>
      <c r="J1273" s="3">
        <v>42181</v>
      </c>
      <c r="K1273" s="3">
        <v>42241</v>
      </c>
      <c r="L1273" s="1">
        <v>121</v>
      </c>
      <c r="M1273">
        <v>251</v>
      </c>
      <c r="N1273" s="5">
        <v>30371</v>
      </c>
      <c r="O1273">
        <v>121</v>
      </c>
      <c r="P1273">
        <v>251</v>
      </c>
      <c r="Q1273" s="4">
        <v>30371</v>
      </c>
      <c r="R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0</v>
      </c>
      <c r="AB1273" s="3">
        <v>42562</v>
      </c>
      <c r="AC1273" t="s">
        <v>53</v>
      </c>
      <c r="AD1273" t="s">
        <v>53</v>
      </c>
      <c r="AK1273">
        <v>0</v>
      </c>
      <c r="AU1273" s="3">
        <v>42492</v>
      </c>
      <c r="AV1273" s="3">
        <v>42492</v>
      </c>
      <c r="AW1273" t="s">
        <v>54</v>
      </c>
      <c r="AX1273" t="str">
        <f t="shared" si="158"/>
        <v>FOR</v>
      </c>
      <c r="AY1273" t="s">
        <v>55</v>
      </c>
    </row>
    <row r="1274" spans="1:51">
      <c r="A1274">
        <v>101170</v>
      </c>
      <c r="B1274" t="s">
        <v>201</v>
      </c>
      <c r="C1274" t="str">
        <f t="shared" si="159"/>
        <v>00527500540</v>
      </c>
      <c r="D1274" t="str">
        <f t="shared" si="159"/>
        <v>00527500540</v>
      </c>
      <c r="E1274" t="s">
        <v>52</v>
      </c>
      <c r="F1274">
        <v>2015</v>
      </c>
      <c r="G1274" t="str">
        <f>"              200579"</f>
        <v xml:space="preserve">              200579</v>
      </c>
      <c r="H1274" s="3">
        <v>42179</v>
      </c>
      <c r="I1274" s="3">
        <v>42186</v>
      </c>
      <c r="J1274" s="3">
        <v>42181</v>
      </c>
      <c r="K1274" s="3">
        <v>42241</v>
      </c>
      <c r="L1274" s="1">
        <v>880</v>
      </c>
      <c r="M1274">
        <v>251</v>
      </c>
      <c r="N1274" s="5">
        <v>220880</v>
      </c>
      <c r="O1274">
        <v>880</v>
      </c>
      <c r="P1274">
        <v>251</v>
      </c>
      <c r="Q1274" s="4">
        <v>220880</v>
      </c>
      <c r="R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 s="3">
        <v>42562</v>
      </c>
      <c r="AC1274" t="s">
        <v>53</v>
      </c>
      <c r="AD1274" t="s">
        <v>53</v>
      </c>
      <c r="AK1274">
        <v>0</v>
      </c>
      <c r="AU1274" s="3">
        <v>42492</v>
      </c>
      <c r="AV1274" s="3">
        <v>42492</v>
      </c>
      <c r="AW1274" t="s">
        <v>54</v>
      </c>
      <c r="AX1274" t="str">
        <f t="shared" si="158"/>
        <v>FOR</v>
      </c>
      <c r="AY1274" t="s">
        <v>55</v>
      </c>
    </row>
    <row r="1275" spans="1:51">
      <c r="A1275">
        <v>101170</v>
      </c>
      <c r="B1275" t="s">
        <v>201</v>
      </c>
      <c r="C1275" t="str">
        <f t="shared" si="159"/>
        <v>00527500540</v>
      </c>
      <c r="D1275" t="str">
        <f t="shared" si="159"/>
        <v>00527500540</v>
      </c>
      <c r="E1275" t="s">
        <v>52</v>
      </c>
      <c r="F1275">
        <v>2015</v>
      </c>
      <c r="G1275" t="str">
        <f>"              200580"</f>
        <v xml:space="preserve">              200580</v>
      </c>
      <c r="H1275" s="3">
        <v>42179</v>
      </c>
      <c r="I1275" s="3">
        <v>42185</v>
      </c>
      <c r="J1275" s="3">
        <v>42181</v>
      </c>
      <c r="K1275" s="3">
        <v>42241</v>
      </c>
      <c r="L1275" s="1">
        <v>800</v>
      </c>
      <c r="M1275">
        <v>251</v>
      </c>
      <c r="N1275" s="5">
        <v>200800</v>
      </c>
      <c r="O1275">
        <v>800</v>
      </c>
      <c r="P1275">
        <v>251</v>
      </c>
      <c r="Q1275" s="4">
        <v>200800</v>
      </c>
      <c r="R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 s="3">
        <v>42562</v>
      </c>
      <c r="AC1275" t="s">
        <v>53</v>
      </c>
      <c r="AD1275" t="s">
        <v>53</v>
      </c>
      <c r="AK1275">
        <v>0</v>
      </c>
      <c r="AU1275" s="3">
        <v>42492</v>
      </c>
      <c r="AV1275" s="3">
        <v>42492</v>
      </c>
      <c r="AW1275" t="s">
        <v>54</v>
      </c>
      <c r="AX1275" t="str">
        <f t="shared" si="158"/>
        <v>FOR</v>
      </c>
      <c r="AY1275" t="s">
        <v>55</v>
      </c>
    </row>
    <row r="1276" spans="1:51" hidden="1">
      <c r="A1276">
        <v>101178</v>
      </c>
      <c r="B1276" t="s">
        <v>202</v>
      </c>
      <c r="C1276" t="str">
        <f t="shared" ref="C1276:D1279" si="160">"01985020518"</f>
        <v>01985020518</v>
      </c>
      <c r="D1276" t="str">
        <f t="shared" si="160"/>
        <v>01985020518</v>
      </c>
      <c r="E1276" t="s">
        <v>52</v>
      </c>
      <c r="F1276">
        <v>2015</v>
      </c>
      <c r="G1276" t="str">
        <f>"            31/PA/15"</f>
        <v xml:space="preserve">            31/PA/15</v>
      </c>
      <c r="H1276" s="3">
        <v>42153</v>
      </c>
      <c r="I1276" s="3">
        <v>42177</v>
      </c>
      <c r="J1276" s="3">
        <v>42173</v>
      </c>
      <c r="K1276" s="3">
        <v>42233</v>
      </c>
      <c r="L1276"/>
      <c r="N1276"/>
      <c r="O1276" s="4">
        <v>2750</v>
      </c>
      <c r="P1276">
        <v>220</v>
      </c>
      <c r="Q1276" s="4">
        <v>605000</v>
      </c>
      <c r="R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 s="3">
        <v>42562</v>
      </c>
      <c r="AC1276" t="s">
        <v>53</v>
      </c>
      <c r="AD1276" t="s">
        <v>53</v>
      </c>
      <c r="AK1276">
        <v>0</v>
      </c>
      <c r="AU1276" s="3">
        <v>42453</v>
      </c>
      <c r="AV1276" s="3">
        <v>42453</v>
      </c>
      <c r="AW1276" t="s">
        <v>54</v>
      </c>
      <c r="AX1276" t="str">
        <f t="shared" si="158"/>
        <v>FOR</v>
      </c>
      <c r="AY1276" t="s">
        <v>55</v>
      </c>
    </row>
    <row r="1277" spans="1:51" hidden="1">
      <c r="A1277">
        <v>101178</v>
      </c>
      <c r="B1277" t="s">
        <v>202</v>
      </c>
      <c r="C1277" t="str">
        <f t="shared" si="160"/>
        <v>01985020518</v>
      </c>
      <c r="D1277" t="str">
        <f t="shared" si="160"/>
        <v>01985020518</v>
      </c>
      <c r="E1277" t="s">
        <v>52</v>
      </c>
      <c r="F1277">
        <v>2015</v>
      </c>
      <c r="G1277" t="str">
        <f>"            32/PA/15"</f>
        <v xml:space="preserve">            32/PA/15</v>
      </c>
      <c r="H1277" s="3">
        <v>42153</v>
      </c>
      <c r="I1277" s="3">
        <v>42177</v>
      </c>
      <c r="J1277" s="3">
        <v>42173</v>
      </c>
      <c r="K1277" s="3">
        <v>42233</v>
      </c>
      <c r="L1277"/>
      <c r="N1277"/>
      <c r="O1277" s="4">
        <v>2750</v>
      </c>
      <c r="P1277">
        <v>220</v>
      </c>
      <c r="Q1277" s="4">
        <v>605000</v>
      </c>
      <c r="R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 s="3">
        <v>42562</v>
      </c>
      <c r="AC1277" t="s">
        <v>53</v>
      </c>
      <c r="AD1277" t="s">
        <v>53</v>
      </c>
      <c r="AK1277">
        <v>0</v>
      </c>
      <c r="AU1277" s="3">
        <v>42453</v>
      </c>
      <c r="AV1277" s="3">
        <v>42453</v>
      </c>
      <c r="AW1277" t="s">
        <v>54</v>
      </c>
      <c r="AX1277" t="str">
        <f t="shared" si="158"/>
        <v>FOR</v>
      </c>
      <c r="AY1277" t="s">
        <v>55</v>
      </c>
    </row>
    <row r="1278" spans="1:51" hidden="1">
      <c r="A1278">
        <v>101178</v>
      </c>
      <c r="B1278" t="s">
        <v>202</v>
      </c>
      <c r="C1278" t="str">
        <f t="shared" si="160"/>
        <v>01985020518</v>
      </c>
      <c r="D1278" t="str">
        <f t="shared" si="160"/>
        <v>01985020518</v>
      </c>
      <c r="E1278" t="s">
        <v>52</v>
      </c>
      <c r="F1278">
        <v>2015</v>
      </c>
      <c r="G1278" t="str">
        <f>"            33/PA/15"</f>
        <v xml:space="preserve">            33/PA/15</v>
      </c>
      <c r="H1278" s="3">
        <v>42153</v>
      </c>
      <c r="I1278" s="3">
        <v>42177</v>
      </c>
      <c r="J1278" s="3">
        <v>42173</v>
      </c>
      <c r="K1278" s="3">
        <v>42233</v>
      </c>
      <c r="L1278"/>
      <c r="N1278"/>
      <c r="O1278" s="4">
        <v>2750</v>
      </c>
      <c r="P1278">
        <v>220</v>
      </c>
      <c r="Q1278" s="4">
        <v>605000</v>
      </c>
      <c r="R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 s="3">
        <v>42562</v>
      </c>
      <c r="AC1278" t="s">
        <v>53</v>
      </c>
      <c r="AD1278" t="s">
        <v>53</v>
      </c>
      <c r="AK1278">
        <v>0</v>
      </c>
      <c r="AU1278" s="3">
        <v>42453</v>
      </c>
      <c r="AV1278" s="3">
        <v>42453</v>
      </c>
      <c r="AW1278" t="s">
        <v>54</v>
      </c>
      <c r="AX1278" t="str">
        <f t="shared" si="158"/>
        <v>FOR</v>
      </c>
      <c r="AY1278" t="s">
        <v>55</v>
      </c>
    </row>
    <row r="1279" spans="1:51" hidden="1">
      <c r="A1279">
        <v>101178</v>
      </c>
      <c r="B1279" t="s">
        <v>202</v>
      </c>
      <c r="C1279" t="str">
        <f t="shared" si="160"/>
        <v>01985020518</v>
      </c>
      <c r="D1279" t="str">
        <f t="shared" si="160"/>
        <v>01985020518</v>
      </c>
      <c r="E1279" t="s">
        <v>52</v>
      </c>
      <c r="F1279">
        <v>2015</v>
      </c>
      <c r="G1279" t="str">
        <f>"            81/PA/15"</f>
        <v xml:space="preserve">            81/PA/15</v>
      </c>
      <c r="H1279" s="3">
        <v>42206</v>
      </c>
      <c r="I1279" s="3">
        <v>42228</v>
      </c>
      <c r="J1279" s="3">
        <v>42222</v>
      </c>
      <c r="K1279" s="3">
        <v>42282</v>
      </c>
      <c r="L1279"/>
      <c r="N1279"/>
      <c r="O1279" s="4">
        <v>2750</v>
      </c>
      <c r="P1279">
        <v>171</v>
      </c>
      <c r="Q1279" s="4">
        <v>470250</v>
      </c>
      <c r="R1279">
        <v>0</v>
      </c>
      <c r="V1279">
        <v>0</v>
      </c>
      <c r="W1279">
        <v>0</v>
      </c>
      <c r="X1279">
        <v>0</v>
      </c>
      <c r="Y1279">
        <v>0</v>
      </c>
      <c r="Z1279">
        <v>0</v>
      </c>
      <c r="AA1279">
        <v>0</v>
      </c>
      <c r="AB1279" s="3">
        <v>42562</v>
      </c>
      <c r="AC1279" t="s">
        <v>53</v>
      </c>
      <c r="AD1279" t="s">
        <v>53</v>
      </c>
      <c r="AK1279">
        <v>0</v>
      </c>
      <c r="AU1279" s="3">
        <v>42453</v>
      </c>
      <c r="AV1279" s="3">
        <v>42453</v>
      </c>
      <c r="AW1279" t="s">
        <v>54</v>
      </c>
      <c r="AX1279" t="str">
        <f t="shared" si="158"/>
        <v>FOR</v>
      </c>
      <c r="AY1279" t="s">
        <v>55</v>
      </c>
    </row>
    <row r="1280" spans="1:51" hidden="1">
      <c r="A1280">
        <v>101201</v>
      </c>
      <c r="B1280" t="s">
        <v>203</v>
      </c>
      <c r="C1280" t="str">
        <f>"01473010625"</f>
        <v>01473010625</v>
      </c>
      <c r="D1280" t="str">
        <f>"BVNSNO73S56A783V"</f>
        <v>BVNSNO73S56A783V</v>
      </c>
      <c r="E1280" t="s">
        <v>52</v>
      </c>
      <c r="F1280">
        <v>2015</v>
      </c>
      <c r="G1280" t="str">
        <f>"         FATTPA 8_15"</f>
        <v xml:space="preserve">         FATTPA 8_15</v>
      </c>
      <c r="H1280" s="3">
        <v>42352</v>
      </c>
      <c r="I1280" s="3">
        <v>42353</v>
      </c>
      <c r="J1280" s="3">
        <v>42353</v>
      </c>
      <c r="K1280" s="3">
        <v>42413</v>
      </c>
      <c r="L1280"/>
      <c r="N1280"/>
      <c r="O1280" s="4">
        <v>1936.02</v>
      </c>
      <c r="P1280">
        <v>-33</v>
      </c>
      <c r="Q1280" s="4">
        <v>-63888.66</v>
      </c>
      <c r="R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0</v>
      </c>
      <c r="AB1280" s="3">
        <v>42562</v>
      </c>
      <c r="AC1280" t="s">
        <v>53</v>
      </c>
      <c r="AD1280" t="s">
        <v>53</v>
      </c>
      <c r="AK1280">
        <v>0</v>
      </c>
      <c r="AU1280" s="3">
        <v>42380</v>
      </c>
      <c r="AV1280" s="3">
        <v>42380</v>
      </c>
      <c r="AW1280" t="s">
        <v>54</v>
      </c>
      <c r="AX1280" t="str">
        <f>"ALTPRO"</f>
        <v>ALTPRO</v>
      </c>
      <c r="AY1280" t="s">
        <v>93</v>
      </c>
    </row>
    <row r="1281" spans="1:51" hidden="1">
      <c r="A1281">
        <v>101201</v>
      </c>
      <c r="B1281" t="s">
        <v>203</v>
      </c>
      <c r="C1281" t="str">
        <f>"01473010625"</f>
        <v>01473010625</v>
      </c>
      <c r="D1281" t="str">
        <f>"BVNSNO73S56A783V"</f>
        <v>BVNSNO73S56A783V</v>
      </c>
      <c r="E1281" t="s">
        <v>52</v>
      </c>
      <c r="F1281">
        <v>2015</v>
      </c>
      <c r="G1281" t="str">
        <f>"         FATTPA 9_15"</f>
        <v xml:space="preserve">         FATTPA 9_15</v>
      </c>
      <c r="H1281" s="3">
        <v>42368</v>
      </c>
      <c r="I1281" s="3">
        <v>42368</v>
      </c>
      <c r="J1281" s="3">
        <v>42368</v>
      </c>
      <c r="K1281" s="3">
        <v>42428</v>
      </c>
      <c r="L1281"/>
      <c r="N1281"/>
      <c r="O1281">
        <v>257.04000000000002</v>
      </c>
      <c r="P1281">
        <v>-20</v>
      </c>
      <c r="Q1281" s="4">
        <v>-5140.8</v>
      </c>
      <c r="R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 s="3">
        <v>42562</v>
      </c>
      <c r="AC1281" t="s">
        <v>53</v>
      </c>
      <c r="AD1281" t="s">
        <v>53</v>
      </c>
      <c r="AK1281">
        <v>0</v>
      </c>
      <c r="AU1281" s="3">
        <v>42408</v>
      </c>
      <c r="AV1281" s="3">
        <v>42408</v>
      </c>
      <c r="AW1281" t="s">
        <v>54</v>
      </c>
      <c r="AX1281" t="str">
        <f>"ALTPRO"</f>
        <v>ALTPRO</v>
      </c>
      <c r="AY1281" t="s">
        <v>93</v>
      </c>
    </row>
    <row r="1282" spans="1:51" hidden="1">
      <c r="A1282">
        <v>101202</v>
      </c>
      <c r="B1282" t="s">
        <v>204</v>
      </c>
      <c r="C1282" t="str">
        <f t="shared" ref="C1282:D1285" si="161">"09058160152"</f>
        <v>09058160152</v>
      </c>
      <c r="D1282" t="str">
        <f t="shared" si="161"/>
        <v>09058160152</v>
      </c>
      <c r="E1282" t="s">
        <v>52</v>
      </c>
      <c r="F1282">
        <v>2015</v>
      </c>
      <c r="G1282" t="str">
        <f>"              101843"</f>
        <v xml:space="preserve">              101843</v>
      </c>
      <c r="H1282" s="3">
        <v>42087</v>
      </c>
      <c r="I1282" s="3">
        <v>42094</v>
      </c>
      <c r="J1282" s="3">
        <v>42094</v>
      </c>
      <c r="K1282" s="3">
        <v>42154</v>
      </c>
      <c r="L1282"/>
      <c r="N1282"/>
      <c r="O1282" s="4">
        <v>5436</v>
      </c>
      <c r="P1282">
        <v>261</v>
      </c>
      <c r="Q1282" s="4">
        <v>1418796</v>
      </c>
      <c r="R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 s="3">
        <v>42562</v>
      </c>
      <c r="AC1282" t="s">
        <v>53</v>
      </c>
      <c r="AD1282" t="s">
        <v>53</v>
      </c>
      <c r="AK1282">
        <v>0</v>
      </c>
      <c r="AU1282" s="3">
        <v>42415</v>
      </c>
      <c r="AV1282" s="3">
        <v>42415</v>
      </c>
      <c r="AW1282" t="s">
        <v>54</v>
      </c>
      <c r="AX1282" t="str">
        <f t="shared" ref="AX1282:AX1289" si="162">"FOR"</f>
        <v>FOR</v>
      </c>
      <c r="AY1282" t="s">
        <v>55</v>
      </c>
    </row>
    <row r="1283" spans="1:51" hidden="1">
      <c r="A1283">
        <v>101202</v>
      </c>
      <c r="B1283" t="s">
        <v>204</v>
      </c>
      <c r="C1283" t="str">
        <f t="shared" si="161"/>
        <v>09058160152</v>
      </c>
      <c r="D1283" t="str">
        <f t="shared" si="161"/>
        <v>09058160152</v>
      </c>
      <c r="E1283" t="s">
        <v>52</v>
      </c>
      <c r="F1283">
        <v>2015</v>
      </c>
      <c r="G1283" t="str">
        <f>"              102854"</f>
        <v xml:space="preserve">              102854</v>
      </c>
      <c r="H1283" s="3">
        <v>42117</v>
      </c>
      <c r="I1283" s="3">
        <v>42122</v>
      </c>
      <c r="J1283" s="3">
        <v>42122</v>
      </c>
      <c r="K1283" s="3">
        <v>42182</v>
      </c>
      <c r="L1283"/>
      <c r="N1283"/>
      <c r="O1283" s="4">
        <v>2261</v>
      </c>
      <c r="P1283">
        <v>270</v>
      </c>
      <c r="Q1283" s="4">
        <v>610470</v>
      </c>
      <c r="R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 s="3">
        <v>42562</v>
      </c>
      <c r="AC1283" t="s">
        <v>53</v>
      </c>
      <c r="AD1283" t="s">
        <v>53</v>
      </c>
      <c r="AK1283">
        <v>0</v>
      </c>
      <c r="AU1283" s="3">
        <v>42452</v>
      </c>
      <c r="AV1283" s="3">
        <v>42452</v>
      </c>
      <c r="AW1283" t="s">
        <v>54</v>
      </c>
      <c r="AX1283" t="str">
        <f t="shared" si="162"/>
        <v>FOR</v>
      </c>
      <c r="AY1283" t="s">
        <v>55</v>
      </c>
    </row>
    <row r="1284" spans="1:51">
      <c r="A1284">
        <v>101202</v>
      </c>
      <c r="B1284" t="s">
        <v>204</v>
      </c>
      <c r="C1284" t="str">
        <f t="shared" si="161"/>
        <v>09058160152</v>
      </c>
      <c r="D1284" t="str">
        <f t="shared" si="161"/>
        <v>09058160152</v>
      </c>
      <c r="E1284" t="s">
        <v>52</v>
      </c>
      <c r="F1284">
        <v>2015</v>
      </c>
      <c r="G1284" t="str">
        <f>"          0000102854"</f>
        <v xml:space="preserve">          0000102854</v>
      </c>
      <c r="H1284" s="3">
        <v>42117</v>
      </c>
      <c r="I1284" s="3">
        <v>42177</v>
      </c>
      <c r="J1284" s="3">
        <v>42174</v>
      </c>
      <c r="K1284" s="3">
        <v>42234</v>
      </c>
      <c r="L1284" s="5">
        <v>2261</v>
      </c>
      <c r="M1284">
        <v>286</v>
      </c>
      <c r="N1284" s="5">
        <v>646646</v>
      </c>
      <c r="O1284" s="4">
        <v>2261</v>
      </c>
      <c r="P1284">
        <v>286</v>
      </c>
      <c r="Q1284" s="4">
        <v>646646</v>
      </c>
      <c r="R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 s="3">
        <v>42562</v>
      </c>
      <c r="AC1284" t="s">
        <v>53</v>
      </c>
      <c r="AD1284" t="s">
        <v>53</v>
      </c>
      <c r="AK1284">
        <v>0</v>
      </c>
      <c r="AU1284" s="3">
        <v>42520</v>
      </c>
      <c r="AV1284" s="3">
        <v>42520</v>
      </c>
      <c r="AW1284" t="s">
        <v>54</v>
      </c>
      <c r="AX1284" t="str">
        <f t="shared" si="162"/>
        <v>FOR</v>
      </c>
      <c r="AY1284" t="s">
        <v>55</v>
      </c>
    </row>
    <row r="1285" spans="1:51">
      <c r="A1285">
        <v>101202</v>
      </c>
      <c r="B1285" t="s">
        <v>204</v>
      </c>
      <c r="C1285" t="str">
        <f t="shared" si="161"/>
        <v>09058160152</v>
      </c>
      <c r="D1285" t="str">
        <f t="shared" si="161"/>
        <v>09058160152</v>
      </c>
      <c r="E1285" t="s">
        <v>52</v>
      </c>
      <c r="F1285">
        <v>2015</v>
      </c>
      <c r="G1285" t="str">
        <f>"          0000104712"</f>
        <v xml:space="preserve">          0000104712</v>
      </c>
      <c r="H1285" s="3">
        <v>42185</v>
      </c>
      <c r="I1285" s="3">
        <v>42191</v>
      </c>
      <c r="J1285" s="3">
        <v>42187</v>
      </c>
      <c r="K1285" s="3">
        <v>42247</v>
      </c>
      <c r="L1285" s="5">
        <v>1201</v>
      </c>
      <c r="M1285">
        <v>273</v>
      </c>
      <c r="N1285" s="5">
        <v>327873</v>
      </c>
      <c r="O1285" s="4">
        <v>1201</v>
      </c>
      <c r="P1285">
        <v>273</v>
      </c>
      <c r="Q1285" s="4">
        <v>327873</v>
      </c>
      <c r="R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 s="3">
        <v>42562</v>
      </c>
      <c r="AC1285" t="s">
        <v>53</v>
      </c>
      <c r="AD1285" t="s">
        <v>53</v>
      </c>
      <c r="AK1285">
        <v>0</v>
      </c>
      <c r="AU1285" s="3">
        <v>42520</v>
      </c>
      <c r="AV1285" s="3">
        <v>42520</v>
      </c>
      <c r="AW1285" t="s">
        <v>54</v>
      </c>
      <c r="AX1285" t="str">
        <f t="shared" si="162"/>
        <v>FOR</v>
      </c>
      <c r="AY1285" t="s">
        <v>55</v>
      </c>
    </row>
    <row r="1286" spans="1:51" hidden="1">
      <c r="A1286">
        <v>101208</v>
      </c>
      <c r="B1286" t="s">
        <v>205</v>
      </c>
      <c r="C1286" t="str">
        <f>"05131180969"</f>
        <v>05131180969</v>
      </c>
      <c r="D1286" t="str">
        <f>"05131180969"</f>
        <v>05131180969</v>
      </c>
      <c r="E1286" t="s">
        <v>52</v>
      </c>
      <c r="F1286">
        <v>2015</v>
      </c>
      <c r="G1286" t="str">
        <f>"              710421"</f>
        <v xml:space="preserve">              710421</v>
      </c>
      <c r="H1286" s="3">
        <v>42087</v>
      </c>
      <c r="I1286" s="3">
        <v>42107</v>
      </c>
      <c r="J1286" s="3">
        <v>42107</v>
      </c>
      <c r="K1286" s="3">
        <v>42167</v>
      </c>
      <c r="L1286"/>
      <c r="N1286"/>
      <c r="O1286" s="4">
        <v>4600</v>
      </c>
      <c r="P1286">
        <v>237</v>
      </c>
      <c r="Q1286" s="4">
        <v>1090200</v>
      </c>
      <c r="R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 s="3">
        <v>42562</v>
      </c>
      <c r="AC1286" t="s">
        <v>53</v>
      </c>
      <c r="AD1286" t="s">
        <v>53</v>
      </c>
      <c r="AK1286">
        <v>0</v>
      </c>
      <c r="AU1286" s="3">
        <v>42404</v>
      </c>
      <c r="AV1286" s="3">
        <v>42404</v>
      </c>
      <c r="AW1286" t="s">
        <v>54</v>
      </c>
      <c r="AX1286" t="str">
        <f t="shared" si="162"/>
        <v>FOR</v>
      </c>
      <c r="AY1286" t="s">
        <v>55</v>
      </c>
    </row>
    <row r="1287" spans="1:51" hidden="1">
      <c r="A1287">
        <v>101215</v>
      </c>
      <c r="B1287" t="s">
        <v>206</v>
      </c>
      <c r="C1287" t="str">
        <f t="shared" ref="C1287:D1289" si="163">"03015600657"</f>
        <v>03015600657</v>
      </c>
      <c r="D1287" t="str">
        <f t="shared" si="163"/>
        <v>03015600657</v>
      </c>
      <c r="E1287" t="s">
        <v>52</v>
      </c>
      <c r="F1287">
        <v>2015</v>
      </c>
      <c r="G1287" t="str">
        <f>"                 153"</f>
        <v xml:space="preserve">                 153</v>
      </c>
      <c r="H1287" s="3">
        <v>42060</v>
      </c>
      <c r="I1287" s="3">
        <v>42094</v>
      </c>
      <c r="J1287" s="3">
        <v>42094</v>
      </c>
      <c r="K1287" s="3">
        <v>42154</v>
      </c>
      <c r="L1287"/>
      <c r="N1287"/>
      <c r="O1287" s="4">
        <v>31250</v>
      </c>
      <c r="P1287">
        <v>247</v>
      </c>
      <c r="Q1287" s="4">
        <v>7718750</v>
      </c>
      <c r="R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 s="3">
        <v>42562</v>
      </c>
      <c r="AC1287" t="s">
        <v>53</v>
      </c>
      <c r="AD1287" t="s">
        <v>53</v>
      </c>
      <c r="AK1287">
        <v>0</v>
      </c>
      <c r="AU1287" s="3">
        <v>42401</v>
      </c>
      <c r="AV1287" s="3">
        <v>42401</v>
      </c>
      <c r="AW1287" t="s">
        <v>54</v>
      </c>
      <c r="AX1287" t="str">
        <f t="shared" si="162"/>
        <v>FOR</v>
      </c>
      <c r="AY1287" t="s">
        <v>55</v>
      </c>
    </row>
    <row r="1288" spans="1:51" hidden="1">
      <c r="A1288">
        <v>101215</v>
      </c>
      <c r="B1288" t="s">
        <v>206</v>
      </c>
      <c r="C1288" t="str">
        <f t="shared" si="163"/>
        <v>03015600657</v>
      </c>
      <c r="D1288" t="str">
        <f t="shared" si="163"/>
        <v>03015600657</v>
      </c>
      <c r="E1288" t="s">
        <v>52</v>
      </c>
      <c r="F1288">
        <v>2015</v>
      </c>
      <c r="G1288" t="str">
        <f>"            386/2015"</f>
        <v xml:space="preserve">            386/2015</v>
      </c>
      <c r="H1288" s="3">
        <v>42117</v>
      </c>
      <c r="I1288" s="3">
        <v>42131</v>
      </c>
      <c r="J1288" s="3">
        <v>42130</v>
      </c>
      <c r="K1288" s="3">
        <v>42190</v>
      </c>
      <c r="L1288"/>
      <c r="N1288"/>
      <c r="O1288" s="4">
        <v>21875</v>
      </c>
      <c r="P1288">
        <v>240</v>
      </c>
      <c r="Q1288" s="4">
        <v>5250000</v>
      </c>
      <c r="R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 s="3">
        <v>42562</v>
      </c>
      <c r="AC1288" t="s">
        <v>53</v>
      </c>
      <c r="AD1288" t="s">
        <v>53</v>
      </c>
      <c r="AK1288">
        <v>0</v>
      </c>
      <c r="AU1288" s="3">
        <v>42430</v>
      </c>
      <c r="AV1288" s="3">
        <v>42430</v>
      </c>
      <c r="AW1288" t="s">
        <v>54</v>
      </c>
      <c r="AX1288" t="str">
        <f t="shared" si="162"/>
        <v>FOR</v>
      </c>
      <c r="AY1288" t="s">
        <v>55</v>
      </c>
    </row>
    <row r="1289" spans="1:51">
      <c r="A1289">
        <v>101215</v>
      </c>
      <c r="B1289" t="s">
        <v>206</v>
      </c>
      <c r="C1289" t="str">
        <f t="shared" si="163"/>
        <v>03015600657</v>
      </c>
      <c r="D1289" t="str">
        <f t="shared" si="163"/>
        <v>03015600657</v>
      </c>
      <c r="E1289" t="s">
        <v>52</v>
      </c>
      <c r="F1289">
        <v>2015</v>
      </c>
      <c r="G1289" t="str">
        <f>"            596/2015"</f>
        <v xml:space="preserve">            596/2015</v>
      </c>
      <c r="H1289" s="3">
        <v>42181</v>
      </c>
      <c r="I1289" s="3">
        <v>42198</v>
      </c>
      <c r="J1289" s="3">
        <v>42193</v>
      </c>
      <c r="K1289" s="3">
        <v>42253</v>
      </c>
      <c r="L1289" s="5">
        <v>31250</v>
      </c>
      <c r="M1289">
        <v>239</v>
      </c>
      <c r="N1289" s="5">
        <v>7468750</v>
      </c>
      <c r="O1289" s="4">
        <v>31250</v>
      </c>
      <c r="P1289">
        <v>239</v>
      </c>
      <c r="Q1289" s="4">
        <v>7468750</v>
      </c>
      <c r="R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 s="3">
        <v>42562</v>
      </c>
      <c r="AC1289" t="s">
        <v>53</v>
      </c>
      <c r="AD1289" t="s">
        <v>53</v>
      </c>
      <c r="AK1289">
        <v>0</v>
      </c>
      <c r="AU1289" s="3">
        <v>42492</v>
      </c>
      <c r="AV1289" s="3">
        <v>42492</v>
      </c>
      <c r="AW1289" t="s">
        <v>54</v>
      </c>
      <c r="AX1289" t="str">
        <f t="shared" si="162"/>
        <v>FOR</v>
      </c>
      <c r="AY1289" t="s">
        <v>55</v>
      </c>
    </row>
    <row r="1290" spans="1:51" hidden="1">
      <c r="A1290">
        <v>101235</v>
      </c>
      <c r="B1290" t="s">
        <v>207</v>
      </c>
      <c r="C1290" t="str">
        <f>""</f>
        <v/>
      </c>
      <c r="D1290" t="str">
        <f>"MGLMNT66S49A509P"</f>
        <v>MGLMNT66S49A509P</v>
      </c>
      <c r="E1290" t="s">
        <v>52</v>
      </c>
      <c r="F1290">
        <v>2016</v>
      </c>
      <c r="G1290" t="str">
        <f>"                  19"</f>
        <v xml:space="preserve">                  19</v>
      </c>
      <c r="H1290" s="3">
        <v>42422</v>
      </c>
      <c r="I1290" s="3">
        <v>42422</v>
      </c>
      <c r="J1290" s="3">
        <v>42422</v>
      </c>
      <c r="K1290" s="3">
        <v>42482</v>
      </c>
      <c r="L1290"/>
      <c r="N1290"/>
      <c r="O1290" s="4">
        <v>2000</v>
      </c>
      <c r="P1290">
        <v>-56</v>
      </c>
      <c r="Q1290" s="4">
        <v>-112000</v>
      </c>
      <c r="R1290">
        <v>0</v>
      </c>
      <c r="V1290">
        <v>0</v>
      </c>
      <c r="W1290">
        <v>0</v>
      </c>
      <c r="X1290">
        <v>0</v>
      </c>
      <c r="Y1290" s="4">
        <v>2000</v>
      </c>
      <c r="Z1290" s="4">
        <v>2000</v>
      </c>
      <c r="AA1290" s="4">
        <v>2000</v>
      </c>
      <c r="AB1290" s="3">
        <v>42562</v>
      </c>
      <c r="AC1290" t="s">
        <v>53</v>
      </c>
      <c r="AD1290" t="s">
        <v>53</v>
      </c>
      <c r="AK1290">
        <v>0</v>
      </c>
      <c r="AU1290" s="3">
        <v>42426</v>
      </c>
      <c r="AV1290" s="3">
        <v>42426</v>
      </c>
      <c r="AW1290" t="s">
        <v>54</v>
      </c>
      <c r="AX1290" t="str">
        <f>"ALTPRO"</f>
        <v>ALTPRO</v>
      </c>
      <c r="AY1290" t="s">
        <v>93</v>
      </c>
    </row>
    <row r="1291" spans="1:51" hidden="1">
      <c r="A1291">
        <v>101238</v>
      </c>
      <c r="B1291" t="s">
        <v>208</v>
      </c>
      <c r="C1291" t="str">
        <f t="shared" ref="C1291:D1298" si="164">"10994940152"</f>
        <v>10994940152</v>
      </c>
      <c r="D1291" t="str">
        <f t="shared" si="164"/>
        <v>10994940152</v>
      </c>
      <c r="E1291" t="s">
        <v>52</v>
      </c>
      <c r="F1291">
        <v>2015</v>
      </c>
      <c r="G1291" t="str">
        <f>"           015008546"</f>
        <v xml:space="preserve">           015008546</v>
      </c>
      <c r="H1291" s="3">
        <v>42114</v>
      </c>
      <c r="I1291" s="3">
        <v>42135</v>
      </c>
      <c r="J1291" s="3">
        <v>42132</v>
      </c>
      <c r="K1291" s="3">
        <v>42192</v>
      </c>
      <c r="L1291"/>
      <c r="N1291"/>
      <c r="O1291" s="4">
        <v>1920</v>
      </c>
      <c r="P1291">
        <v>261</v>
      </c>
      <c r="Q1291" s="4">
        <v>501120</v>
      </c>
      <c r="R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 s="3">
        <v>42562</v>
      </c>
      <c r="AC1291" t="s">
        <v>53</v>
      </c>
      <c r="AD1291" t="s">
        <v>53</v>
      </c>
      <c r="AK1291">
        <v>0</v>
      </c>
      <c r="AU1291" s="3">
        <v>42453</v>
      </c>
      <c r="AV1291" s="3">
        <v>42453</v>
      </c>
      <c r="AW1291" t="s">
        <v>54</v>
      </c>
      <c r="AX1291" t="str">
        <f t="shared" ref="AX1291:AX1298" si="165">"FOR"</f>
        <v>FOR</v>
      </c>
      <c r="AY1291" t="s">
        <v>55</v>
      </c>
    </row>
    <row r="1292" spans="1:51" hidden="1">
      <c r="A1292">
        <v>101238</v>
      </c>
      <c r="B1292" t="s">
        <v>208</v>
      </c>
      <c r="C1292" t="str">
        <f t="shared" si="164"/>
        <v>10994940152</v>
      </c>
      <c r="D1292" t="str">
        <f t="shared" si="164"/>
        <v>10994940152</v>
      </c>
      <c r="E1292" t="s">
        <v>52</v>
      </c>
      <c r="F1292">
        <v>2015</v>
      </c>
      <c r="G1292" t="str">
        <f>"           015009664"</f>
        <v xml:space="preserve">           015009664</v>
      </c>
      <c r="H1292" s="3">
        <v>42117</v>
      </c>
      <c r="I1292" s="3">
        <v>42121</v>
      </c>
      <c r="J1292" s="3">
        <v>42119</v>
      </c>
      <c r="K1292" s="3">
        <v>42179</v>
      </c>
      <c r="L1292"/>
      <c r="N1292"/>
      <c r="O1292" s="4">
        <v>2400</v>
      </c>
      <c r="P1292">
        <v>237</v>
      </c>
      <c r="Q1292" s="4">
        <v>568800</v>
      </c>
      <c r="R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 s="3">
        <v>42562</v>
      </c>
      <c r="AC1292" t="s">
        <v>53</v>
      </c>
      <c r="AD1292" t="s">
        <v>53</v>
      </c>
      <c r="AK1292">
        <v>0</v>
      </c>
      <c r="AU1292" s="3">
        <v>42416</v>
      </c>
      <c r="AV1292" s="3">
        <v>42416</v>
      </c>
      <c r="AW1292" t="s">
        <v>54</v>
      </c>
      <c r="AX1292" t="str">
        <f t="shared" si="165"/>
        <v>FOR</v>
      </c>
      <c r="AY1292" t="s">
        <v>55</v>
      </c>
    </row>
    <row r="1293" spans="1:51" hidden="1">
      <c r="A1293">
        <v>101238</v>
      </c>
      <c r="B1293" t="s">
        <v>208</v>
      </c>
      <c r="C1293" t="str">
        <f t="shared" si="164"/>
        <v>10994940152</v>
      </c>
      <c r="D1293" t="str">
        <f t="shared" si="164"/>
        <v>10994940152</v>
      </c>
      <c r="E1293" t="s">
        <v>52</v>
      </c>
      <c r="F1293">
        <v>2015</v>
      </c>
      <c r="G1293" t="str">
        <f>"           015010216"</f>
        <v xml:space="preserve">           015010216</v>
      </c>
      <c r="H1293" s="3">
        <v>42122</v>
      </c>
      <c r="I1293" s="3">
        <v>42131</v>
      </c>
      <c r="J1293" s="3">
        <v>42130</v>
      </c>
      <c r="K1293" s="3">
        <v>42190</v>
      </c>
      <c r="L1293"/>
      <c r="N1293"/>
      <c r="O1293" s="4">
        <v>7946.67</v>
      </c>
      <c r="P1293">
        <v>263</v>
      </c>
      <c r="Q1293" s="4">
        <v>2089974.21</v>
      </c>
      <c r="R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 s="3">
        <v>42562</v>
      </c>
      <c r="AC1293" t="s">
        <v>53</v>
      </c>
      <c r="AD1293" t="s">
        <v>53</v>
      </c>
      <c r="AK1293">
        <v>0</v>
      </c>
      <c r="AU1293" s="3">
        <v>42453</v>
      </c>
      <c r="AV1293" s="3">
        <v>42453</v>
      </c>
      <c r="AW1293" t="s">
        <v>54</v>
      </c>
      <c r="AX1293" t="str">
        <f t="shared" si="165"/>
        <v>FOR</v>
      </c>
      <c r="AY1293" t="s">
        <v>55</v>
      </c>
    </row>
    <row r="1294" spans="1:51" hidden="1">
      <c r="A1294">
        <v>101238</v>
      </c>
      <c r="B1294" t="s">
        <v>208</v>
      </c>
      <c r="C1294" t="str">
        <f t="shared" si="164"/>
        <v>10994940152</v>
      </c>
      <c r="D1294" t="str">
        <f t="shared" si="164"/>
        <v>10994940152</v>
      </c>
      <c r="E1294" t="s">
        <v>52</v>
      </c>
      <c r="F1294">
        <v>2015</v>
      </c>
      <c r="G1294" t="str">
        <f>"           015010830"</f>
        <v xml:space="preserve">           015010830</v>
      </c>
      <c r="H1294" s="3">
        <v>42124</v>
      </c>
      <c r="I1294" s="3">
        <v>42132</v>
      </c>
      <c r="J1294" s="3">
        <v>42130</v>
      </c>
      <c r="K1294" s="3">
        <v>42190</v>
      </c>
      <c r="L1294"/>
      <c r="N1294"/>
      <c r="O1294" s="4">
        <v>1140</v>
      </c>
      <c r="P1294">
        <v>226</v>
      </c>
      <c r="Q1294" s="4">
        <v>257640</v>
      </c>
      <c r="R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 s="3">
        <v>42562</v>
      </c>
      <c r="AC1294" t="s">
        <v>53</v>
      </c>
      <c r="AD1294" t="s">
        <v>53</v>
      </c>
      <c r="AK1294">
        <v>0</v>
      </c>
      <c r="AU1294" s="3">
        <v>42416</v>
      </c>
      <c r="AV1294" s="3">
        <v>42416</v>
      </c>
      <c r="AW1294" t="s">
        <v>54</v>
      </c>
      <c r="AX1294" t="str">
        <f t="shared" si="165"/>
        <v>FOR</v>
      </c>
      <c r="AY1294" t="s">
        <v>55</v>
      </c>
    </row>
    <row r="1295" spans="1:51" hidden="1">
      <c r="A1295">
        <v>101238</v>
      </c>
      <c r="B1295" t="s">
        <v>208</v>
      </c>
      <c r="C1295" t="str">
        <f t="shared" si="164"/>
        <v>10994940152</v>
      </c>
      <c r="D1295" t="str">
        <f t="shared" si="164"/>
        <v>10994940152</v>
      </c>
      <c r="E1295" t="s">
        <v>52</v>
      </c>
      <c r="F1295">
        <v>2015</v>
      </c>
      <c r="G1295" t="str">
        <f>"           015011198"</f>
        <v xml:space="preserve">           015011198</v>
      </c>
      <c r="H1295" s="3">
        <v>42134</v>
      </c>
      <c r="I1295" s="3">
        <v>42160</v>
      </c>
      <c r="J1295" s="3">
        <v>42152</v>
      </c>
      <c r="K1295" s="3">
        <v>42212</v>
      </c>
      <c r="L1295"/>
      <c r="N1295"/>
      <c r="O1295">
        <v>900</v>
      </c>
      <c r="P1295">
        <v>241</v>
      </c>
      <c r="Q1295" s="4">
        <v>216900</v>
      </c>
      <c r="R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 s="3">
        <v>42562</v>
      </c>
      <c r="AC1295" t="s">
        <v>53</v>
      </c>
      <c r="AD1295" t="s">
        <v>53</v>
      </c>
      <c r="AK1295">
        <v>0</v>
      </c>
      <c r="AU1295" s="3">
        <v>42453</v>
      </c>
      <c r="AV1295" s="3">
        <v>42453</v>
      </c>
      <c r="AW1295" t="s">
        <v>54</v>
      </c>
      <c r="AX1295" t="str">
        <f t="shared" si="165"/>
        <v>FOR</v>
      </c>
      <c r="AY1295" t="s">
        <v>55</v>
      </c>
    </row>
    <row r="1296" spans="1:51" hidden="1">
      <c r="A1296">
        <v>101238</v>
      </c>
      <c r="B1296" t="s">
        <v>208</v>
      </c>
      <c r="C1296" t="str">
        <f t="shared" si="164"/>
        <v>10994940152</v>
      </c>
      <c r="D1296" t="str">
        <f t="shared" si="164"/>
        <v>10994940152</v>
      </c>
      <c r="E1296" t="s">
        <v>52</v>
      </c>
      <c r="F1296">
        <v>2015</v>
      </c>
      <c r="G1296" t="str">
        <f>"           015012470"</f>
        <v xml:space="preserve">           015012470</v>
      </c>
      <c r="H1296" s="3">
        <v>42150</v>
      </c>
      <c r="I1296" s="3">
        <v>42170</v>
      </c>
      <c r="J1296" s="3">
        <v>42170</v>
      </c>
      <c r="K1296" s="3">
        <v>42230</v>
      </c>
      <c r="L1296"/>
      <c r="N1296"/>
      <c r="O1296">
        <v>100</v>
      </c>
      <c r="P1296">
        <v>223</v>
      </c>
      <c r="Q1296" s="4">
        <v>22300</v>
      </c>
      <c r="R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 s="3">
        <v>42562</v>
      </c>
      <c r="AC1296" t="s">
        <v>53</v>
      </c>
      <c r="AD1296" t="s">
        <v>53</v>
      </c>
      <c r="AK1296">
        <v>0</v>
      </c>
      <c r="AU1296" s="3">
        <v>42453</v>
      </c>
      <c r="AV1296" s="3">
        <v>42453</v>
      </c>
      <c r="AW1296" t="s">
        <v>54</v>
      </c>
      <c r="AX1296" t="str">
        <f t="shared" si="165"/>
        <v>FOR</v>
      </c>
      <c r="AY1296" t="s">
        <v>55</v>
      </c>
    </row>
    <row r="1297" spans="1:51">
      <c r="A1297">
        <v>101238</v>
      </c>
      <c r="B1297" t="s">
        <v>208</v>
      </c>
      <c r="C1297" t="str">
        <f t="shared" si="164"/>
        <v>10994940152</v>
      </c>
      <c r="D1297" t="str">
        <f t="shared" si="164"/>
        <v>10994940152</v>
      </c>
      <c r="E1297" t="s">
        <v>52</v>
      </c>
      <c r="F1297">
        <v>2015</v>
      </c>
      <c r="G1297" t="str">
        <f>"           015015818"</f>
        <v xml:space="preserve">           015015818</v>
      </c>
      <c r="H1297" s="3">
        <v>42180</v>
      </c>
      <c r="I1297" s="3">
        <v>42186</v>
      </c>
      <c r="J1297" s="3">
        <v>42181</v>
      </c>
      <c r="K1297" s="3">
        <v>42241</v>
      </c>
      <c r="L1297" s="1">
        <v>960</v>
      </c>
      <c r="M1297">
        <v>279</v>
      </c>
      <c r="N1297" s="5">
        <v>267840</v>
      </c>
      <c r="O1297">
        <v>960</v>
      </c>
      <c r="P1297">
        <v>279</v>
      </c>
      <c r="Q1297" s="4">
        <v>267840</v>
      </c>
      <c r="R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 s="3">
        <v>42562</v>
      </c>
      <c r="AC1297" t="s">
        <v>53</v>
      </c>
      <c r="AD1297" t="s">
        <v>53</v>
      </c>
      <c r="AK1297">
        <v>0</v>
      </c>
      <c r="AU1297" s="3">
        <v>42520</v>
      </c>
      <c r="AV1297" s="3">
        <v>42520</v>
      </c>
      <c r="AW1297" t="s">
        <v>54</v>
      </c>
      <c r="AX1297" t="str">
        <f t="shared" si="165"/>
        <v>FOR</v>
      </c>
      <c r="AY1297" t="s">
        <v>55</v>
      </c>
    </row>
    <row r="1298" spans="1:51">
      <c r="A1298">
        <v>101238</v>
      </c>
      <c r="B1298" t="s">
        <v>208</v>
      </c>
      <c r="C1298" t="str">
        <f t="shared" si="164"/>
        <v>10994940152</v>
      </c>
      <c r="D1298" t="str">
        <f t="shared" si="164"/>
        <v>10994940152</v>
      </c>
      <c r="E1298" t="s">
        <v>52</v>
      </c>
      <c r="F1298">
        <v>2015</v>
      </c>
      <c r="G1298" t="str">
        <f>"           015015819"</f>
        <v xml:space="preserve">           015015819</v>
      </c>
      <c r="H1298" s="3">
        <v>42180</v>
      </c>
      <c r="I1298" s="3">
        <v>42186</v>
      </c>
      <c r="J1298" s="3">
        <v>42181</v>
      </c>
      <c r="K1298" s="3">
        <v>42241</v>
      </c>
      <c r="L1298" s="1">
        <v>960</v>
      </c>
      <c r="M1298">
        <v>279</v>
      </c>
      <c r="N1298" s="5">
        <v>267840</v>
      </c>
      <c r="O1298">
        <v>960</v>
      </c>
      <c r="P1298">
        <v>279</v>
      </c>
      <c r="Q1298" s="4">
        <v>267840</v>
      </c>
      <c r="R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 s="3">
        <v>42562</v>
      </c>
      <c r="AC1298" t="s">
        <v>53</v>
      </c>
      <c r="AD1298" t="s">
        <v>53</v>
      </c>
      <c r="AK1298">
        <v>0</v>
      </c>
      <c r="AU1298" s="3">
        <v>42520</v>
      </c>
      <c r="AV1298" s="3">
        <v>42520</v>
      </c>
      <c r="AW1298" t="s">
        <v>54</v>
      </c>
      <c r="AX1298" t="str">
        <f t="shared" si="165"/>
        <v>FOR</v>
      </c>
      <c r="AY1298" t="s">
        <v>55</v>
      </c>
    </row>
    <row r="1299" spans="1:51" hidden="1">
      <c r="A1299">
        <v>101240</v>
      </c>
      <c r="B1299" t="s">
        <v>209</v>
      </c>
      <c r="C1299" t="str">
        <f>"01337780629"</f>
        <v>01337780629</v>
      </c>
      <c r="D1299" t="str">
        <f>"RLLMHL73R24A783E"</f>
        <v>RLLMHL73R24A783E</v>
      </c>
      <c r="E1299" t="s">
        <v>52</v>
      </c>
      <c r="F1299">
        <v>2016</v>
      </c>
      <c r="G1299" t="str">
        <f>"                 1\E"</f>
        <v xml:space="preserve">                 1\E</v>
      </c>
      <c r="H1299" s="3">
        <v>42402</v>
      </c>
      <c r="I1299" s="3">
        <v>42410</v>
      </c>
      <c r="J1299" s="3">
        <v>42409</v>
      </c>
      <c r="K1299" s="3">
        <v>42469</v>
      </c>
      <c r="L1299"/>
      <c r="N1299"/>
      <c r="O1299" s="4">
        <v>1044.75</v>
      </c>
      <c r="P1299">
        <v>-36</v>
      </c>
      <c r="Q1299" s="4">
        <v>-37611</v>
      </c>
      <c r="R1299">
        <v>0</v>
      </c>
      <c r="V1299">
        <v>0</v>
      </c>
      <c r="W1299">
        <v>0</v>
      </c>
      <c r="X1299">
        <v>0</v>
      </c>
      <c r="Y1299" s="4">
        <v>1044.75</v>
      </c>
      <c r="Z1299" s="4">
        <v>1044.75</v>
      </c>
      <c r="AA1299" s="4">
        <v>1044.75</v>
      </c>
      <c r="AB1299" s="3">
        <v>42562</v>
      </c>
      <c r="AC1299" t="s">
        <v>53</v>
      </c>
      <c r="AD1299" t="s">
        <v>53</v>
      </c>
      <c r="AK1299">
        <v>0</v>
      </c>
      <c r="AU1299" s="3">
        <v>42433</v>
      </c>
      <c r="AV1299" s="3">
        <v>42433</v>
      </c>
      <c r="AW1299" t="s">
        <v>54</v>
      </c>
      <c r="AX1299" t="str">
        <f>"ALTPRO"</f>
        <v>ALTPRO</v>
      </c>
      <c r="AY1299" t="s">
        <v>93</v>
      </c>
    </row>
    <row r="1300" spans="1:51" hidden="1">
      <c r="A1300">
        <v>101240</v>
      </c>
      <c r="B1300" t="s">
        <v>209</v>
      </c>
      <c r="C1300" t="str">
        <f>"01337780629"</f>
        <v>01337780629</v>
      </c>
      <c r="D1300" t="str">
        <f>"RLLMHL73R24A783E"</f>
        <v>RLLMHL73R24A783E</v>
      </c>
      <c r="E1300" t="s">
        <v>52</v>
      </c>
      <c r="F1300">
        <v>2016</v>
      </c>
      <c r="G1300" t="str">
        <f>"                 2\E"</f>
        <v xml:space="preserve">                 2\E</v>
      </c>
      <c r="H1300" s="3">
        <v>42411</v>
      </c>
      <c r="I1300" s="3">
        <v>42412</v>
      </c>
      <c r="J1300" s="3">
        <v>42411</v>
      </c>
      <c r="K1300" s="3">
        <v>42471</v>
      </c>
      <c r="L1300"/>
      <c r="N1300"/>
      <c r="O1300">
        <v>356.28</v>
      </c>
      <c r="P1300">
        <v>-38</v>
      </c>
      <c r="Q1300" s="4">
        <v>-13538.64</v>
      </c>
      <c r="R1300">
        <v>0</v>
      </c>
      <c r="V1300">
        <v>0</v>
      </c>
      <c r="W1300">
        <v>0</v>
      </c>
      <c r="X1300">
        <v>0</v>
      </c>
      <c r="Y1300">
        <v>356.28</v>
      </c>
      <c r="Z1300">
        <v>356.28</v>
      </c>
      <c r="AA1300">
        <v>356.28</v>
      </c>
      <c r="AB1300" s="3">
        <v>42562</v>
      </c>
      <c r="AC1300" t="s">
        <v>53</v>
      </c>
      <c r="AD1300" t="s">
        <v>53</v>
      </c>
      <c r="AK1300">
        <v>0</v>
      </c>
      <c r="AU1300" s="3">
        <v>42433</v>
      </c>
      <c r="AV1300" s="3">
        <v>42433</v>
      </c>
      <c r="AW1300" t="s">
        <v>54</v>
      </c>
      <c r="AX1300" t="str">
        <f>"ALTPRO"</f>
        <v>ALTPRO</v>
      </c>
      <c r="AY1300" t="s">
        <v>93</v>
      </c>
    </row>
    <row r="1301" spans="1:51" hidden="1">
      <c r="A1301">
        <v>101244</v>
      </c>
      <c r="B1301" t="s">
        <v>210</v>
      </c>
      <c r="C1301" t="str">
        <f t="shared" ref="C1301:D1307" si="166">"01113580656"</f>
        <v>01113580656</v>
      </c>
      <c r="D1301" t="str">
        <f t="shared" si="166"/>
        <v>01113580656</v>
      </c>
      <c r="E1301" t="s">
        <v>52</v>
      </c>
      <c r="F1301">
        <v>2015</v>
      </c>
      <c r="G1301" t="str">
        <f>"                 196"</f>
        <v xml:space="preserve">                 196</v>
      </c>
      <c r="H1301" s="3">
        <v>42045</v>
      </c>
      <c r="I1301" s="3">
        <v>42054</v>
      </c>
      <c r="J1301" s="3">
        <v>42054</v>
      </c>
      <c r="K1301" s="3">
        <v>42114</v>
      </c>
      <c r="L1301"/>
      <c r="N1301"/>
      <c r="O1301" s="4">
        <v>14993</v>
      </c>
      <c r="P1301">
        <v>287</v>
      </c>
      <c r="Q1301" s="4">
        <v>4302991</v>
      </c>
      <c r="R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 s="3">
        <v>42562</v>
      </c>
      <c r="AC1301" t="s">
        <v>53</v>
      </c>
      <c r="AD1301" t="s">
        <v>53</v>
      </c>
      <c r="AK1301">
        <v>0</v>
      </c>
      <c r="AU1301" s="3">
        <v>42401</v>
      </c>
      <c r="AV1301" s="3">
        <v>42401</v>
      </c>
      <c r="AW1301" t="s">
        <v>54</v>
      </c>
      <c r="AX1301" t="str">
        <f t="shared" ref="AX1301:AX1307" si="167">"FOR"</f>
        <v>FOR</v>
      </c>
      <c r="AY1301" t="s">
        <v>55</v>
      </c>
    </row>
    <row r="1302" spans="1:51" hidden="1">
      <c r="A1302">
        <v>101244</v>
      </c>
      <c r="B1302" t="s">
        <v>210</v>
      </c>
      <c r="C1302" t="str">
        <f t="shared" si="166"/>
        <v>01113580656</v>
      </c>
      <c r="D1302" t="str">
        <f t="shared" si="166"/>
        <v>01113580656</v>
      </c>
      <c r="E1302" t="s">
        <v>52</v>
      </c>
      <c r="F1302">
        <v>2015</v>
      </c>
      <c r="G1302" t="str">
        <f>"                 237"</f>
        <v xml:space="preserve">                 237</v>
      </c>
      <c r="H1302" s="3">
        <v>42054</v>
      </c>
      <c r="I1302" s="3">
        <v>42069</v>
      </c>
      <c r="J1302" s="3">
        <v>42069</v>
      </c>
      <c r="K1302" s="3">
        <v>42129</v>
      </c>
      <c r="L1302"/>
      <c r="N1302"/>
      <c r="O1302">
        <v>648.94000000000005</v>
      </c>
      <c r="P1302">
        <v>272</v>
      </c>
      <c r="Q1302" s="4">
        <v>176511.68</v>
      </c>
      <c r="R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 s="3">
        <v>42562</v>
      </c>
      <c r="AC1302" t="s">
        <v>53</v>
      </c>
      <c r="AD1302" t="s">
        <v>53</v>
      </c>
      <c r="AK1302">
        <v>0</v>
      </c>
      <c r="AU1302" s="3">
        <v>42401</v>
      </c>
      <c r="AV1302" s="3">
        <v>42401</v>
      </c>
      <c r="AW1302" t="s">
        <v>54</v>
      </c>
      <c r="AX1302" t="str">
        <f t="shared" si="167"/>
        <v>FOR</v>
      </c>
      <c r="AY1302" t="s">
        <v>55</v>
      </c>
    </row>
    <row r="1303" spans="1:51" hidden="1">
      <c r="A1303">
        <v>101244</v>
      </c>
      <c r="B1303" t="s">
        <v>210</v>
      </c>
      <c r="C1303" t="str">
        <f t="shared" si="166"/>
        <v>01113580656</v>
      </c>
      <c r="D1303" t="str">
        <f t="shared" si="166"/>
        <v>01113580656</v>
      </c>
      <c r="E1303" t="s">
        <v>52</v>
      </c>
      <c r="F1303">
        <v>2015</v>
      </c>
      <c r="G1303" t="str">
        <f>"                 304"</f>
        <v xml:space="preserve">                 304</v>
      </c>
      <c r="H1303" s="3">
        <v>42072</v>
      </c>
      <c r="I1303" s="3">
        <v>42087</v>
      </c>
      <c r="J1303" s="3">
        <v>42087</v>
      </c>
      <c r="K1303" s="3">
        <v>42147</v>
      </c>
      <c r="L1303"/>
      <c r="N1303"/>
      <c r="O1303">
        <v>648.94000000000005</v>
      </c>
      <c r="P1303">
        <v>268</v>
      </c>
      <c r="Q1303" s="4">
        <v>173915.92</v>
      </c>
      <c r="R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 s="3">
        <v>42562</v>
      </c>
      <c r="AC1303" t="s">
        <v>53</v>
      </c>
      <c r="AD1303" t="s">
        <v>53</v>
      </c>
      <c r="AK1303">
        <v>0</v>
      </c>
      <c r="AU1303" s="3">
        <v>42415</v>
      </c>
      <c r="AV1303" s="3">
        <v>42415</v>
      </c>
      <c r="AW1303" t="s">
        <v>54</v>
      </c>
      <c r="AX1303" t="str">
        <f t="shared" si="167"/>
        <v>FOR</v>
      </c>
      <c r="AY1303" t="s">
        <v>55</v>
      </c>
    </row>
    <row r="1304" spans="1:51" hidden="1">
      <c r="A1304">
        <v>101244</v>
      </c>
      <c r="B1304" t="s">
        <v>210</v>
      </c>
      <c r="C1304" t="str">
        <f t="shared" si="166"/>
        <v>01113580656</v>
      </c>
      <c r="D1304" t="str">
        <f t="shared" si="166"/>
        <v>01113580656</v>
      </c>
      <c r="E1304" t="s">
        <v>52</v>
      </c>
      <c r="F1304">
        <v>2015</v>
      </c>
      <c r="G1304" t="str">
        <f>"                 434"</f>
        <v xml:space="preserve">                 434</v>
      </c>
      <c r="H1304" s="3">
        <v>42093</v>
      </c>
      <c r="I1304" s="3">
        <v>42110</v>
      </c>
      <c r="J1304" s="3">
        <v>42110</v>
      </c>
      <c r="K1304" s="3">
        <v>42170</v>
      </c>
      <c r="L1304"/>
      <c r="N1304"/>
      <c r="O1304" s="4">
        <v>5181</v>
      </c>
      <c r="P1304">
        <v>245</v>
      </c>
      <c r="Q1304" s="4">
        <v>1269345</v>
      </c>
      <c r="R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 s="3">
        <v>42562</v>
      </c>
      <c r="AC1304" t="s">
        <v>53</v>
      </c>
      <c r="AD1304" t="s">
        <v>53</v>
      </c>
      <c r="AK1304">
        <v>0</v>
      </c>
      <c r="AU1304" s="3">
        <v>42415</v>
      </c>
      <c r="AV1304" s="3">
        <v>42415</v>
      </c>
      <c r="AW1304" t="s">
        <v>54</v>
      </c>
      <c r="AX1304" t="str">
        <f t="shared" si="167"/>
        <v>FOR</v>
      </c>
      <c r="AY1304" t="s">
        <v>55</v>
      </c>
    </row>
    <row r="1305" spans="1:51" hidden="1">
      <c r="A1305">
        <v>101244</v>
      </c>
      <c r="B1305" t="s">
        <v>210</v>
      </c>
      <c r="C1305" t="str">
        <f t="shared" si="166"/>
        <v>01113580656</v>
      </c>
      <c r="D1305" t="str">
        <f t="shared" si="166"/>
        <v>01113580656</v>
      </c>
      <c r="E1305" t="s">
        <v>52</v>
      </c>
      <c r="F1305">
        <v>2015</v>
      </c>
      <c r="G1305" t="str">
        <f>"                 576"</f>
        <v xml:space="preserve">                 576</v>
      </c>
      <c r="H1305" s="3">
        <v>42124</v>
      </c>
      <c r="I1305" s="3">
        <v>42128</v>
      </c>
      <c r="J1305" s="3">
        <v>42124</v>
      </c>
      <c r="K1305" s="3">
        <v>42184</v>
      </c>
      <c r="L1305"/>
      <c r="N1305"/>
      <c r="O1305">
        <v>648.94000000000005</v>
      </c>
      <c r="P1305">
        <v>268</v>
      </c>
      <c r="Q1305" s="4">
        <v>173915.92</v>
      </c>
      <c r="R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 s="3">
        <v>42562</v>
      </c>
      <c r="AC1305" t="s">
        <v>53</v>
      </c>
      <c r="AD1305" t="s">
        <v>53</v>
      </c>
      <c r="AK1305">
        <v>0</v>
      </c>
      <c r="AU1305" s="3">
        <v>42452</v>
      </c>
      <c r="AV1305" s="3">
        <v>42452</v>
      </c>
      <c r="AW1305" t="s">
        <v>54</v>
      </c>
      <c r="AX1305" t="str">
        <f t="shared" si="167"/>
        <v>FOR</v>
      </c>
      <c r="AY1305" t="s">
        <v>55</v>
      </c>
    </row>
    <row r="1306" spans="1:51" hidden="1">
      <c r="A1306">
        <v>101244</v>
      </c>
      <c r="B1306" t="s">
        <v>210</v>
      </c>
      <c r="C1306" t="str">
        <f t="shared" si="166"/>
        <v>01113580656</v>
      </c>
      <c r="D1306" t="str">
        <f t="shared" si="166"/>
        <v>01113580656</v>
      </c>
      <c r="E1306" t="s">
        <v>52</v>
      </c>
      <c r="F1306">
        <v>2015</v>
      </c>
      <c r="G1306" t="str">
        <f>"                 597"</f>
        <v xml:space="preserve">                 597</v>
      </c>
      <c r="H1306" s="3">
        <v>42130</v>
      </c>
      <c r="I1306" s="3">
        <v>42131</v>
      </c>
      <c r="J1306" s="3">
        <v>42130</v>
      </c>
      <c r="K1306" s="3">
        <v>42190</v>
      </c>
      <c r="L1306"/>
      <c r="N1306"/>
      <c r="O1306" s="4">
        <v>8221</v>
      </c>
      <c r="P1306">
        <v>262</v>
      </c>
      <c r="Q1306" s="4">
        <v>2153902</v>
      </c>
      <c r="R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 s="3">
        <v>42562</v>
      </c>
      <c r="AC1306" t="s">
        <v>53</v>
      </c>
      <c r="AD1306" t="s">
        <v>53</v>
      </c>
      <c r="AK1306">
        <v>0</v>
      </c>
      <c r="AU1306" s="3">
        <v>42452</v>
      </c>
      <c r="AV1306" s="3">
        <v>42452</v>
      </c>
      <c r="AW1306" t="s">
        <v>54</v>
      </c>
      <c r="AX1306" t="str">
        <f t="shared" si="167"/>
        <v>FOR</v>
      </c>
      <c r="AY1306" t="s">
        <v>55</v>
      </c>
    </row>
    <row r="1307" spans="1:51">
      <c r="A1307">
        <v>101244</v>
      </c>
      <c r="B1307" t="s">
        <v>210</v>
      </c>
      <c r="C1307" t="str">
        <f t="shared" si="166"/>
        <v>01113580656</v>
      </c>
      <c r="D1307" t="str">
        <f t="shared" si="166"/>
        <v>01113580656</v>
      </c>
      <c r="E1307" t="s">
        <v>52</v>
      </c>
      <c r="F1307">
        <v>2015</v>
      </c>
      <c r="G1307" t="str">
        <f>"                 741"</f>
        <v xml:space="preserve">                 741</v>
      </c>
      <c r="H1307" s="3">
        <v>42164</v>
      </c>
      <c r="I1307" s="3">
        <v>42165</v>
      </c>
      <c r="J1307" s="3">
        <v>42164</v>
      </c>
      <c r="K1307" s="3">
        <v>42224</v>
      </c>
      <c r="L1307" s="5">
        <v>9974</v>
      </c>
      <c r="M1307">
        <v>268</v>
      </c>
      <c r="N1307" s="5">
        <v>2673032</v>
      </c>
      <c r="O1307" s="4">
        <v>9974</v>
      </c>
      <c r="P1307">
        <v>268</v>
      </c>
      <c r="Q1307" s="4">
        <v>2673032</v>
      </c>
      <c r="R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 s="3">
        <v>42562</v>
      </c>
      <c r="AC1307" t="s">
        <v>53</v>
      </c>
      <c r="AD1307" t="s">
        <v>53</v>
      </c>
      <c r="AK1307">
        <v>0</v>
      </c>
      <c r="AU1307" s="3">
        <v>42492</v>
      </c>
      <c r="AV1307" s="3">
        <v>42492</v>
      </c>
      <c r="AW1307" t="s">
        <v>54</v>
      </c>
      <c r="AX1307" t="str">
        <f t="shared" si="167"/>
        <v>FOR</v>
      </c>
      <c r="AY1307" t="s">
        <v>55</v>
      </c>
    </row>
    <row r="1308" spans="1:51" hidden="1">
      <c r="A1308">
        <v>101247</v>
      </c>
      <c r="B1308" t="s">
        <v>211</v>
      </c>
      <c r="C1308" t="str">
        <f t="shared" ref="C1308:C1317" si="168">"03577840618"</f>
        <v>03577840618</v>
      </c>
      <c r="D1308" t="str">
        <f t="shared" ref="D1308:D1317" si="169">"MRLCMN78B64B963R"</f>
        <v>MRLCMN78B64B963R</v>
      </c>
      <c r="E1308" t="s">
        <v>52</v>
      </c>
      <c r="F1308">
        <v>2016</v>
      </c>
      <c r="G1308" t="str">
        <f>"                 3/B"</f>
        <v xml:space="preserve">                 3/B</v>
      </c>
      <c r="H1308" s="3">
        <v>42401</v>
      </c>
      <c r="I1308" s="3">
        <v>42402</v>
      </c>
      <c r="J1308" s="3">
        <v>42401</v>
      </c>
      <c r="K1308" s="3">
        <v>42461</v>
      </c>
      <c r="L1308"/>
      <c r="N1308"/>
      <c r="O1308" s="4">
        <v>2579.21</v>
      </c>
      <c r="P1308">
        <v>-35</v>
      </c>
      <c r="Q1308" s="4">
        <v>-90272.35</v>
      </c>
      <c r="R1308">
        <v>0</v>
      </c>
      <c r="V1308">
        <v>0</v>
      </c>
      <c r="W1308">
        <v>0</v>
      </c>
      <c r="X1308">
        <v>0</v>
      </c>
      <c r="Y1308" s="4">
        <v>2579.21</v>
      </c>
      <c r="Z1308" s="4">
        <v>2579.21</v>
      </c>
      <c r="AA1308" s="4">
        <v>2579.21</v>
      </c>
      <c r="AB1308" s="3">
        <v>42562</v>
      </c>
      <c r="AC1308" t="s">
        <v>53</v>
      </c>
      <c r="AD1308" t="s">
        <v>53</v>
      </c>
      <c r="AK1308">
        <v>0</v>
      </c>
      <c r="AU1308" s="3">
        <v>42426</v>
      </c>
      <c r="AV1308" s="3">
        <v>42426</v>
      </c>
      <c r="AW1308" t="s">
        <v>54</v>
      </c>
      <c r="AX1308" t="str">
        <f t="shared" ref="AX1308:AX1317" si="170">"ALTPRO"</f>
        <v>ALTPRO</v>
      </c>
      <c r="AY1308" t="s">
        <v>93</v>
      </c>
    </row>
    <row r="1309" spans="1:51" hidden="1">
      <c r="A1309">
        <v>101247</v>
      </c>
      <c r="B1309" t="s">
        <v>211</v>
      </c>
      <c r="C1309" t="str">
        <f t="shared" si="168"/>
        <v>03577840618</v>
      </c>
      <c r="D1309" t="str">
        <f t="shared" si="169"/>
        <v>MRLCMN78B64B963R</v>
      </c>
      <c r="E1309" t="s">
        <v>52</v>
      </c>
      <c r="F1309">
        <v>2016</v>
      </c>
      <c r="G1309" t="str">
        <f>"                 4/B"</f>
        <v xml:space="preserve">                 4/B</v>
      </c>
      <c r="H1309" s="3">
        <v>42401</v>
      </c>
      <c r="I1309" s="3">
        <v>42402</v>
      </c>
      <c r="J1309" s="3">
        <v>42401</v>
      </c>
      <c r="K1309" s="3">
        <v>42461</v>
      </c>
      <c r="L1309"/>
      <c r="N1309"/>
      <c r="O1309" s="4">
        <v>1836</v>
      </c>
      <c r="P1309">
        <v>-35</v>
      </c>
      <c r="Q1309" s="4">
        <v>-64260</v>
      </c>
      <c r="R1309">
        <v>0</v>
      </c>
      <c r="V1309">
        <v>0</v>
      </c>
      <c r="W1309">
        <v>0</v>
      </c>
      <c r="X1309">
        <v>0</v>
      </c>
      <c r="Y1309" s="4">
        <v>1836</v>
      </c>
      <c r="Z1309" s="4">
        <v>1836</v>
      </c>
      <c r="AA1309" s="4">
        <v>1836</v>
      </c>
      <c r="AB1309" s="3">
        <v>42562</v>
      </c>
      <c r="AC1309" t="s">
        <v>53</v>
      </c>
      <c r="AD1309" t="s">
        <v>53</v>
      </c>
      <c r="AK1309">
        <v>0</v>
      </c>
      <c r="AU1309" s="3">
        <v>42426</v>
      </c>
      <c r="AV1309" s="3">
        <v>42426</v>
      </c>
      <c r="AW1309" t="s">
        <v>54</v>
      </c>
      <c r="AX1309" t="str">
        <f t="shared" si="170"/>
        <v>ALTPRO</v>
      </c>
      <c r="AY1309" t="s">
        <v>93</v>
      </c>
    </row>
    <row r="1310" spans="1:51" hidden="1">
      <c r="A1310">
        <v>101247</v>
      </c>
      <c r="B1310" t="s">
        <v>211</v>
      </c>
      <c r="C1310" t="str">
        <f t="shared" si="168"/>
        <v>03577840618</v>
      </c>
      <c r="D1310" t="str">
        <f t="shared" si="169"/>
        <v>MRLCMN78B64B963R</v>
      </c>
      <c r="E1310" t="s">
        <v>52</v>
      </c>
      <c r="F1310">
        <v>2016</v>
      </c>
      <c r="G1310" t="str">
        <f>"                 5/B"</f>
        <v xml:space="preserve">                 5/B</v>
      </c>
      <c r="H1310" s="3">
        <v>42430</v>
      </c>
      <c r="I1310" s="3">
        <v>42433</v>
      </c>
      <c r="J1310" s="3">
        <v>42430</v>
      </c>
      <c r="K1310" s="3">
        <v>42490</v>
      </c>
      <c r="L1310"/>
      <c r="N1310"/>
      <c r="O1310" s="4">
        <v>2686.68</v>
      </c>
      <c r="P1310">
        <v>-39</v>
      </c>
      <c r="Q1310" s="4">
        <v>-104780.52</v>
      </c>
      <c r="R1310">
        <v>0</v>
      </c>
      <c r="V1310">
        <v>0</v>
      </c>
      <c r="W1310">
        <v>0</v>
      </c>
      <c r="X1310">
        <v>0</v>
      </c>
      <c r="Y1310" s="4">
        <v>2686.68</v>
      </c>
      <c r="Z1310" s="4">
        <v>2686.68</v>
      </c>
      <c r="AA1310" s="4">
        <v>2686.68</v>
      </c>
      <c r="AB1310" s="3">
        <v>42562</v>
      </c>
      <c r="AC1310" t="s">
        <v>53</v>
      </c>
      <c r="AD1310" t="s">
        <v>53</v>
      </c>
      <c r="AK1310">
        <v>0</v>
      </c>
      <c r="AU1310" s="3">
        <v>42451</v>
      </c>
      <c r="AV1310" s="3">
        <v>42451</v>
      </c>
      <c r="AW1310" t="s">
        <v>54</v>
      </c>
      <c r="AX1310" t="str">
        <f t="shared" si="170"/>
        <v>ALTPRO</v>
      </c>
      <c r="AY1310" t="s">
        <v>93</v>
      </c>
    </row>
    <row r="1311" spans="1:51" hidden="1">
      <c r="A1311">
        <v>101247</v>
      </c>
      <c r="B1311" t="s">
        <v>211</v>
      </c>
      <c r="C1311" t="str">
        <f t="shared" si="168"/>
        <v>03577840618</v>
      </c>
      <c r="D1311" t="str">
        <f t="shared" si="169"/>
        <v>MRLCMN78B64B963R</v>
      </c>
      <c r="E1311" t="s">
        <v>52</v>
      </c>
      <c r="F1311">
        <v>2016</v>
      </c>
      <c r="G1311" t="str">
        <f>"                 6/B"</f>
        <v xml:space="preserve">                 6/B</v>
      </c>
      <c r="H1311" s="3">
        <v>42430</v>
      </c>
      <c r="I1311" s="3">
        <v>42433</v>
      </c>
      <c r="J1311" s="3">
        <v>42430</v>
      </c>
      <c r="K1311" s="3">
        <v>42490</v>
      </c>
      <c r="L1311"/>
      <c r="N1311"/>
      <c r="O1311" s="4">
        <v>1836</v>
      </c>
      <c r="P1311">
        <v>-39</v>
      </c>
      <c r="Q1311" s="4">
        <v>-71604</v>
      </c>
      <c r="R1311">
        <v>0</v>
      </c>
      <c r="V1311">
        <v>0</v>
      </c>
      <c r="W1311">
        <v>0</v>
      </c>
      <c r="X1311">
        <v>0</v>
      </c>
      <c r="Y1311" s="4">
        <v>1836</v>
      </c>
      <c r="Z1311" s="4">
        <v>1836</v>
      </c>
      <c r="AA1311" s="4">
        <v>1836</v>
      </c>
      <c r="AB1311" s="3">
        <v>42562</v>
      </c>
      <c r="AC1311" t="s">
        <v>53</v>
      </c>
      <c r="AD1311" t="s">
        <v>53</v>
      </c>
      <c r="AK1311">
        <v>0</v>
      </c>
      <c r="AU1311" s="3">
        <v>42451</v>
      </c>
      <c r="AV1311" s="3">
        <v>42451</v>
      </c>
      <c r="AW1311" t="s">
        <v>54</v>
      </c>
      <c r="AX1311" t="str">
        <f t="shared" si="170"/>
        <v>ALTPRO</v>
      </c>
      <c r="AY1311" t="s">
        <v>93</v>
      </c>
    </row>
    <row r="1312" spans="1:51">
      <c r="A1312">
        <v>101247</v>
      </c>
      <c r="B1312" t="s">
        <v>211</v>
      </c>
      <c r="C1312" t="str">
        <f t="shared" si="168"/>
        <v>03577840618</v>
      </c>
      <c r="D1312" t="str">
        <f t="shared" si="169"/>
        <v>MRLCMN78B64B963R</v>
      </c>
      <c r="E1312" t="s">
        <v>52</v>
      </c>
      <c r="F1312">
        <v>2016</v>
      </c>
      <c r="G1312" t="str">
        <f>"                 7/B"</f>
        <v xml:space="preserve">                 7/B</v>
      </c>
      <c r="H1312" s="3">
        <v>42461</v>
      </c>
      <c r="I1312" s="3">
        <v>42464</v>
      </c>
      <c r="J1312" s="3">
        <v>42461</v>
      </c>
      <c r="K1312" s="3">
        <v>42521</v>
      </c>
      <c r="L1312" s="5">
        <v>2794.15</v>
      </c>
      <c r="M1312">
        <v>-34</v>
      </c>
      <c r="N1312" s="5">
        <v>-95001.1</v>
      </c>
      <c r="O1312" s="4">
        <v>2794.15</v>
      </c>
      <c r="P1312">
        <v>-34</v>
      </c>
      <c r="Q1312" s="4">
        <v>-95001.1</v>
      </c>
      <c r="R1312">
        <v>0</v>
      </c>
      <c r="V1312">
        <v>-547.87</v>
      </c>
      <c r="W1312" s="4">
        <v>2794.15</v>
      </c>
      <c r="X1312" s="4">
        <v>2794.15</v>
      </c>
      <c r="Y1312" s="4">
        <v>2794.15</v>
      </c>
      <c r="Z1312" s="4">
        <v>2794.15</v>
      </c>
      <c r="AA1312" s="4">
        <v>2794.15</v>
      </c>
      <c r="AB1312" s="3">
        <v>42562</v>
      </c>
      <c r="AC1312" t="s">
        <v>53</v>
      </c>
      <c r="AD1312" t="s">
        <v>53</v>
      </c>
      <c r="AK1312">
        <v>0</v>
      </c>
      <c r="AU1312" s="3">
        <v>42487</v>
      </c>
      <c r="AV1312" s="3">
        <v>42487</v>
      </c>
      <c r="AW1312" t="s">
        <v>54</v>
      </c>
      <c r="AX1312" t="str">
        <f t="shared" si="170"/>
        <v>ALTPRO</v>
      </c>
      <c r="AY1312" t="s">
        <v>93</v>
      </c>
    </row>
    <row r="1313" spans="1:51">
      <c r="A1313">
        <v>101247</v>
      </c>
      <c r="B1313" t="s">
        <v>211</v>
      </c>
      <c r="C1313" t="str">
        <f t="shared" si="168"/>
        <v>03577840618</v>
      </c>
      <c r="D1313" t="str">
        <f t="shared" si="169"/>
        <v>MRLCMN78B64B963R</v>
      </c>
      <c r="E1313" t="s">
        <v>52</v>
      </c>
      <c r="F1313">
        <v>2016</v>
      </c>
      <c r="G1313" t="str">
        <f>"                 8/B"</f>
        <v xml:space="preserve">                 8/B</v>
      </c>
      <c r="H1313" s="3">
        <v>42461</v>
      </c>
      <c r="I1313" s="3">
        <v>42464</v>
      </c>
      <c r="J1313" s="3">
        <v>42461</v>
      </c>
      <c r="K1313" s="3">
        <v>42521</v>
      </c>
      <c r="L1313" s="5">
        <v>1836</v>
      </c>
      <c r="M1313">
        <v>-34</v>
      </c>
      <c r="N1313" s="5">
        <v>-62424</v>
      </c>
      <c r="O1313" s="4">
        <v>1836</v>
      </c>
      <c r="P1313">
        <v>-34</v>
      </c>
      <c r="Q1313" s="4">
        <v>-62424</v>
      </c>
      <c r="R1313">
        <v>0</v>
      </c>
      <c r="V1313">
        <v>-360</v>
      </c>
      <c r="W1313" s="4">
        <v>1836</v>
      </c>
      <c r="X1313" s="4">
        <v>1836</v>
      </c>
      <c r="Y1313" s="4">
        <v>1836</v>
      </c>
      <c r="Z1313" s="4">
        <v>1836</v>
      </c>
      <c r="AA1313" s="4">
        <v>1836</v>
      </c>
      <c r="AB1313" s="3">
        <v>42562</v>
      </c>
      <c r="AC1313" t="s">
        <v>53</v>
      </c>
      <c r="AD1313" t="s">
        <v>53</v>
      </c>
      <c r="AK1313">
        <v>0</v>
      </c>
      <c r="AU1313" s="3">
        <v>42487</v>
      </c>
      <c r="AV1313" s="3">
        <v>42487</v>
      </c>
      <c r="AW1313" t="s">
        <v>54</v>
      </c>
      <c r="AX1313" t="str">
        <f t="shared" si="170"/>
        <v>ALTPRO</v>
      </c>
      <c r="AY1313" t="s">
        <v>93</v>
      </c>
    </row>
    <row r="1314" spans="1:51">
      <c r="A1314">
        <v>101247</v>
      </c>
      <c r="B1314" t="s">
        <v>211</v>
      </c>
      <c r="C1314" t="str">
        <f t="shared" si="168"/>
        <v>03577840618</v>
      </c>
      <c r="D1314" t="str">
        <f t="shared" si="169"/>
        <v>MRLCMN78B64B963R</v>
      </c>
      <c r="E1314" t="s">
        <v>52</v>
      </c>
      <c r="F1314">
        <v>2016</v>
      </c>
      <c r="G1314" t="str">
        <f>"                 9/B"</f>
        <v xml:space="preserve">                 9/B</v>
      </c>
      <c r="H1314" s="3">
        <v>42492</v>
      </c>
      <c r="I1314" s="3">
        <v>42493</v>
      </c>
      <c r="J1314" s="3">
        <v>42492</v>
      </c>
      <c r="K1314" s="3">
        <v>42552</v>
      </c>
      <c r="L1314" s="5">
        <v>2686.68</v>
      </c>
      <c r="M1314">
        <v>-36</v>
      </c>
      <c r="N1314" s="5">
        <v>-96720.48</v>
      </c>
      <c r="O1314" s="4">
        <v>2686.68</v>
      </c>
      <c r="P1314">
        <v>-36</v>
      </c>
      <c r="Q1314" s="4">
        <v>-96720.48</v>
      </c>
      <c r="R1314">
        <v>0</v>
      </c>
      <c r="V1314" s="4">
        <v>2686.68</v>
      </c>
      <c r="W1314" s="4">
        <v>2686.68</v>
      </c>
      <c r="X1314" s="4">
        <v>2686.68</v>
      </c>
      <c r="Y1314" s="4">
        <v>2686.68</v>
      </c>
      <c r="Z1314" s="4">
        <v>2686.68</v>
      </c>
      <c r="AA1314" s="4">
        <v>2686.68</v>
      </c>
      <c r="AB1314" s="3">
        <v>42562</v>
      </c>
      <c r="AC1314" t="s">
        <v>53</v>
      </c>
      <c r="AD1314" t="s">
        <v>53</v>
      </c>
      <c r="AK1314">
        <v>0</v>
      </c>
      <c r="AU1314" s="3">
        <v>42516</v>
      </c>
      <c r="AV1314" s="3">
        <v>42516</v>
      </c>
      <c r="AW1314" t="s">
        <v>54</v>
      </c>
      <c r="AX1314" t="str">
        <f t="shared" si="170"/>
        <v>ALTPRO</v>
      </c>
      <c r="AY1314" t="s">
        <v>93</v>
      </c>
    </row>
    <row r="1315" spans="1:51">
      <c r="A1315">
        <v>101247</v>
      </c>
      <c r="B1315" t="s">
        <v>211</v>
      </c>
      <c r="C1315" t="str">
        <f t="shared" si="168"/>
        <v>03577840618</v>
      </c>
      <c r="D1315" t="str">
        <f t="shared" si="169"/>
        <v>MRLCMN78B64B963R</v>
      </c>
      <c r="E1315" t="s">
        <v>52</v>
      </c>
      <c r="F1315">
        <v>2016</v>
      </c>
      <c r="G1315" t="str">
        <f>"                10/B"</f>
        <v xml:space="preserve">                10/B</v>
      </c>
      <c r="H1315" s="3">
        <v>42492</v>
      </c>
      <c r="I1315" s="3">
        <v>42493</v>
      </c>
      <c r="J1315" s="3">
        <v>42492</v>
      </c>
      <c r="K1315" s="3">
        <v>42552</v>
      </c>
      <c r="L1315" s="5">
        <v>1836</v>
      </c>
      <c r="M1315">
        <v>-36</v>
      </c>
      <c r="N1315" s="5">
        <v>-66096</v>
      </c>
      <c r="O1315" s="4">
        <v>1836</v>
      </c>
      <c r="P1315">
        <v>-36</v>
      </c>
      <c r="Q1315" s="4">
        <v>-66096</v>
      </c>
      <c r="R1315">
        <v>0</v>
      </c>
      <c r="V1315" s="4">
        <v>1836</v>
      </c>
      <c r="W1315" s="4">
        <v>1836</v>
      </c>
      <c r="X1315" s="4">
        <v>1836</v>
      </c>
      <c r="Y1315" s="4">
        <v>1836</v>
      </c>
      <c r="Z1315" s="4">
        <v>1836</v>
      </c>
      <c r="AA1315" s="4">
        <v>1836</v>
      </c>
      <c r="AB1315" s="3">
        <v>42562</v>
      </c>
      <c r="AC1315" t="s">
        <v>53</v>
      </c>
      <c r="AD1315" t="s">
        <v>53</v>
      </c>
      <c r="AK1315">
        <v>0</v>
      </c>
      <c r="AU1315" s="3">
        <v>42516</v>
      </c>
      <c r="AV1315" s="3">
        <v>42516</v>
      </c>
      <c r="AW1315" t="s">
        <v>54</v>
      </c>
      <c r="AX1315" t="str">
        <f t="shared" si="170"/>
        <v>ALTPRO</v>
      </c>
      <c r="AY1315" t="s">
        <v>93</v>
      </c>
    </row>
    <row r="1316" spans="1:51" hidden="1">
      <c r="A1316">
        <v>101247</v>
      </c>
      <c r="B1316" t="s">
        <v>211</v>
      </c>
      <c r="C1316" t="str">
        <f t="shared" si="168"/>
        <v>03577840618</v>
      </c>
      <c r="D1316" t="str">
        <f t="shared" si="169"/>
        <v>MRLCMN78B64B963R</v>
      </c>
      <c r="E1316" t="s">
        <v>52</v>
      </c>
      <c r="F1316">
        <v>2016</v>
      </c>
      <c r="G1316" t="str">
        <f>"                23/A"</f>
        <v xml:space="preserve">                23/A</v>
      </c>
      <c r="H1316" s="3">
        <v>42373</v>
      </c>
      <c r="I1316" s="3">
        <v>42377</v>
      </c>
      <c r="J1316" s="3">
        <v>42373</v>
      </c>
      <c r="K1316" s="3">
        <v>42433</v>
      </c>
      <c r="L1316"/>
      <c r="N1316"/>
      <c r="O1316" s="4">
        <v>2579.21</v>
      </c>
      <c r="P1316">
        <v>-36</v>
      </c>
      <c r="Q1316" s="4">
        <v>-92851.56</v>
      </c>
      <c r="R1316">
        <v>0</v>
      </c>
      <c r="V1316">
        <v>0</v>
      </c>
      <c r="W1316">
        <v>0</v>
      </c>
      <c r="X1316">
        <v>0</v>
      </c>
      <c r="Y1316">
        <v>-505.73</v>
      </c>
      <c r="Z1316" s="4">
        <v>2579.21</v>
      </c>
      <c r="AA1316" s="4">
        <v>2579.21</v>
      </c>
      <c r="AB1316" s="3">
        <v>42562</v>
      </c>
      <c r="AC1316" t="s">
        <v>53</v>
      </c>
      <c r="AD1316" t="s">
        <v>53</v>
      </c>
      <c r="AK1316">
        <v>0</v>
      </c>
      <c r="AU1316" s="3">
        <v>42397</v>
      </c>
      <c r="AV1316" s="3">
        <v>42397</v>
      </c>
      <c r="AW1316" t="s">
        <v>54</v>
      </c>
      <c r="AX1316" t="str">
        <f t="shared" si="170"/>
        <v>ALTPRO</v>
      </c>
      <c r="AY1316" t="s">
        <v>93</v>
      </c>
    </row>
    <row r="1317" spans="1:51" hidden="1">
      <c r="A1317">
        <v>101247</v>
      </c>
      <c r="B1317" t="s">
        <v>211</v>
      </c>
      <c r="C1317" t="str">
        <f t="shared" si="168"/>
        <v>03577840618</v>
      </c>
      <c r="D1317" t="str">
        <f t="shared" si="169"/>
        <v>MRLCMN78B64B963R</v>
      </c>
      <c r="E1317" t="s">
        <v>52</v>
      </c>
      <c r="F1317">
        <v>2016</v>
      </c>
      <c r="G1317" t="str">
        <f>"                24/A"</f>
        <v xml:space="preserve">                24/A</v>
      </c>
      <c r="H1317" s="3">
        <v>42373</v>
      </c>
      <c r="I1317" s="3">
        <v>42377</v>
      </c>
      <c r="J1317" s="3">
        <v>42373</v>
      </c>
      <c r="K1317" s="3">
        <v>42433</v>
      </c>
      <c r="L1317"/>
      <c r="N1317"/>
      <c r="O1317" s="4">
        <v>1836</v>
      </c>
      <c r="P1317">
        <v>-36</v>
      </c>
      <c r="Q1317" s="4">
        <v>-66096</v>
      </c>
      <c r="R1317">
        <v>0</v>
      </c>
      <c r="V1317">
        <v>0</v>
      </c>
      <c r="W1317">
        <v>0</v>
      </c>
      <c r="X1317">
        <v>0</v>
      </c>
      <c r="Y1317">
        <v>-360</v>
      </c>
      <c r="Z1317" s="4">
        <v>1836</v>
      </c>
      <c r="AA1317" s="4">
        <v>1836</v>
      </c>
      <c r="AB1317" s="3">
        <v>42562</v>
      </c>
      <c r="AC1317" t="s">
        <v>53</v>
      </c>
      <c r="AD1317" t="s">
        <v>53</v>
      </c>
      <c r="AK1317">
        <v>0</v>
      </c>
      <c r="AU1317" s="3">
        <v>42397</v>
      </c>
      <c r="AV1317" s="3">
        <v>42397</v>
      </c>
      <c r="AW1317" t="s">
        <v>54</v>
      </c>
      <c r="AX1317" t="str">
        <f t="shared" si="170"/>
        <v>ALTPRO</v>
      </c>
      <c r="AY1317" t="s">
        <v>93</v>
      </c>
    </row>
    <row r="1318" spans="1:51" hidden="1">
      <c r="A1318">
        <v>101252</v>
      </c>
      <c r="B1318" t="s">
        <v>212</v>
      </c>
      <c r="C1318" t="str">
        <f>"00991131004"</f>
        <v>00991131004</v>
      </c>
      <c r="D1318" t="str">
        <f>""</f>
        <v/>
      </c>
      <c r="E1318" t="s">
        <v>52</v>
      </c>
      <c r="F1318">
        <v>2014</v>
      </c>
      <c r="G1318" t="str">
        <f>"           V2/510039"</f>
        <v xml:space="preserve">           V2/510039</v>
      </c>
      <c r="H1318" s="3">
        <v>42003</v>
      </c>
      <c r="I1318" s="3">
        <v>42299</v>
      </c>
      <c r="J1318" s="3">
        <v>42299</v>
      </c>
      <c r="K1318" s="3">
        <v>42359</v>
      </c>
      <c r="L1318"/>
      <c r="N1318"/>
      <c r="O1318" s="4">
        <v>1282.46</v>
      </c>
      <c r="P1318">
        <v>44</v>
      </c>
      <c r="Q1318" s="4">
        <v>56428.24</v>
      </c>
      <c r="R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 s="3">
        <v>42562</v>
      </c>
      <c r="AC1318" t="s">
        <v>53</v>
      </c>
      <c r="AD1318" t="s">
        <v>53</v>
      </c>
      <c r="AK1318">
        <v>0</v>
      </c>
      <c r="AU1318" s="3">
        <v>42403</v>
      </c>
      <c r="AV1318" s="3">
        <v>42403</v>
      </c>
      <c r="AW1318" t="s">
        <v>54</v>
      </c>
      <c r="AX1318" t="str">
        <f>"FOR"</f>
        <v>FOR</v>
      </c>
      <c r="AY1318" t="s">
        <v>55</v>
      </c>
    </row>
    <row r="1319" spans="1:51">
      <c r="A1319">
        <v>101252</v>
      </c>
      <c r="B1319" t="s">
        <v>212</v>
      </c>
      <c r="C1319" t="str">
        <f>"00991131004"</f>
        <v>00991131004</v>
      </c>
      <c r="D1319" t="str">
        <f>""</f>
        <v/>
      </c>
      <c r="E1319" t="s">
        <v>52</v>
      </c>
      <c r="F1319">
        <v>2015</v>
      </c>
      <c r="G1319" t="str">
        <f>"           V1/016183"</f>
        <v xml:space="preserve">           V1/016183</v>
      </c>
      <c r="H1319" s="3">
        <v>42311</v>
      </c>
      <c r="I1319" s="3">
        <v>42314</v>
      </c>
      <c r="J1319" s="3">
        <v>42313</v>
      </c>
      <c r="K1319" s="3">
        <v>42373</v>
      </c>
      <c r="L1319" s="5">
        <v>3872.66</v>
      </c>
      <c r="M1319">
        <v>114</v>
      </c>
      <c r="N1319" s="5">
        <v>441483.24</v>
      </c>
      <c r="O1319" s="4">
        <v>3872.66</v>
      </c>
      <c r="P1319">
        <v>114</v>
      </c>
      <c r="Q1319" s="4">
        <v>441483.24</v>
      </c>
      <c r="R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 s="3">
        <v>42562</v>
      </c>
      <c r="AC1319" t="s">
        <v>53</v>
      </c>
      <c r="AD1319" t="s">
        <v>53</v>
      </c>
      <c r="AK1319">
        <v>0</v>
      </c>
      <c r="AU1319" s="3">
        <v>42487</v>
      </c>
      <c r="AV1319" s="3">
        <v>42487</v>
      </c>
      <c r="AW1319" t="s">
        <v>54</v>
      </c>
      <c r="AX1319" t="str">
        <f>"FOR"</f>
        <v>FOR</v>
      </c>
      <c r="AY1319" t="s">
        <v>55</v>
      </c>
    </row>
    <row r="1320" spans="1:51">
      <c r="A1320">
        <v>101252</v>
      </c>
      <c r="B1320" t="s">
        <v>212</v>
      </c>
      <c r="C1320" t="str">
        <f>"00991131004"</f>
        <v>00991131004</v>
      </c>
      <c r="D1320" t="str">
        <f>""</f>
        <v/>
      </c>
      <c r="E1320" t="s">
        <v>52</v>
      </c>
      <c r="F1320">
        <v>2015</v>
      </c>
      <c r="G1320" t="str">
        <f>"           V1/016665"</f>
        <v xml:space="preserve">           V1/016665</v>
      </c>
      <c r="H1320" s="3">
        <v>42320</v>
      </c>
      <c r="I1320" s="3">
        <v>42325</v>
      </c>
      <c r="J1320" s="3">
        <v>42324</v>
      </c>
      <c r="K1320" s="3">
        <v>42384</v>
      </c>
      <c r="L1320" s="5">
        <v>1260</v>
      </c>
      <c r="M1320">
        <v>103</v>
      </c>
      <c r="N1320" s="5">
        <v>129780</v>
      </c>
      <c r="O1320" s="4">
        <v>1260</v>
      </c>
      <c r="P1320">
        <v>103</v>
      </c>
      <c r="Q1320" s="4">
        <v>129780</v>
      </c>
      <c r="R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 s="3">
        <v>42562</v>
      </c>
      <c r="AC1320" t="s">
        <v>53</v>
      </c>
      <c r="AD1320" t="s">
        <v>53</v>
      </c>
      <c r="AK1320">
        <v>0</v>
      </c>
      <c r="AU1320" s="3">
        <v>42487</v>
      </c>
      <c r="AV1320" s="3">
        <v>42487</v>
      </c>
      <c r="AW1320" t="s">
        <v>54</v>
      </c>
      <c r="AX1320" t="str">
        <f>"FOR"</f>
        <v>FOR</v>
      </c>
      <c r="AY1320" t="s">
        <v>55</v>
      </c>
    </row>
    <row r="1321" spans="1:51" hidden="1">
      <c r="A1321">
        <v>101252</v>
      </c>
      <c r="B1321" t="s">
        <v>212</v>
      </c>
      <c r="C1321" t="str">
        <f>"00991131004"</f>
        <v>00991131004</v>
      </c>
      <c r="D1321" t="str">
        <f>""</f>
        <v/>
      </c>
      <c r="E1321" t="s">
        <v>52</v>
      </c>
      <c r="F1321">
        <v>2015</v>
      </c>
      <c r="G1321" t="str">
        <f>"           V2/502877"</f>
        <v xml:space="preserve">           V2/502877</v>
      </c>
      <c r="H1321" s="3">
        <v>42124</v>
      </c>
      <c r="I1321" s="3">
        <v>42198</v>
      </c>
      <c r="J1321" s="3">
        <v>42196</v>
      </c>
      <c r="K1321" s="3">
        <v>42256</v>
      </c>
      <c r="L1321"/>
      <c r="N1321"/>
      <c r="O1321" s="4">
        <v>2968.5</v>
      </c>
      <c r="P1321">
        <v>160</v>
      </c>
      <c r="Q1321" s="4">
        <v>474960</v>
      </c>
      <c r="R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 s="3">
        <v>42562</v>
      </c>
      <c r="AC1321" t="s">
        <v>53</v>
      </c>
      <c r="AD1321" t="s">
        <v>53</v>
      </c>
      <c r="AK1321">
        <v>0</v>
      </c>
      <c r="AU1321" s="3">
        <v>42416</v>
      </c>
      <c r="AV1321" s="3">
        <v>42416</v>
      </c>
      <c r="AW1321" t="s">
        <v>54</v>
      </c>
      <c r="AX1321" t="str">
        <f>"FOR"</f>
        <v>FOR</v>
      </c>
      <c r="AY1321" t="s">
        <v>55</v>
      </c>
    </row>
    <row r="1322" spans="1:51">
      <c r="A1322">
        <v>101252</v>
      </c>
      <c r="B1322" t="s">
        <v>212</v>
      </c>
      <c r="C1322" t="str">
        <f>"00991131004"</f>
        <v>00991131004</v>
      </c>
      <c r="D1322" t="str">
        <f>""</f>
        <v/>
      </c>
      <c r="E1322" t="s">
        <v>52</v>
      </c>
      <c r="F1322">
        <v>2015</v>
      </c>
      <c r="G1322" t="str">
        <f>"           V2/504856"</f>
        <v xml:space="preserve">           V2/504856</v>
      </c>
      <c r="H1322" s="3">
        <v>42184</v>
      </c>
      <c r="I1322" s="3">
        <v>42188</v>
      </c>
      <c r="J1322" s="3">
        <v>42187</v>
      </c>
      <c r="K1322" s="3">
        <v>42247</v>
      </c>
      <c r="L1322" s="5">
        <v>1212.8</v>
      </c>
      <c r="M1322">
        <v>240</v>
      </c>
      <c r="N1322" s="5">
        <v>291072</v>
      </c>
      <c r="O1322" s="4">
        <v>1212.8</v>
      </c>
      <c r="P1322">
        <v>240</v>
      </c>
      <c r="Q1322" s="4">
        <v>291072</v>
      </c>
      <c r="R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 s="3">
        <v>42562</v>
      </c>
      <c r="AC1322" t="s">
        <v>53</v>
      </c>
      <c r="AD1322" t="s">
        <v>53</v>
      </c>
      <c r="AK1322">
        <v>0</v>
      </c>
      <c r="AU1322" s="3">
        <v>42487</v>
      </c>
      <c r="AV1322" s="3">
        <v>42487</v>
      </c>
      <c r="AW1322" t="s">
        <v>54</v>
      </c>
      <c r="AX1322" t="str">
        <f>"FOR"</f>
        <v>FOR</v>
      </c>
      <c r="AY1322" t="s">
        <v>55</v>
      </c>
    </row>
    <row r="1323" spans="1:51" hidden="1">
      <c r="A1323">
        <v>101264</v>
      </c>
      <c r="B1323" t="s">
        <v>213</v>
      </c>
      <c r="C1323" t="str">
        <f>"01487320622"</f>
        <v>01487320622</v>
      </c>
      <c r="D1323" t="str">
        <f>"FMUMRZ80R09L086N"</f>
        <v>FMUMRZ80R09L086N</v>
      </c>
      <c r="E1323" t="s">
        <v>52</v>
      </c>
      <c r="F1323">
        <v>2015</v>
      </c>
      <c r="G1323" t="str">
        <f>"                   9"</f>
        <v xml:space="preserve">                   9</v>
      </c>
      <c r="H1323" s="3">
        <v>42360</v>
      </c>
      <c r="I1323" s="3">
        <v>42369</v>
      </c>
      <c r="J1323" s="3">
        <v>42361</v>
      </c>
      <c r="K1323" s="3">
        <v>42421</v>
      </c>
      <c r="L1323"/>
      <c r="N1323"/>
      <c r="O1323" s="4">
        <v>1502</v>
      </c>
      <c r="P1323">
        <v>-24</v>
      </c>
      <c r="Q1323" s="4">
        <v>-36048</v>
      </c>
      <c r="R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 s="3">
        <v>42562</v>
      </c>
      <c r="AC1323" t="s">
        <v>53</v>
      </c>
      <c r="AD1323" t="s">
        <v>53</v>
      </c>
      <c r="AK1323">
        <v>0</v>
      </c>
      <c r="AU1323" s="3">
        <v>42397</v>
      </c>
      <c r="AV1323" s="3">
        <v>42397</v>
      </c>
      <c r="AW1323" t="s">
        <v>54</v>
      </c>
      <c r="AX1323" t="str">
        <f>"ALTPRO"</f>
        <v>ALTPRO</v>
      </c>
      <c r="AY1323" t="s">
        <v>93</v>
      </c>
    </row>
    <row r="1324" spans="1:51" hidden="1">
      <c r="A1324">
        <v>101264</v>
      </c>
      <c r="B1324" t="s">
        <v>213</v>
      </c>
      <c r="C1324" t="str">
        <f>"01487320622"</f>
        <v>01487320622</v>
      </c>
      <c r="D1324" t="str">
        <f>"FMUMRZ80R09L086N"</f>
        <v>FMUMRZ80R09L086N</v>
      </c>
      <c r="E1324" t="s">
        <v>52</v>
      </c>
      <c r="F1324">
        <v>2016</v>
      </c>
      <c r="G1324" t="str">
        <f>"                   1"</f>
        <v xml:space="preserve">                   1</v>
      </c>
      <c r="H1324" s="3">
        <v>42417</v>
      </c>
      <c r="I1324" s="3">
        <v>42419</v>
      </c>
      <c r="J1324" s="3">
        <v>42417</v>
      </c>
      <c r="K1324" s="3">
        <v>42477</v>
      </c>
      <c r="L1324"/>
      <c r="N1324"/>
      <c r="O1324" s="4">
        <v>1666.66</v>
      </c>
      <c r="P1324">
        <v>-51</v>
      </c>
      <c r="Q1324" s="4">
        <v>-84999.66</v>
      </c>
      <c r="R1324">
        <v>0</v>
      </c>
      <c r="V1324">
        <v>0</v>
      </c>
      <c r="W1324">
        <v>0</v>
      </c>
      <c r="X1324">
        <v>0</v>
      </c>
      <c r="Y1324" s="4">
        <v>1666.66</v>
      </c>
      <c r="Z1324" s="4">
        <v>1666.66</v>
      </c>
      <c r="AA1324" s="4">
        <v>1666.66</v>
      </c>
      <c r="AB1324" s="3">
        <v>42562</v>
      </c>
      <c r="AC1324" t="s">
        <v>53</v>
      </c>
      <c r="AD1324" t="s">
        <v>53</v>
      </c>
      <c r="AK1324">
        <v>0</v>
      </c>
      <c r="AU1324" s="3">
        <v>42426</v>
      </c>
      <c r="AV1324" s="3">
        <v>42426</v>
      </c>
      <c r="AW1324" t="s">
        <v>54</v>
      </c>
      <c r="AX1324" t="str">
        <f>"ALTPRO"</f>
        <v>ALTPRO</v>
      </c>
      <c r="AY1324" t="s">
        <v>93</v>
      </c>
    </row>
    <row r="1325" spans="1:51" hidden="1">
      <c r="A1325">
        <v>101264</v>
      </c>
      <c r="B1325" t="s">
        <v>213</v>
      </c>
      <c r="C1325" t="str">
        <f>"01487320622"</f>
        <v>01487320622</v>
      </c>
      <c r="D1325" t="str">
        <f>"FMUMRZ80R09L086N"</f>
        <v>FMUMRZ80R09L086N</v>
      </c>
      <c r="E1325" t="s">
        <v>52</v>
      </c>
      <c r="F1325">
        <v>2016</v>
      </c>
      <c r="G1325" t="str">
        <f>"         FATTPA 1_16"</f>
        <v xml:space="preserve">         FATTPA 1_16</v>
      </c>
      <c r="H1325" s="3">
        <v>42422</v>
      </c>
      <c r="I1325" s="3">
        <v>42426</v>
      </c>
      <c r="J1325" s="3">
        <v>42424</v>
      </c>
      <c r="K1325" s="3">
        <v>42484</v>
      </c>
      <c r="L1325"/>
      <c r="N1325"/>
      <c r="O1325">
        <v>838.91</v>
      </c>
      <c r="P1325">
        <v>-33</v>
      </c>
      <c r="Q1325" s="4">
        <v>-27684.03</v>
      </c>
      <c r="R1325">
        <v>0</v>
      </c>
      <c r="V1325">
        <v>0</v>
      </c>
      <c r="W1325">
        <v>0</v>
      </c>
      <c r="X1325">
        <v>0</v>
      </c>
      <c r="Y1325">
        <v>838.91</v>
      </c>
      <c r="Z1325">
        <v>838.91</v>
      </c>
      <c r="AA1325">
        <v>838.91</v>
      </c>
      <c r="AB1325" s="3">
        <v>42562</v>
      </c>
      <c r="AC1325" t="s">
        <v>53</v>
      </c>
      <c r="AD1325" t="s">
        <v>53</v>
      </c>
      <c r="AK1325">
        <v>0</v>
      </c>
      <c r="AU1325" s="3">
        <v>42451</v>
      </c>
      <c r="AV1325" s="3">
        <v>42451</v>
      </c>
      <c r="AW1325" t="s">
        <v>54</v>
      </c>
      <c r="AX1325" t="str">
        <f>"ALTPRO"</f>
        <v>ALTPRO</v>
      </c>
      <c r="AY1325" t="s">
        <v>93</v>
      </c>
    </row>
    <row r="1326" spans="1:51">
      <c r="A1326">
        <v>101273</v>
      </c>
      <c r="B1326" t="s">
        <v>214</v>
      </c>
      <c r="C1326" t="str">
        <f t="shared" ref="C1326:D1329" si="171">"04927040636"</f>
        <v>04927040636</v>
      </c>
      <c r="D1326" t="str">
        <f t="shared" si="171"/>
        <v>04927040636</v>
      </c>
      <c r="E1326" t="s">
        <v>52</v>
      </c>
      <c r="F1326">
        <v>2015</v>
      </c>
      <c r="G1326" t="str">
        <f>"                  33"</f>
        <v xml:space="preserve">                  33</v>
      </c>
      <c r="H1326" s="3">
        <v>42063</v>
      </c>
      <c r="I1326" s="3">
        <v>42087</v>
      </c>
      <c r="J1326" s="3">
        <v>42087</v>
      </c>
      <c r="K1326" s="3">
        <v>42147</v>
      </c>
      <c r="L1326" s="5">
        <v>6785</v>
      </c>
      <c r="M1326">
        <v>317</v>
      </c>
      <c r="N1326" s="5">
        <v>2150845</v>
      </c>
      <c r="O1326" s="4">
        <v>6785</v>
      </c>
      <c r="P1326">
        <v>317</v>
      </c>
      <c r="Q1326" s="4">
        <v>2150845</v>
      </c>
      <c r="R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 s="3">
        <v>42562</v>
      </c>
      <c r="AC1326" t="s">
        <v>53</v>
      </c>
      <c r="AD1326" t="s">
        <v>53</v>
      </c>
      <c r="AK1326">
        <v>0</v>
      </c>
      <c r="AU1326" s="3">
        <v>42464</v>
      </c>
      <c r="AV1326" s="3">
        <v>42464</v>
      </c>
      <c r="AW1326" t="s">
        <v>54</v>
      </c>
      <c r="AX1326" t="str">
        <f t="shared" ref="AX1326:AX1344" si="172">"FOR"</f>
        <v>FOR</v>
      </c>
      <c r="AY1326" t="s">
        <v>55</v>
      </c>
    </row>
    <row r="1327" spans="1:51">
      <c r="A1327">
        <v>101273</v>
      </c>
      <c r="B1327" t="s">
        <v>214</v>
      </c>
      <c r="C1327" t="str">
        <f t="shared" si="171"/>
        <v>04927040636</v>
      </c>
      <c r="D1327" t="str">
        <f t="shared" si="171"/>
        <v>04927040636</v>
      </c>
      <c r="E1327" t="s">
        <v>52</v>
      </c>
      <c r="F1327">
        <v>2015</v>
      </c>
      <c r="G1327" t="str">
        <f>"                1/PA"</f>
        <v xml:space="preserve">                1/PA</v>
      </c>
      <c r="H1327" s="3">
        <v>42124</v>
      </c>
      <c r="I1327" s="3">
        <v>42177</v>
      </c>
      <c r="J1327" s="3">
        <v>42138</v>
      </c>
      <c r="K1327" s="3">
        <v>42198</v>
      </c>
      <c r="L1327" s="5">
        <v>7176</v>
      </c>
      <c r="M1327">
        <v>266</v>
      </c>
      <c r="N1327" s="5">
        <v>1908816</v>
      </c>
      <c r="O1327" s="4">
        <v>7176</v>
      </c>
      <c r="P1327">
        <v>266</v>
      </c>
      <c r="Q1327" s="4">
        <v>1908816</v>
      </c>
      <c r="R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 s="3">
        <v>42562</v>
      </c>
      <c r="AC1327" t="s">
        <v>53</v>
      </c>
      <c r="AD1327" t="s">
        <v>53</v>
      </c>
      <c r="AK1327">
        <v>0</v>
      </c>
      <c r="AU1327" s="3">
        <v>42464</v>
      </c>
      <c r="AV1327" s="3">
        <v>42464</v>
      </c>
      <c r="AW1327" t="s">
        <v>54</v>
      </c>
      <c r="AX1327" t="str">
        <f t="shared" si="172"/>
        <v>FOR</v>
      </c>
      <c r="AY1327" t="s">
        <v>55</v>
      </c>
    </row>
    <row r="1328" spans="1:51">
      <c r="A1328">
        <v>101273</v>
      </c>
      <c r="B1328" t="s">
        <v>214</v>
      </c>
      <c r="C1328" t="str">
        <f t="shared" si="171"/>
        <v>04927040636</v>
      </c>
      <c r="D1328" t="str">
        <f t="shared" si="171"/>
        <v>04927040636</v>
      </c>
      <c r="E1328" t="s">
        <v>52</v>
      </c>
      <c r="F1328">
        <v>2015</v>
      </c>
      <c r="G1328" t="str">
        <f>"                2/PA"</f>
        <v xml:space="preserve">                2/PA</v>
      </c>
      <c r="H1328" s="3">
        <v>42124</v>
      </c>
      <c r="I1328" s="3">
        <v>42174</v>
      </c>
      <c r="J1328" s="3">
        <v>42138</v>
      </c>
      <c r="K1328" s="3">
        <v>42198</v>
      </c>
      <c r="L1328" s="5">
        <v>2611.06</v>
      </c>
      <c r="M1328">
        <v>266</v>
      </c>
      <c r="N1328" s="5">
        <v>694541.96</v>
      </c>
      <c r="O1328" s="4">
        <v>2611.06</v>
      </c>
      <c r="P1328">
        <v>266</v>
      </c>
      <c r="Q1328" s="4">
        <v>694541.96</v>
      </c>
      <c r="R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 s="3">
        <v>42562</v>
      </c>
      <c r="AC1328" t="s">
        <v>53</v>
      </c>
      <c r="AD1328" t="s">
        <v>53</v>
      </c>
      <c r="AK1328">
        <v>0</v>
      </c>
      <c r="AU1328" s="3">
        <v>42464</v>
      </c>
      <c r="AV1328" s="3">
        <v>42464</v>
      </c>
      <c r="AW1328" t="s">
        <v>54</v>
      </c>
      <c r="AX1328" t="str">
        <f t="shared" si="172"/>
        <v>FOR</v>
      </c>
      <c r="AY1328" t="s">
        <v>55</v>
      </c>
    </row>
    <row r="1329" spans="1:51">
      <c r="A1329">
        <v>101273</v>
      </c>
      <c r="B1329" t="s">
        <v>214</v>
      </c>
      <c r="C1329" t="str">
        <f t="shared" si="171"/>
        <v>04927040636</v>
      </c>
      <c r="D1329" t="str">
        <f t="shared" si="171"/>
        <v>04927040636</v>
      </c>
      <c r="E1329" t="s">
        <v>52</v>
      </c>
      <c r="F1329">
        <v>2015</v>
      </c>
      <c r="G1329" t="str">
        <f>"               14/PA"</f>
        <v xml:space="preserve">               14/PA</v>
      </c>
      <c r="H1329" s="3">
        <v>42153</v>
      </c>
      <c r="I1329" s="3">
        <v>42163</v>
      </c>
      <c r="J1329" s="3">
        <v>42158</v>
      </c>
      <c r="K1329" s="3">
        <v>42218</v>
      </c>
      <c r="L1329" s="5">
        <v>2024.5</v>
      </c>
      <c r="M1329">
        <v>246</v>
      </c>
      <c r="N1329" s="5">
        <v>498027</v>
      </c>
      <c r="O1329" s="4">
        <v>2024.5</v>
      </c>
      <c r="P1329">
        <v>246</v>
      </c>
      <c r="Q1329" s="4">
        <v>498027</v>
      </c>
      <c r="R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 s="3">
        <v>42562</v>
      </c>
      <c r="AC1329" t="s">
        <v>53</v>
      </c>
      <c r="AD1329" t="s">
        <v>53</v>
      </c>
      <c r="AK1329">
        <v>0</v>
      </c>
      <c r="AU1329" s="3">
        <v>42464</v>
      </c>
      <c r="AV1329" s="3">
        <v>42464</v>
      </c>
      <c r="AW1329" t="s">
        <v>54</v>
      </c>
      <c r="AX1329" t="str">
        <f t="shared" si="172"/>
        <v>FOR</v>
      </c>
      <c r="AY1329" t="s">
        <v>55</v>
      </c>
    </row>
    <row r="1330" spans="1:51" hidden="1">
      <c r="A1330">
        <v>101276</v>
      </c>
      <c r="B1330" t="s">
        <v>215</v>
      </c>
      <c r="C1330" t="str">
        <f t="shared" ref="C1330:C1337" si="173">"00691781207"</f>
        <v>00691781207</v>
      </c>
      <c r="D1330" t="str">
        <f t="shared" ref="D1330:D1337" si="174">"04029180371"</f>
        <v>04029180371</v>
      </c>
      <c r="E1330" t="s">
        <v>52</v>
      </c>
      <c r="F1330">
        <v>2015</v>
      </c>
      <c r="G1330" t="str">
        <f>"            15009350"</f>
        <v xml:space="preserve">            15009350</v>
      </c>
      <c r="H1330" s="3">
        <v>42076</v>
      </c>
      <c r="I1330" s="3">
        <v>42081</v>
      </c>
      <c r="J1330" s="3">
        <v>42081</v>
      </c>
      <c r="K1330" s="3">
        <v>42141</v>
      </c>
      <c r="L1330"/>
      <c r="N1330"/>
      <c r="O1330">
        <v>378</v>
      </c>
      <c r="P1330">
        <v>274</v>
      </c>
      <c r="Q1330" s="4">
        <v>103572</v>
      </c>
      <c r="R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 s="3">
        <v>42562</v>
      </c>
      <c r="AC1330" t="s">
        <v>53</v>
      </c>
      <c r="AD1330" t="s">
        <v>53</v>
      </c>
      <c r="AK1330">
        <v>0</v>
      </c>
      <c r="AU1330" s="3">
        <v>42415</v>
      </c>
      <c r="AV1330" s="3">
        <v>42415</v>
      </c>
      <c r="AW1330" t="s">
        <v>54</v>
      </c>
      <c r="AX1330" t="str">
        <f t="shared" si="172"/>
        <v>FOR</v>
      </c>
      <c r="AY1330" t="s">
        <v>55</v>
      </c>
    </row>
    <row r="1331" spans="1:51" hidden="1">
      <c r="A1331">
        <v>101276</v>
      </c>
      <c r="B1331" t="s">
        <v>215</v>
      </c>
      <c r="C1331" t="str">
        <f t="shared" si="173"/>
        <v>00691781207</v>
      </c>
      <c r="D1331" t="str">
        <f t="shared" si="174"/>
        <v>04029180371</v>
      </c>
      <c r="E1331" t="s">
        <v>52</v>
      </c>
      <c r="F1331">
        <v>2015</v>
      </c>
      <c r="G1331" t="str">
        <f>"            15011420"</f>
        <v xml:space="preserve">            15011420</v>
      </c>
      <c r="H1331" s="3">
        <v>42093</v>
      </c>
      <c r="I1331" s="3">
        <v>42097</v>
      </c>
      <c r="J1331" s="3">
        <v>42097</v>
      </c>
      <c r="K1331" s="3">
        <v>42157</v>
      </c>
      <c r="L1331"/>
      <c r="N1331"/>
      <c r="O1331">
        <v>378</v>
      </c>
      <c r="P1331">
        <v>258</v>
      </c>
      <c r="Q1331" s="4">
        <v>97524</v>
      </c>
      <c r="R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 s="3">
        <v>42562</v>
      </c>
      <c r="AC1331" t="s">
        <v>53</v>
      </c>
      <c r="AD1331" t="s">
        <v>53</v>
      </c>
      <c r="AK1331">
        <v>0</v>
      </c>
      <c r="AU1331" s="3">
        <v>42415</v>
      </c>
      <c r="AV1331" s="3">
        <v>42415</v>
      </c>
      <c r="AW1331" t="s">
        <v>54</v>
      </c>
      <c r="AX1331" t="str">
        <f t="shared" si="172"/>
        <v>FOR</v>
      </c>
      <c r="AY1331" t="s">
        <v>55</v>
      </c>
    </row>
    <row r="1332" spans="1:51" hidden="1">
      <c r="A1332">
        <v>101276</v>
      </c>
      <c r="B1332" t="s">
        <v>215</v>
      </c>
      <c r="C1332" t="str">
        <f t="shared" si="173"/>
        <v>00691781207</v>
      </c>
      <c r="D1332" t="str">
        <f t="shared" si="174"/>
        <v>04029180371</v>
      </c>
      <c r="E1332" t="s">
        <v>52</v>
      </c>
      <c r="F1332">
        <v>2015</v>
      </c>
      <c r="G1332" t="str">
        <f>"            15011421"</f>
        <v xml:space="preserve">            15011421</v>
      </c>
      <c r="H1332" s="3">
        <v>42093</v>
      </c>
      <c r="I1332" s="3">
        <v>42097</v>
      </c>
      <c r="J1332" s="3">
        <v>42097</v>
      </c>
      <c r="K1332" s="3">
        <v>42157</v>
      </c>
      <c r="L1332"/>
      <c r="N1332"/>
      <c r="O1332">
        <v>500</v>
      </c>
      <c r="P1332">
        <v>258</v>
      </c>
      <c r="Q1332" s="4">
        <v>129000</v>
      </c>
      <c r="R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 s="3">
        <v>42562</v>
      </c>
      <c r="AC1332" t="s">
        <v>53</v>
      </c>
      <c r="AD1332" t="s">
        <v>53</v>
      </c>
      <c r="AK1332">
        <v>0</v>
      </c>
      <c r="AU1332" s="3">
        <v>42415</v>
      </c>
      <c r="AV1332" s="3">
        <v>42415</v>
      </c>
      <c r="AW1332" t="s">
        <v>54</v>
      </c>
      <c r="AX1332" t="str">
        <f t="shared" si="172"/>
        <v>FOR</v>
      </c>
      <c r="AY1332" t="s">
        <v>55</v>
      </c>
    </row>
    <row r="1333" spans="1:51" hidden="1">
      <c r="A1333">
        <v>101276</v>
      </c>
      <c r="B1333" t="s">
        <v>215</v>
      </c>
      <c r="C1333" t="str">
        <f t="shared" si="173"/>
        <v>00691781207</v>
      </c>
      <c r="D1333" t="str">
        <f t="shared" si="174"/>
        <v>04029180371</v>
      </c>
      <c r="E1333" t="s">
        <v>52</v>
      </c>
      <c r="F1333">
        <v>2015</v>
      </c>
      <c r="G1333" t="str">
        <f>"         15014413 Q1"</f>
        <v xml:space="preserve">         15014413 Q1</v>
      </c>
      <c r="H1333" s="3">
        <v>42111</v>
      </c>
      <c r="I1333" s="3">
        <v>42160</v>
      </c>
      <c r="J1333" s="3">
        <v>42138</v>
      </c>
      <c r="K1333" s="3">
        <v>42198</v>
      </c>
      <c r="L1333"/>
      <c r="N1333"/>
      <c r="O1333">
        <v>182</v>
      </c>
      <c r="P1333">
        <v>254</v>
      </c>
      <c r="Q1333" s="4">
        <v>46228</v>
      </c>
      <c r="R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 s="3">
        <v>42562</v>
      </c>
      <c r="AC1333" t="s">
        <v>53</v>
      </c>
      <c r="AD1333" t="s">
        <v>53</v>
      </c>
      <c r="AK1333">
        <v>0</v>
      </c>
      <c r="AU1333" s="3">
        <v>42452</v>
      </c>
      <c r="AV1333" s="3">
        <v>42452</v>
      </c>
      <c r="AW1333" t="s">
        <v>54</v>
      </c>
      <c r="AX1333" t="str">
        <f t="shared" si="172"/>
        <v>FOR</v>
      </c>
      <c r="AY1333" t="s">
        <v>55</v>
      </c>
    </row>
    <row r="1334" spans="1:51" hidden="1">
      <c r="A1334">
        <v>101276</v>
      </c>
      <c r="B1334" t="s">
        <v>215</v>
      </c>
      <c r="C1334" t="str">
        <f t="shared" si="173"/>
        <v>00691781207</v>
      </c>
      <c r="D1334" t="str">
        <f t="shared" si="174"/>
        <v>04029180371</v>
      </c>
      <c r="E1334" t="s">
        <v>52</v>
      </c>
      <c r="F1334">
        <v>2015</v>
      </c>
      <c r="G1334" t="str">
        <f>"         15016563 Q1"</f>
        <v xml:space="preserve">         15016563 Q1</v>
      </c>
      <c r="H1334" s="3">
        <v>42124</v>
      </c>
      <c r="I1334" s="3">
        <v>42160</v>
      </c>
      <c r="J1334" s="3">
        <v>42144</v>
      </c>
      <c r="K1334" s="3">
        <v>42204</v>
      </c>
      <c r="L1334"/>
      <c r="N1334"/>
      <c r="O1334" s="4">
        <v>1320</v>
      </c>
      <c r="P1334">
        <v>248</v>
      </c>
      <c r="Q1334" s="4">
        <v>327360</v>
      </c>
      <c r="R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 s="3">
        <v>42562</v>
      </c>
      <c r="AC1334" t="s">
        <v>53</v>
      </c>
      <c r="AD1334" t="s">
        <v>53</v>
      </c>
      <c r="AK1334">
        <v>0</v>
      </c>
      <c r="AU1334" s="3">
        <v>42452</v>
      </c>
      <c r="AV1334" s="3">
        <v>42452</v>
      </c>
      <c r="AW1334" t="s">
        <v>54</v>
      </c>
      <c r="AX1334" t="str">
        <f t="shared" si="172"/>
        <v>FOR</v>
      </c>
      <c r="AY1334" t="s">
        <v>55</v>
      </c>
    </row>
    <row r="1335" spans="1:51" hidden="1">
      <c r="A1335">
        <v>101276</v>
      </c>
      <c r="B1335" t="s">
        <v>215</v>
      </c>
      <c r="C1335" t="str">
        <f t="shared" si="173"/>
        <v>00691781207</v>
      </c>
      <c r="D1335" t="str">
        <f t="shared" si="174"/>
        <v>04029180371</v>
      </c>
      <c r="E1335" t="s">
        <v>52</v>
      </c>
      <c r="F1335">
        <v>2015</v>
      </c>
      <c r="G1335" t="str">
        <f>"         15018697 Q1"</f>
        <v xml:space="preserve">         15018697 Q1</v>
      </c>
      <c r="H1335" s="3">
        <v>42139</v>
      </c>
      <c r="I1335" s="3">
        <v>42160</v>
      </c>
      <c r="J1335" s="3">
        <v>42144</v>
      </c>
      <c r="K1335" s="3">
        <v>42204</v>
      </c>
      <c r="L1335"/>
      <c r="N1335"/>
      <c r="O1335" s="4">
        <v>2000</v>
      </c>
      <c r="P1335">
        <v>248</v>
      </c>
      <c r="Q1335" s="4">
        <v>496000</v>
      </c>
      <c r="R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 s="3">
        <v>42562</v>
      </c>
      <c r="AC1335" t="s">
        <v>53</v>
      </c>
      <c r="AD1335" t="s">
        <v>53</v>
      </c>
      <c r="AK1335">
        <v>0</v>
      </c>
      <c r="AU1335" s="3">
        <v>42452</v>
      </c>
      <c r="AV1335" s="3">
        <v>42452</v>
      </c>
      <c r="AW1335" t="s">
        <v>54</v>
      </c>
      <c r="AX1335" t="str">
        <f t="shared" si="172"/>
        <v>FOR</v>
      </c>
      <c r="AY1335" t="s">
        <v>55</v>
      </c>
    </row>
    <row r="1336" spans="1:51" hidden="1">
      <c r="A1336">
        <v>101276</v>
      </c>
      <c r="B1336" t="s">
        <v>215</v>
      </c>
      <c r="C1336" t="str">
        <f t="shared" si="173"/>
        <v>00691781207</v>
      </c>
      <c r="D1336" t="str">
        <f t="shared" si="174"/>
        <v>04029180371</v>
      </c>
      <c r="E1336" t="s">
        <v>52</v>
      </c>
      <c r="F1336">
        <v>2015</v>
      </c>
      <c r="G1336" t="str">
        <f>"         15020628 Q1"</f>
        <v xml:space="preserve">         15020628 Q1</v>
      </c>
      <c r="H1336" s="3">
        <v>42153</v>
      </c>
      <c r="I1336" s="3">
        <v>42164</v>
      </c>
      <c r="J1336" s="3">
        <v>42163</v>
      </c>
      <c r="K1336" s="3">
        <v>42223</v>
      </c>
      <c r="L1336"/>
      <c r="N1336"/>
      <c r="O1336" s="4">
        <v>1100</v>
      </c>
      <c r="P1336">
        <v>229</v>
      </c>
      <c r="Q1336" s="4">
        <v>251900</v>
      </c>
      <c r="R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 s="3">
        <v>42562</v>
      </c>
      <c r="AC1336" t="s">
        <v>53</v>
      </c>
      <c r="AD1336" t="s">
        <v>53</v>
      </c>
      <c r="AK1336">
        <v>0</v>
      </c>
      <c r="AU1336" s="3">
        <v>42452</v>
      </c>
      <c r="AV1336" s="3">
        <v>42452</v>
      </c>
      <c r="AW1336" t="s">
        <v>54</v>
      </c>
      <c r="AX1336" t="str">
        <f t="shared" si="172"/>
        <v>FOR</v>
      </c>
      <c r="AY1336" t="s">
        <v>55</v>
      </c>
    </row>
    <row r="1337" spans="1:51">
      <c r="A1337">
        <v>101276</v>
      </c>
      <c r="B1337" t="s">
        <v>215</v>
      </c>
      <c r="C1337" t="str">
        <f t="shared" si="173"/>
        <v>00691781207</v>
      </c>
      <c r="D1337" t="str">
        <f t="shared" si="174"/>
        <v>04029180371</v>
      </c>
      <c r="E1337" t="s">
        <v>52</v>
      </c>
      <c r="F1337">
        <v>2015</v>
      </c>
      <c r="G1337" t="str">
        <f>"         15025203 Q1"</f>
        <v xml:space="preserve">         15025203 Q1</v>
      </c>
      <c r="H1337" s="3">
        <v>42185</v>
      </c>
      <c r="I1337" s="3">
        <v>42191</v>
      </c>
      <c r="J1337" s="3">
        <v>42187</v>
      </c>
      <c r="K1337" s="3">
        <v>42247</v>
      </c>
      <c r="L1337" s="1">
        <v>880</v>
      </c>
      <c r="M1337">
        <v>280</v>
      </c>
      <c r="N1337" s="5">
        <v>246400</v>
      </c>
      <c r="O1337">
        <v>880</v>
      </c>
      <c r="P1337">
        <v>280</v>
      </c>
      <c r="Q1337" s="4">
        <v>246400</v>
      </c>
      <c r="R1337">
        <v>193.6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 s="3">
        <v>42562</v>
      </c>
      <c r="AC1337" t="s">
        <v>53</v>
      </c>
      <c r="AD1337" t="s">
        <v>53</v>
      </c>
      <c r="AK1337">
        <v>193.6</v>
      </c>
      <c r="AU1337" s="3">
        <v>42527</v>
      </c>
      <c r="AV1337" s="3">
        <v>42527</v>
      </c>
      <c r="AW1337" t="s">
        <v>54</v>
      </c>
      <c r="AX1337" t="str">
        <f t="shared" si="172"/>
        <v>FOR</v>
      </c>
      <c r="AY1337" t="s">
        <v>55</v>
      </c>
    </row>
    <row r="1338" spans="1:51" hidden="1">
      <c r="A1338">
        <v>101281</v>
      </c>
      <c r="B1338" t="s">
        <v>216</v>
      </c>
      <c r="C1338" t="str">
        <f t="shared" ref="C1338:D1344" si="175">"04640180636"</f>
        <v>04640180636</v>
      </c>
      <c r="D1338" t="str">
        <f t="shared" si="175"/>
        <v>04640180636</v>
      </c>
      <c r="E1338" t="s">
        <v>52</v>
      </c>
      <c r="F1338">
        <v>2015</v>
      </c>
      <c r="G1338" t="str">
        <f>"                9/64"</f>
        <v xml:space="preserve">                9/64</v>
      </c>
      <c r="H1338" s="3">
        <v>42124</v>
      </c>
      <c r="I1338" s="3">
        <v>42177</v>
      </c>
      <c r="J1338" s="3">
        <v>42174</v>
      </c>
      <c r="K1338" s="3">
        <v>42234</v>
      </c>
      <c r="L1338"/>
      <c r="N1338"/>
      <c r="O1338" s="4">
        <v>1612.8</v>
      </c>
      <c r="P1338">
        <v>169</v>
      </c>
      <c r="Q1338" s="4">
        <v>272563.20000000001</v>
      </c>
      <c r="R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 s="3">
        <v>42562</v>
      </c>
      <c r="AC1338" t="s">
        <v>53</v>
      </c>
      <c r="AD1338" t="s">
        <v>53</v>
      </c>
      <c r="AK1338">
        <v>0</v>
      </c>
      <c r="AU1338" s="3">
        <v>42403</v>
      </c>
      <c r="AV1338" s="3">
        <v>42403</v>
      </c>
      <c r="AW1338" t="s">
        <v>54</v>
      </c>
      <c r="AX1338" t="str">
        <f t="shared" si="172"/>
        <v>FOR</v>
      </c>
      <c r="AY1338" t="s">
        <v>55</v>
      </c>
    </row>
    <row r="1339" spans="1:51">
      <c r="A1339">
        <v>101281</v>
      </c>
      <c r="B1339" t="s">
        <v>216</v>
      </c>
      <c r="C1339" t="str">
        <f t="shared" si="175"/>
        <v>04640180636</v>
      </c>
      <c r="D1339" t="str">
        <f t="shared" si="175"/>
        <v>04640180636</v>
      </c>
      <c r="E1339" t="s">
        <v>52</v>
      </c>
      <c r="F1339">
        <v>2015</v>
      </c>
      <c r="G1339" t="str">
        <f>"               9/303"</f>
        <v xml:space="preserve">               9/303</v>
      </c>
      <c r="H1339" s="3">
        <v>42170</v>
      </c>
      <c r="I1339" s="3">
        <v>42215</v>
      </c>
      <c r="J1339" s="3">
        <v>42214</v>
      </c>
      <c r="K1339" s="3">
        <v>42274</v>
      </c>
      <c r="L1339" s="5">
        <v>3564</v>
      </c>
      <c r="M1339">
        <v>246</v>
      </c>
      <c r="N1339" s="5">
        <v>876744</v>
      </c>
      <c r="O1339" s="4">
        <v>3564</v>
      </c>
      <c r="P1339">
        <v>246</v>
      </c>
      <c r="Q1339" s="4">
        <v>876744</v>
      </c>
      <c r="R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 s="3">
        <v>42562</v>
      </c>
      <c r="AC1339" t="s">
        <v>53</v>
      </c>
      <c r="AD1339" t="s">
        <v>53</v>
      </c>
      <c r="AK1339">
        <v>0</v>
      </c>
      <c r="AU1339" s="3">
        <v>42520</v>
      </c>
      <c r="AV1339" s="3">
        <v>42520</v>
      </c>
      <c r="AW1339" t="s">
        <v>54</v>
      </c>
      <c r="AX1339" t="str">
        <f t="shared" si="172"/>
        <v>FOR</v>
      </c>
      <c r="AY1339" t="s">
        <v>55</v>
      </c>
    </row>
    <row r="1340" spans="1:51" hidden="1">
      <c r="A1340">
        <v>101281</v>
      </c>
      <c r="B1340" t="s">
        <v>216</v>
      </c>
      <c r="C1340" t="str">
        <f t="shared" si="175"/>
        <v>04640180636</v>
      </c>
      <c r="D1340" t="str">
        <f t="shared" si="175"/>
        <v>04640180636</v>
      </c>
      <c r="E1340" t="s">
        <v>52</v>
      </c>
      <c r="F1340">
        <v>2015</v>
      </c>
      <c r="G1340" t="str">
        <f>"               9/396"</f>
        <v xml:space="preserve">               9/396</v>
      </c>
      <c r="H1340" s="3">
        <v>42185</v>
      </c>
      <c r="I1340" s="3">
        <v>42215</v>
      </c>
      <c r="J1340" s="3">
        <v>42214</v>
      </c>
      <c r="K1340" s="3">
        <v>42274</v>
      </c>
      <c r="L1340"/>
      <c r="N1340"/>
      <c r="O1340" s="4">
        <v>1881.6</v>
      </c>
      <c r="P1340">
        <v>129</v>
      </c>
      <c r="Q1340" s="4">
        <v>242726.39999999999</v>
      </c>
      <c r="R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 s="3">
        <v>42562</v>
      </c>
      <c r="AC1340" t="s">
        <v>53</v>
      </c>
      <c r="AD1340" t="s">
        <v>53</v>
      </c>
      <c r="AK1340">
        <v>0</v>
      </c>
      <c r="AU1340" s="3">
        <v>42403</v>
      </c>
      <c r="AV1340" s="3">
        <v>42403</v>
      </c>
      <c r="AW1340" t="s">
        <v>54</v>
      </c>
      <c r="AX1340" t="str">
        <f t="shared" si="172"/>
        <v>FOR</v>
      </c>
      <c r="AY1340" t="s">
        <v>55</v>
      </c>
    </row>
    <row r="1341" spans="1:51">
      <c r="A1341">
        <v>101281</v>
      </c>
      <c r="B1341" t="s">
        <v>216</v>
      </c>
      <c r="C1341" t="str">
        <f t="shared" si="175"/>
        <v>04640180636</v>
      </c>
      <c r="D1341" t="str">
        <f t="shared" si="175"/>
        <v>04640180636</v>
      </c>
      <c r="E1341" t="s">
        <v>52</v>
      </c>
      <c r="F1341">
        <v>2015</v>
      </c>
      <c r="G1341" t="str">
        <f>"               9/397"</f>
        <v xml:space="preserve">               9/397</v>
      </c>
      <c r="H1341" s="3">
        <v>42185</v>
      </c>
      <c r="I1341" s="3">
        <v>42215</v>
      </c>
      <c r="J1341" s="3">
        <v>42214</v>
      </c>
      <c r="K1341" s="3">
        <v>42274</v>
      </c>
      <c r="L1341" s="5">
        <v>3564</v>
      </c>
      <c r="M1341">
        <v>246</v>
      </c>
      <c r="N1341" s="5">
        <v>876744</v>
      </c>
      <c r="O1341" s="4">
        <v>3564</v>
      </c>
      <c r="P1341">
        <v>246</v>
      </c>
      <c r="Q1341" s="4">
        <v>876744</v>
      </c>
      <c r="R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 s="3">
        <v>42562</v>
      </c>
      <c r="AC1341" t="s">
        <v>53</v>
      </c>
      <c r="AD1341" t="s">
        <v>53</v>
      </c>
      <c r="AK1341">
        <v>0</v>
      </c>
      <c r="AU1341" s="3">
        <v>42520</v>
      </c>
      <c r="AV1341" s="3">
        <v>42520</v>
      </c>
      <c r="AW1341" t="s">
        <v>54</v>
      </c>
      <c r="AX1341" t="str">
        <f t="shared" si="172"/>
        <v>FOR</v>
      </c>
      <c r="AY1341" t="s">
        <v>55</v>
      </c>
    </row>
    <row r="1342" spans="1:51">
      <c r="A1342">
        <v>101281</v>
      </c>
      <c r="B1342" t="s">
        <v>216</v>
      </c>
      <c r="C1342" t="str">
        <f t="shared" si="175"/>
        <v>04640180636</v>
      </c>
      <c r="D1342" t="str">
        <f t="shared" si="175"/>
        <v>04640180636</v>
      </c>
      <c r="E1342" t="s">
        <v>52</v>
      </c>
      <c r="F1342">
        <v>2015</v>
      </c>
      <c r="G1342" t="str">
        <f>"              900051"</f>
        <v xml:space="preserve">              900051</v>
      </c>
      <c r="H1342" s="3">
        <v>42035</v>
      </c>
      <c r="I1342" s="3">
        <v>42369</v>
      </c>
      <c r="J1342" s="3">
        <v>42369</v>
      </c>
      <c r="K1342" s="3">
        <v>42429</v>
      </c>
      <c r="L1342" s="1">
        <v>268.8</v>
      </c>
      <c r="M1342">
        <v>91</v>
      </c>
      <c r="N1342" s="5">
        <v>24460.799999999999</v>
      </c>
      <c r="O1342">
        <v>268.8</v>
      </c>
      <c r="P1342">
        <v>91</v>
      </c>
      <c r="Q1342" s="4">
        <v>24460.799999999999</v>
      </c>
      <c r="R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 s="3">
        <v>42562</v>
      </c>
      <c r="AC1342" t="s">
        <v>53</v>
      </c>
      <c r="AD1342" t="s">
        <v>53</v>
      </c>
      <c r="AK1342">
        <v>0</v>
      </c>
      <c r="AU1342" s="3">
        <v>42520</v>
      </c>
      <c r="AV1342" s="3">
        <v>42520</v>
      </c>
      <c r="AW1342" t="s">
        <v>54</v>
      </c>
      <c r="AX1342" t="str">
        <f t="shared" si="172"/>
        <v>FOR</v>
      </c>
      <c r="AY1342" t="s">
        <v>55</v>
      </c>
    </row>
    <row r="1343" spans="1:51" hidden="1">
      <c r="A1343">
        <v>101281</v>
      </c>
      <c r="B1343" t="s">
        <v>216</v>
      </c>
      <c r="C1343" t="str">
        <f t="shared" si="175"/>
        <v>04640180636</v>
      </c>
      <c r="D1343" t="str">
        <f t="shared" si="175"/>
        <v>04640180636</v>
      </c>
      <c r="E1343" t="s">
        <v>52</v>
      </c>
      <c r="F1343">
        <v>2015</v>
      </c>
      <c r="G1343" t="str">
        <f>"              900125"</f>
        <v xml:space="preserve">              900125</v>
      </c>
      <c r="H1343" s="3">
        <v>42063</v>
      </c>
      <c r="I1343" s="3">
        <v>42097</v>
      </c>
      <c r="J1343" s="3">
        <v>42097</v>
      </c>
      <c r="K1343" s="3">
        <v>42157</v>
      </c>
      <c r="L1343"/>
      <c r="N1343"/>
      <c r="O1343">
        <v>672</v>
      </c>
      <c r="P1343">
        <v>246</v>
      </c>
      <c r="Q1343" s="4">
        <v>165312</v>
      </c>
      <c r="R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 s="3">
        <v>42562</v>
      </c>
      <c r="AC1343" t="s">
        <v>53</v>
      </c>
      <c r="AD1343" t="s">
        <v>53</v>
      </c>
      <c r="AK1343">
        <v>0</v>
      </c>
      <c r="AU1343" s="3">
        <v>42403</v>
      </c>
      <c r="AV1343" s="3">
        <v>42403</v>
      </c>
      <c r="AW1343" t="s">
        <v>54</v>
      </c>
      <c r="AX1343" t="str">
        <f t="shared" si="172"/>
        <v>FOR</v>
      </c>
      <c r="AY1343" t="s">
        <v>55</v>
      </c>
    </row>
    <row r="1344" spans="1:51" hidden="1">
      <c r="A1344">
        <v>101281</v>
      </c>
      <c r="B1344" t="s">
        <v>216</v>
      </c>
      <c r="C1344" t="str">
        <f t="shared" si="175"/>
        <v>04640180636</v>
      </c>
      <c r="D1344" t="str">
        <f t="shared" si="175"/>
        <v>04640180636</v>
      </c>
      <c r="E1344" t="s">
        <v>52</v>
      </c>
      <c r="F1344">
        <v>2015</v>
      </c>
      <c r="G1344" t="str">
        <f>"              900179"</f>
        <v xml:space="preserve">              900179</v>
      </c>
      <c r="H1344" s="3">
        <v>42086</v>
      </c>
      <c r="I1344" s="3">
        <v>42115</v>
      </c>
      <c r="J1344" s="3">
        <v>42115</v>
      </c>
      <c r="K1344" s="3">
        <v>42175</v>
      </c>
      <c r="L1344"/>
      <c r="N1344"/>
      <c r="O1344">
        <v>672</v>
      </c>
      <c r="P1344">
        <v>228</v>
      </c>
      <c r="Q1344" s="4">
        <v>153216</v>
      </c>
      <c r="R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 s="3">
        <v>42562</v>
      </c>
      <c r="AC1344" t="s">
        <v>53</v>
      </c>
      <c r="AD1344" t="s">
        <v>53</v>
      </c>
      <c r="AK1344">
        <v>0</v>
      </c>
      <c r="AU1344" s="3">
        <v>42403</v>
      </c>
      <c r="AV1344" s="3">
        <v>42403</v>
      </c>
      <c r="AW1344" t="s">
        <v>54</v>
      </c>
      <c r="AX1344" t="str">
        <f t="shared" si="172"/>
        <v>FOR</v>
      </c>
      <c r="AY1344" t="s">
        <v>55</v>
      </c>
    </row>
    <row r="1345" spans="1:51" hidden="1">
      <c r="A1345">
        <v>101283</v>
      </c>
      <c r="B1345" t="s">
        <v>217</v>
      </c>
      <c r="C1345" t="str">
        <f>"03176040610"</f>
        <v>03176040610</v>
      </c>
      <c r="D1345" t="str">
        <f>"LBRDRA75C12B963O"</f>
        <v>LBRDRA75C12B963O</v>
      </c>
      <c r="E1345" t="s">
        <v>52</v>
      </c>
      <c r="F1345">
        <v>2015</v>
      </c>
      <c r="G1345" t="str">
        <f>"                10/E"</f>
        <v xml:space="preserve">                10/E</v>
      </c>
      <c r="H1345" s="3">
        <v>42369</v>
      </c>
      <c r="I1345" s="3">
        <v>42369</v>
      </c>
      <c r="J1345" s="3">
        <v>42369</v>
      </c>
      <c r="K1345" s="3">
        <v>42429</v>
      </c>
      <c r="L1345"/>
      <c r="N1345"/>
      <c r="O1345" s="4">
        <v>3291.71</v>
      </c>
      <c r="P1345">
        <v>-32</v>
      </c>
      <c r="Q1345" s="4">
        <v>-105334.72</v>
      </c>
      <c r="R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 s="3">
        <v>42562</v>
      </c>
      <c r="AC1345" t="s">
        <v>53</v>
      </c>
      <c r="AD1345" t="s">
        <v>53</v>
      </c>
      <c r="AK1345">
        <v>0</v>
      </c>
      <c r="AU1345" s="3">
        <v>42397</v>
      </c>
      <c r="AV1345" s="3">
        <v>42397</v>
      </c>
      <c r="AW1345" t="s">
        <v>54</v>
      </c>
      <c r="AX1345" t="str">
        <f t="shared" ref="AX1345:AX1351" si="176">"ALTPRO"</f>
        <v>ALTPRO</v>
      </c>
      <c r="AY1345" t="s">
        <v>93</v>
      </c>
    </row>
    <row r="1346" spans="1:51" hidden="1">
      <c r="A1346">
        <v>101283</v>
      </c>
      <c r="B1346" t="s">
        <v>217</v>
      </c>
      <c r="C1346" t="str">
        <f>"03176040610"</f>
        <v>03176040610</v>
      </c>
      <c r="D1346" t="str">
        <f>"LBRDRA75C12B963O"</f>
        <v>LBRDRA75C12B963O</v>
      </c>
      <c r="E1346" t="s">
        <v>52</v>
      </c>
      <c r="F1346">
        <v>2016</v>
      </c>
      <c r="G1346" t="str">
        <f>"                 1/E"</f>
        <v xml:space="preserve">                 1/E</v>
      </c>
      <c r="H1346" s="3">
        <v>42400</v>
      </c>
      <c r="I1346" s="3">
        <v>42404</v>
      </c>
      <c r="J1346" s="3">
        <v>42403</v>
      </c>
      <c r="K1346" s="3">
        <v>42463</v>
      </c>
      <c r="L1346"/>
      <c r="N1346"/>
      <c r="O1346" s="4">
        <v>3340.71</v>
      </c>
      <c r="P1346">
        <v>-37</v>
      </c>
      <c r="Q1346" s="4">
        <v>-123606.27</v>
      </c>
      <c r="R1346">
        <v>0</v>
      </c>
      <c r="V1346">
        <v>0</v>
      </c>
      <c r="W1346">
        <v>0</v>
      </c>
      <c r="X1346">
        <v>0</v>
      </c>
      <c r="Y1346" s="4">
        <v>3340.71</v>
      </c>
      <c r="Z1346" s="4">
        <v>3340.71</v>
      </c>
      <c r="AA1346" s="4">
        <v>3340.71</v>
      </c>
      <c r="AB1346" s="3">
        <v>42562</v>
      </c>
      <c r="AC1346" t="s">
        <v>53</v>
      </c>
      <c r="AD1346" t="s">
        <v>53</v>
      </c>
      <c r="AK1346">
        <v>0</v>
      </c>
      <c r="AU1346" s="3">
        <v>42426</v>
      </c>
      <c r="AV1346" s="3">
        <v>42426</v>
      </c>
      <c r="AW1346" t="s">
        <v>54</v>
      </c>
      <c r="AX1346" t="str">
        <f t="shared" si="176"/>
        <v>ALTPRO</v>
      </c>
      <c r="AY1346" t="s">
        <v>93</v>
      </c>
    </row>
    <row r="1347" spans="1:51" hidden="1">
      <c r="A1347">
        <v>101283</v>
      </c>
      <c r="B1347" t="s">
        <v>217</v>
      </c>
      <c r="C1347" t="str">
        <f>"03176040610"</f>
        <v>03176040610</v>
      </c>
      <c r="D1347" t="str">
        <f>"LBRDRA75C12B963O"</f>
        <v>LBRDRA75C12B963O</v>
      </c>
      <c r="E1347" t="s">
        <v>52</v>
      </c>
      <c r="F1347">
        <v>2016</v>
      </c>
      <c r="G1347" t="str">
        <f>"                 2/E"</f>
        <v xml:space="preserve">                 2/E</v>
      </c>
      <c r="H1347" s="3">
        <v>42429</v>
      </c>
      <c r="I1347" s="3">
        <v>42436</v>
      </c>
      <c r="J1347" s="3">
        <v>42433</v>
      </c>
      <c r="K1347" s="3">
        <v>42493</v>
      </c>
      <c r="L1347"/>
      <c r="N1347"/>
      <c r="O1347" s="4">
        <v>3639.2</v>
      </c>
      <c r="P1347">
        <v>-42</v>
      </c>
      <c r="Q1347" s="4">
        <v>-152846.39999999999</v>
      </c>
      <c r="R1347">
        <v>0</v>
      </c>
      <c r="V1347">
        <v>0</v>
      </c>
      <c r="W1347">
        <v>0</v>
      </c>
      <c r="X1347">
        <v>0</v>
      </c>
      <c r="Y1347" s="4">
        <v>3639.2</v>
      </c>
      <c r="Z1347" s="4">
        <v>3639.2</v>
      </c>
      <c r="AA1347" s="4">
        <v>3639.2</v>
      </c>
      <c r="AB1347" s="3">
        <v>42562</v>
      </c>
      <c r="AC1347" t="s">
        <v>53</v>
      </c>
      <c r="AD1347" t="s">
        <v>53</v>
      </c>
      <c r="AK1347">
        <v>0</v>
      </c>
      <c r="AU1347" s="3">
        <v>42451</v>
      </c>
      <c r="AV1347" s="3">
        <v>42451</v>
      </c>
      <c r="AW1347" t="s">
        <v>54</v>
      </c>
      <c r="AX1347" t="str">
        <f t="shared" si="176"/>
        <v>ALTPRO</v>
      </c>
      <c r="AY1347" t="s">
        <v>93</v>
      </c>
    </row>
    <row r="1348" spans="1:51">
      <c r="A1348">
        <v>101283</v>
      </c>
      <c r="B1348" t="s">
        <v>217</v>
      </c>
      <c r="C1348" t="str">
        <f>"03176040610"</f>
        <v>03176040610</v>
      </c>
      <c r="D1348" t="str">
        <f>"LBRDRA75C12B963O"</f>
        <v>LBRDRA75C12B963O</v>
      </c>
      <c r="E1348" t="s">
        <v>52</v>
      </c>
      <c r="F1348">
        <v>2016</v>
      </c>
      <c r="G1348" t="str">
        <f>"                 3/E"</f>
        <v xml:space="preserve">                 3/E</v>
      </c>
      <c r="H1348" s="3">
        <v>42460</v>
      </c>
      <c r="I1348" s="3">
        <v>42467</v>
      </c>
      <c r="J1348" s="3">
        <v>42467</v>
      </c>
      <c r="K1348" s="3">
        <v>42527</v>
      </c>
      <c r="L1348" s="5">
        <v>3078.8</v>
      </c>
      <c r="M1348">
        <v>-40</v>
      </c>
      <c r="N1348" s="5">
        <v>-123152</v>
      </c>
      <c r="O1348" s="4">
        <v>3078.8</v>
      </c>
      <c r="P1348">
        <v>-40</v>
      </c>
      <c r="Q1348" s="4">
        <v>-123152</v>
      </c>
      <c r="R1348">
        <v>0</v>
      </c>
      <c r="V1348">
        <v>0</v>
      </c>
      <c r="W1348" s="4">
        <v>3078.8</v>
      </c>
      <c r="X1348">
        <v>0</v>
      </c>
      <c r="Y1348" s="4">
        <v>3078.8</v>
      </c>
      <c r="Z1348" s="4">
        <v>3078.8</v>
      </c>
      <c r="AA1348" s="4">
        <v>3078.8</v>
      </c>
      <c r="AB1348" s="3">
        <v>42562</v>
      </c>
      <c r="AC1348" t="s">
        <v>53</v>
      </c>
      <c r="AD1348" t="s">
        <v>53</v>
      </c>
      <c r="AK1348">
        <v>0</v>
      </c>
      <c r="AU1348" s="3">
        <v>42487</v>
      </c>
      <c r="AV1348" s="3">
        <v>42487</v>
      </c>
      <c r="AW1348" t="s">
        <v>54</v>
      </c>
      <c r="AX1348" t="str">
        <f t="shared" si="176"/>
        <v>ALTPRO</v>
      </c>
      <c r="AY1348" t="s">
        <v>93</v>
      </c>
    </row>
    <row r="1349" spans="1:51" hidden="1">
      <c r="A1349">
        <v>101289</v>
      </c>
      <c r="B1349" t="s">
        <v>218</v>
      </c>
      <c r="C1349" t="str">
        <f>"04786570657"</f>
        <v>04786570657</v>
      </c>
      <c r="D1349" t="str">
        <f>"PPOCST77H48Z129S"</f>
        <v>PPOCST77H48Z129S</v>
      </c>
      <c r="E1349" t="s">
        <v>52</v>
      </c>
      <c r="F1349">
        <v>2016</v>
      </c>
      <c r="G1349" t="str">
        <f>"         FATTPA 1_16"</f>
        <v xml:space="preserve">         FATTPA 1_16</v>
      </c>
      <c r="H1349" s="3">
        <v>42412</v>
      </c>
      <c r="I1349" s="3">
        <v>42415</v>
      </c>
      <c r="J1349" s="3">
        <v>42412</v>
      </c>
      <c r="K1349" s="3">
        <v>42472</v>
      </c>
      <c r="L1349"/>
      <c r="N1349"/>
      <c r="O1349" s="4">
        <v>2199.71</v>
      </c>
      <c r="P1349">
        <v>-46</v>
      </c>
      <c r="Q1349" s="4">
        <v>-101186.66</v>
      </c>
      <c r="R1349">
        <v>0</v>
      </c>
      <c r="V1349">
        <v>0</v>
      </c>
      <c r="W1349">
        <v>0</v>
      </c>
      <c r="X1349">
        <v>0</v>
      </c>
      <c r="Y1349">
        <v>-549.42999999999995</v>
      </c>
      <c r="Z1349" s="4">
        <v>2199.71</v>
      </c>
      <c r="AA1349" s="4">
        <v>2199.71</v>
      </c>
      <c r="AB1349" s="3">
        <v>42562</v>
      </c>
      <c r="AC1349" t="s">
        <v>53</v>
      </c>
      <c r="AD1349" t="s">
        <v>53</v>
      </c>
      <c r="AK1349">
        <v>0</v>
      </c>
      <c r="AU1349" s="3">
        <v>42426</v>
      </c>
      <c r="AV1349" s="3">
        <v>42426</v>
      </c>
      <c r="AW1349" t="s">
        <v>54</v>
      </c>
      <c r="AX1349" t="str">
        <f t="shared" si="176"/>
        <v>ALTPRO</v>
      </c>
      <c r="AY1349" t="s">
        <v>93</v>
      </c>
    </row>
    <row r="1350" spans="1:51" hidden="1">
      <c r="A1350">
        <v>101289</v>
      </c>
      <c r="B1350" t="s">
        <v>218</v>
      </c>
      <c r="C1350" t="str">
        <f>"04786570657"</f>
        <v>04786570657</v>
      </c>
      <c r="D1350" t="str">
        <f>"PPOCST77H48Z129S"</f>
        <v>PPOCST77H48Z129S</v>
      </c>
      <c r="E1350" t="s">
        <v>52</v>
      </c>
      <c r="F1350">
        <v>2016</v>
      </c>
      <c r="G1350" t="str">
        <f>"         FATTPA 2_16"</f>
        <v xml:space="preserve">         FATTPA 2_16</v>
      </c>
      <c r="H1350" s="3">
        <v>42412</v>
      </c>
      <c r="I1350" s="3">
        <v>42415</v>
      </c>
      <c r="J1350" s="3">
        <v>42412</v>
      </c>
      <c r="K1350" s="3">
        <v>42472</v>
      </c>
      <c r="L1350"/>
      <c r="N1350"/>
      <c r="O1350">
        <v>546.36</v>
      </c>
      <c r="P1350">
        <v>-46</v>
      </c>
      <c r="Q1350" s="4">
        <v>-25132.560000000001</v>
      </c>
      <c r="R1350">
        <v>0</v>
      </c>
      <c r="V1350">
        <v>0</v>
      </c>
      <c r="W1350">
        <v>0</v>
      </c>
      <c r="X1350">
        <v>0</v>
      </c>
      <c r="Y1350">
        <v>546.36</v>
      </c>
      <c r="Z1350">
        <v>546.36</v>
      </c>
      <c r="AA1350">
        <v>546.36</v>
      </c>
      <c r="AB1350" s="3">
        <v>42562</v>
      </c>
      <c r="AC1350" t="s">
        <v>53</v>
      </c>
      <c r="AD1350" t="s">
        <v>53</v>
      </c>
      <c r="AK1350">
        <v>0</v>
      </c>
      <c r="AU1350" s="3">
        <v>42426</v>
      </c>
      <c r="AV1350" s="3">
        <v>42426</v>
      </c>
      <c r="AW1350" t="s">
        <v>54</v>
      </c>
      <c r="AX1350" t="str">
        <f t="shared" si="176"/>
        <v>ALTPRO</v>
      </c>
      <c r="AY1350" t="s">
        <v>93</v>
      </c>
    </row>
    <row r="1351" spans="1:51">
      <c r="A1351">
        <v>101289</v>
      </c>
      <c r="B1351" t="s">
        <v>218</v>
      </c>
      <c r="C1351" t="str">
        <f>"04786570657"</f>
        <v>04786570657</v>
      </c>
      <c r="D1351" t="str">
        <f>"PPOCST77H48Z129S"</f>
        <v>PPOCST77H48Z129S</v>
      </c>
      <c r="E1351" t="s">
        <v>52</v>
      </c>
      <c r="F1351">
        <v>2016</v>
      </c>
      <c r="G1351" t="str">
        <f>"         FATTPA 3_16"</f>
        <v xml:space="preserve">         FATTPA 3_16</v>
      </c>
      <c r="H1351" s="3">
        <v>42467</v>
      </c>
      <c r="I1351" s="3">
        <v>42467</v>
      </c>
      <c r="J1351" s="3">
        <v>42467</v>
      </c>
      <c r="K1351" s="3">
        <v>42527</v>
      </c>
      <c r="L1351" s="1">
        <v>523.74</v>
      </c>
      <c r="M1351">
        <v>-40</v>
      </c>
      <c r="N1351" s="5">
        <v>-20949.599999999999</v>
      </c>
      <c r="O1351">
        <v>523.74</v>
      </c>
      <c r="P1351">
        <v>-40</v>
      </c>
      <c r="Q1351" s="4">
        <v>-20949.599999999999</v>
      </c>
      <c r="R1351">
        <v>0</v>
      </c>
      <c r="V1351">
        <v>-130.44</v>
      </c>
      <c r="W1351">
        <v>523.74</v>
      </c>
      <c r="X1351">
        <v>523.74</v>
      </c>
      <c r="Y1351">
        <v>523.74</v>
      </c>
      <c r="Z1351">
        <v>523.74</v>
      </c>
      <c r="AA1351">
        <v>523.74</v>
      </c>
      <c r="AB1351" s="3">
        <v>42562</v>
      </c>
      <c r="AC1351" t="s">
        <v>53</v>
      </c>
      <c r="AD1351" t="s">
        <v>53</v>
      </c>
      <c r="AK1351">
        <v>0</v>
      </c>
      <c r="AU1351" s="3">
        <v>42487</v>
      </c>
      <c r="AV1351" s="3">
        <v>42487</v>
      </c>
      <c r="AW1351" t="s">
        <v>54</v>
      </c>
      <c r="AX1351" t="str">
        <f t="shared" si="176"/>
        <v>ALTPRO</v>
      </c>
      <c r="AY1351" t="s">
        <v>93</v>
      </c>
    </row>
    <row r="1352" spans="1:51" hidden="1">
      <c r="A1352">
        <v>101293</v>
      </c>
      <c r="B1352" t="s">
        <v>219</v>
      </c>
      <c r="C1352" t="str">
        <f t="shared" ref="C1352:D1355" si="177">"07438910635"</f>
        <v>07438910635</v>
      </c>
      <c r="D1352" t="str">
        <f t="shared" si="177"/>
        <v>07438910635</v>
      </c>
      <c r="E1352" t="s">
        <v>52</v>
      </c>
      <c r="F1352">
        <v>2015</v>
      </c>
      <c r="G1352" t="str">
        <f>"                 265"</f>
        <v xml:space="preserve">                 265</v>
      </c>
      <c r="H1352" s="3">
        <v>42093</v>
      </c>
      <c r="I1352" s="3">
        <v>42102</v>
      </c>
      <c r="J1352" s="3">
        <v>42102</v>
      </c>
      <c r="K1352" s="3">
        <v>42162</v>
      </c>
      <c r="L1352"/>
      <c r="N1352"/>
      <c r="O1352">
        <v>705.6</v>
      </c>
      <c r="P1352">
        <v>253</v>
      </c>
      <c r="Q1352" s="4">
        <v>178516.8</v>
      </c>
      <c r="R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 s="3">
        <v>42562</v>
      </c>
      <c r="AC1352" t="s">
        <v>53</v>
      </c>
      <c r="AD1352" t="s">
        <v>53</v>
      </c>
      <c r="AK1352">
        <v>0</v>
      </c>
      <c r="AU1352" s="3">
        <v>42415</v>
      </c>
      <c r="AV1352" s="3">
        <v>42415</v>
      </c>
      <c r="AW1352" t="s">
        <v>54</v>
      </c>
      <c r="AX1352" t="str">
        <f t="shared" ref="AX1352:AX1360" si="178">"FOR"</f>
        <v>FOR</v>
      </c>
      <c r="AY1352" t="s">
        <v>55</v>
      </c>
    </row>
    <row r="1353" spans="1:51" hidden="1">
      <c r="A1353">
        <v>101293</v>
      </c>
      <c r="B1353" t="s">
        <v>219</v>
      </c>
      <c r="C1353" t="str">
        <f t="shared" si="177"/>
        <v>07438910635</v>
      </c>
      <c r="D1353" t="str">
        <f t="shared" si="177"/>
        <v>07438910635</v>
      </c>
      <c r="E1353" t="s">
        <v>52</v>
      </c>
      <c r="F1353">
        <v>2015</v>
      </c>
      <c r="G1353" t="str">
        <f>"               2/358"</f>
        <v xml:space="preserve">               2/358</v>
      </c>
      <c r="H1353" s="3">
        <v>42228</v>
      </c>
      <c r="I1353" s="3">
        <v>42245</v>
      </c>
      <c r="J1353" s="3">
        <v>42243</v>
      </c>
      <c r="K1353" s="3">
        <v>42303</v>
      </c>
      <c r="L1353"/>
      <c r="N1353"/>
      <c r="O1353">
        <v>470.4</v>
      </c>
      <c r="P1353">
        <v>112</v>
      </c>
      <c r="Q1353" s="4">
        <v>52684.800000000003</v>
      </c>
      <c r="R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 s="3">
        <v>42562</v>
      </c>
      <c r="AC1353" t="s">
        <v>53</v>
      </c>
      <c r="AD1353" t="s">
        <v>53</v>
      </c>
      <c r="AK1353">
        <v>0</v>
      </c>
      <c r="AU1353" s="3">
        <v>42415</v>
      </c>
      <c r="AV1353" s="3">
        <v>42415</v>
      </c>
      <c r="AW1353" t="s">
        <v>54</v>
      </c>
      <c r="AX1353" t="str">
        <f t="shared" si="178"/>
        <v>FOR</v>
      </c>
      <c r="AY1353" t="s">
        <v>55</v>
      </c>
    </row>
    <row r="1354" spans="1:51" hidden="1">
      <c r="A1354">
        <v>101293</v>
      </c>
      <c r="B1354" t="s">
        <v>219</v>
      </c>
      <c r="C1354" t="str">
        <f t="shared" si="177"/>
        <v>07438910635</v>
      </c>
      <c r="D1354" t="str">
        <f t="shared" si="177"/>
        <v>07438910635</v>
      </c>
      <c r="E1354" t="s">
        <v>52</v>
      </c>
      <c r="F1354">
        <v>2015</v>
      </c>
      <c r="G1354" t="str">
        <f>"               2/396"</f>
        <v xml:space="preserve">               2/396</v>
      </c>
      <c r="H1354" s="3">
        <v>42251</v>
      </c>
      <c r="I1354" s="3">
        <v>42262</v>
      </c>
      <c r="J1354" s="3">
        <v>42261</v>
      </c>
      <c r="K1354" s="3">
        <v>42321</v>
      </c>
      <c r="L1354"/>
      <c r="N1354"/>
      <c r="O1354">
        <v>235.2</v>
      </c>
      <c r="P1354">
        <v>94</v>
      </c>
      <c r="Q1354" s="4">
        <v>22108.799999999999</v>
      </c>
      <c r="R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 s="3">
        <v>42562</v>
      </c>
      <c r="AC1354" t="s">
        <v>53</v>
      </c>
      <c r="AD1354" t="s">
        <v>53</v>
      </c>
      <c r="AK1354">
        <v>0</v>
      </c>
      <c r="AU1354" s="3">
        <v>42415</v>
      </c>
      <c r="AV1354" s="3">
        <v>42415</v>
      </c>
      <c r="AW1354" t="s">
        <v>54</v>
      </c>
      <c r="AX1354" t="str">
        <f t="shared" si="178"/>
        <v>FOR</v>
      </c>
      <c r="AY1354" t="s">
        <v>55</v>
      </c>
    </row>
    <row r="1355" spans="1:51" hidden="1">
      <c r="A1355">
        <v>101293</v>
      </c>
      <c r="B1355" t="s">
        <v>219</v>
      </c>
      <c r="C1355" t="str">
        <f t="shared" si="177"/>
        <v>07438910635</v>
      </c>
      <c r="D1355" t="str">
        <f t="shared" si="177"/>
        <v>07438910635</v>
      </c>
      <c r="E1355" t="s">
        <v>52</v>
      </c>
      <c r="F1355">
        <v>2015</v>
      </c>
      <c r="G1355" t="str">
        <f>"               2/512"</f>
        <v xml:space="preserve">               2/512</v>
      </c>
      <c r="H1355" s="3">
        <v>42306</v>
      </c>
      <c r="I1355" s="3">
        <v>42310</v>
      </c>
      <c r="J1355" s="3">
        <v>42307</v>
      </c>
      <c r="K1355" s="3">
        <v>42367</v>
      </c>
      <c r="L1355"/>
      <c r="N1355"/>
      <c r="O1355">
        <v>450.9</v>
      </c>
      <c r="P1355">
        <v>48</v>
      </c>
      <c r="Q1355" s="4">
        <v>21643.200000000001</v>
      </c>
      <c r="R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 s="3">
        <v>42562</v>
      </c>
      <c r="AC1355" t="s">
        <v>53</v>
      </c>
      <c r="AD1355" t="s">
        <v>53</v>
      </c>
      <c r="AK1355">
        <v>0</v>
      </c>
      <c r="AU1355" s="3">
        <v>42415</v>
      </c>
      <c r="AV1355" s="3">
        <v>42415</v>
      </c>
      <c r="AW1355" t="s">
        <v>54</v>
      </c>
      <c r="AX1355" t="str">
        <f t="shared" si="178"/>
        <v>FOR</v>
      </c>
      <c r="AY1355" t="s">
        <v>55</v>
      </c>
    </row>
    <row r="1356" spans="1:51" hidden="1">
      <c r="A1356">
        <v>101303</v>
      </c>
      <c r="B1356" t="s">
        <v>220</v>
      </c>
      <c r="C1356" t="str">
        <f t="shared" ref="C1356:D1360" si="179">"01387750621"</f>
        <v>01387750621</v>
      </c>
      <c r="D1356" t="str">
        <f t="shared" si="179"/>
        <v>01387750621</v>
      </c>
      <c r="E1356" t="s">
        <v>52</v>
      </c>
      <c r="F1356">
        <v>2015</v>
      </c>
      <c r="G1356" t="str">
        <f>"                  48"</f>
        <v xml:space="preserve">                  48</v>
      </c>
      <c r="H1356" s="3">
        <v>42067</v>
      </c>
      <c r="I1356" s="3">
        <v>42069</v>
      </c>
      <c r="J1356" s="3">
        <v>42069</v>
      </c>
      <c r="K1356" s="3">
        <v>42129</v>
      </c>
      <c r="L1356"/>
      <c r="N1356"/>
      <c r="O1356">
        <v>530</v>
      </c>
      <c r="P1356">
        <v>275</v>
      </c>
      <c r="Q1356" s="4">
        <v>145750</v>
      </c>
      <c r="R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 s="3">
        <v>42562</v>
      </c>
      <c r="AC1356" t="s">
        <v>53</v>
      </c>
      <c r="AD1356" t="s">
        <v>53</v>
      </c>
      <c r="AK1356">
        <v>0</v>
      </c>
      <c r="AU1356" s="3">
        <v>42404</v>
      </c>
      <c r="AV1356" s="3">
        <v>42404</v>
      </c>
      <c r="AW1356" t="s">
        <v>54</v>
      </c>
      <c r="AX1356" t="str">
        <f t="shared" si="178"/>
        <v>FOR</v>
      </c>
      <c r="AY1356" t="s">
        <v>55</v>
      </c>
    </row>
    <row r="1357" spans="1:51" hidden="1">
      <c r="A1357">
        <v>101303</v>
      </c>
      <c r="B1357" t="s">
        <v>220</v>
      </c>
      <c r="C1357" t="str">
        <f t="shared" si="179"/>
        <v>01387750621</v>
      </c>
      <c r="D1357" t="str">
        <f t="shared" si="179"/>
        <v>01387750621</v>
      </c>
      <c r="E1357" t="s">
        <v>52</v>
      </c>
      <c r="F1357">
        <v>2015</v>
      </c>
      <c r="G1357" t="str">
        <f>"                 102"</f>
        <v xml:space="preserve">                 102</v>
      </c>
      <c r="H1357" s="3">
        <v>42124</v>
      </c>
      <c r="I1357" s="3">
        <v>42128</v>
      </c>
      <c r="J1357" s="3">
        <v>42124</v>
      </c>
      <c r="K1357" s="3">
        <v>42184</v>
      </c>
      <c r="L1357"/>
      <c r="N1357"/>
      <c r="O1357">
        <v>530</v>
      </c>
      <c r="P1357">
        <v>232</v>
      </c>
      <c r="Q1357" s="4">
        <v>122960</v>
      </c>
      <c r="R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 s="3">
        <v>42562</v>
      </c>
      <c r="AC1357" t="s">
        <v>53</v>
      </c>
      <c r="AD1357" t="s">
        <v>53</v>
      </c>
      <c r="AK1357">
        <v>0</v>
      </c>
      <c r="AU1357" s="3">
        <v>42416</v>
      </c>
      <c r="AV1357" s="3">
        <v>42416</v>
      </c>
      <c r="AW1357" t="s">
        <v>54</v>
      </c>
      <c r="AX1357" t="str">
        <f t="shared" si="178"/>
        <v>FOR</v>
      </c>
      <c r="AY1357" t="s">
        <v>55</v>
      </c>
    </row>
    <row r="1358" spans="1:51">
      <c r="A1358">
        <v>101303</v>
      </c>
      <c r="B1358" t="s">
        <v>220</v>
      </c>
      <c r="C1358" t="str">
        <f t="shared" si="179"/>
        <v>01387750621</v>
      </c>
      <c r="D1358" t="str">
        <f t="shared" si="179"/>
        <v>01387750621</v>
      </c>
      <c r="E1358" t="s">
        <v>52</v>
      </c>
      <c r="F1358">
        <v>2015</v>
      </c>
      <c r="G1358" t="str">
        <f>"                 163"</f>
        <v xml:space="preserve">                 163</v>
      </c>
      <c r="H1358" s="3">
        <v>42184</v>
      </c>
      <c r="I1358" s="3">
        <v>42186</v>
      </c>
      <c r="J1358" s="3">
        <v>42184</v>
      </c>
      <c r="K1358" s="3">
        <v>42244</v>
      </c>
      <c r="L1358" s="1">
        <v>530</v>
      </c>
      <c r="M1358">
        <v>243</v>
      </c>
      <c r="N1358" s="5">
        <v>128790</v>
      </c>
      <c r="O1358">
        <v>530</v>
      </c>
      <c r="P1358">
        <v>243</v>
      </c>
      <c r="Q1358" s="4">
        <v>128790</v>
      </c>
      <c r="R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 s="3">
        <v>42562</v>
      </c>
      <c r="AC1358" t="s">
        <v>53</v>
      </c>
      <c r="AD1358" t="s">
        <v>53</v>
      </c>
      <c r="AK1358">
        <v>0</v>
      </c>
      <c r="AU1358" s="3">
        <v>42487</v>
      </c>
      <c r="AV1358" s="3">
        <v>42487</v>
      </c>
      <c r="AW1358" t="s">
        <v>54</v>
      </c>
      <c r="AX1358" t="str">
        <f t="shared" si="178"/>
        <v>FOR</v>
      </c>
      <c r="AY1358" t="s">
        <v>55</v>
      </c>
    </row>
    <row r="1359" spans="1:51">
      <c r="A1359">
        <v>101303</v>
      </c>
      <c r="B1359" t="s">
        <v>220</v>
      </c>
      <c r="C1359" t="str">
        <f t="shared" si="179"/>
        <v>01387750621</v>
      </c>
      <c r="D1359" t="str">
        <f t="shared" si="179"/>
        <v>01387750621</v>
      </c>
      <c r="E1359" t="s">
        <v>52</v>
      </c>
      <c r="F1359">
        <v>2015</v>
      </c>
      <c r="G1359" t="str">
        <f>"                 197"</f>
        <v xml:space="preserve">                 197</v>
      </c>
      <c r="H1359" s="3">
        <v>42241</v>
      </c>
      <c r="I1359" s="3">
        <v>42242</v>
      </c>
      <c r="J1359" s="3">
        <v>42241</v>
      </c>
      <c r="K1359" s="3">
        <v>42301</v>
      </c>
      <c r="L1359" s="1">
        <v>530</v>
      </c>
      <c r="M1359">
        <v>186</v>
      </c>
      <c r="N1359" s="5">
        <v>98580</v>
      </c>
      <c r="O1359">
        <v>530</v>
      </c>
      <c r="P1359">
        <v>186</v>
      </c>
      <c r="Q1359" s="4">
        <v>98580</v>
      </c>
      <c r="R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 s="3">
        <v>42562</v>
      </c>
      <c r="AC1359" t="s">
        <v>53</v>
      </c>
      <c r="AD1359" t="s">
        <v>53</v>
      </c>
      <c r="AK1359">
        <v>0</v>
      </c>
      <c r="AU1359" s="3">
        <v>42487</v>
      </c>
      <c r="AV1359" s="3">
        <v>42487</v>
      </c>
      <c r="AW1359" t="s">
        <v>54</v>
      </c>
      <c r="AX1359" t="str">
        <f t="shared" si="178"/>
        <v>FOR</v>
      </c>
      <c r="AY1359" t="s">
        <v>55</v>
      </c>
    </row>
    <row r="1360" spans="1:51">
      <c r="A1360">
        <v>101303</v>
      </c>
      <c r="B1360" t="s">
        <v>220</v>
      </c>
      <c r="C1360" t="str">
        <f t="shared" si="179"/>
        <v>01387750621</v>
      </c>
      <c r="D1360" t="str">
        <f t="shared" si="179"/>
        <v>01387750621</v>
      </c>
      <c r="E1360" t="s">
        <v>52</v>
      </c>
      <c r="F1360">
        <v>2015</v>
      </c>
      <c r="G1360" t="str">
        <f>"                 290"</f>
        <v xml:space="preserve">                 290</v>
      </c>
      <c r="H1360" s="3">
        <v>42336</v>
      </c>
      <c r="I1360" s="3">
        <v>42338</v>
      </c>
      <c r="J1360" s="3">
        <v>42336</v>
      </c>
      <c r="K1360" s="3">
        <v>42396</v>
      </c>
      <c r="L1360" s="1">
        <v>530</v>
      </c>
      <c r="M1360">
        <v>91</v>
      </c>
      <c r="N1360" s="5">
        <v>48230</v>
      </c>
      <c r="O1360">
        <v>530</v>
      </c>
      <c r="P1360">
        <v>91</v>
      </c>
      <c r="Q1360" s="4">
        <v>48230</v>
      </c>
      <c r="R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 s="3">
        <v>42562</v>
      </c>
      <c r="AC1360" t="s">
        <v>53</v>
      </c>
      <c r="AD1360" t="s">
        <v>53</v>
      </c>
      <c r="AK1360">
        <v>0</v>
      </c>
      <c r="AU1360" s="3">
        <v>42487</v>
      </c>
      <c r="AV1360" s="3">
        <v>42487</v>
      </c>
      <c r="AW1360" t="s">
        <v>54</v>
      </c>
      <c r="AX1360" t="str">
        <f t="shared" si="178"/>
        <v>FOR</v>
      </c>
      <c r="AY1360" t="s">
        <v>55</v>
      </c>
    </row>
    <row r="1361" spans="1:51" hidden="1">
      <c r="A1361">
        <v>101304</v>
      </c>
      <c r="B1361" t="s">
        <v>221</v>
      </c>
      <c r="C1361" t="str">
        <f>"06616441215"</f>
        <v>06616441215</v>
      </c>
      <c r="D1361" t="str">
        <f>"SPELSS70B19A064C"</f>
        <v>SPELSS70B19A064C</v>
      </c>
      <c r="E1361" t="s">
        <v>52</v>
      </c>
      <c r="F1361">
        <v>2016</v>
      </c>
      <c r="G1361" t="str">
        <f>"                   1"</f>
        <v xml:space="preserve">                   1</v>
      </c>
      <c r="H1361" s="3">
        <v>42383</v>
      </c>
      <c r="I1361" s="3">
        <v>42388</v>
      </c>
      <c r="J1361" s="3">
        <v>42384</v>
      </c>
      <c r="K1361" s="3">
        <v>42444</v>
      </c>
      <c r="L1361"/>
      <c r="N1361"/>
      <c r="O1361" s="4">
        <v>1909.58</v>
      </c>
      <c r="P1361">
        <v>-47</v>
      </c>
      <c r="Q1361" s="4">
        <v>-89750.26</v>
      </c>
      <c r="R1361">
        <v>0</v>
      </c>
      <c r="V1361">
        <v>0</v>
      </c>
      <c r="W1361">
        <v>0</v>
      </c>
      <c r="X1361">
        <v>0</v>
      </c>
      <c r="Y1361">
        <v>-476.9</v>
      </c>
      <c r="Z1361" s="4">
        <v>1909.58</v>
      </c>
      <c r="AA1361" s="4">
        <v>1909.58</v>
      </c>
      <c r="AB1361" s="3">
        <v>42562</v>
      </c>
      <c r="AC1361" t="s">
        <v>53</v>
      </c>
      <c r="AD1361" t="s">
        <v>53</v>
      </c>
      <c r="AK1361">
        <v>0</v>
      </c>
      <c r="AU1361" s="3">
        <v>42397</v>
      </c>
      <c r="AV1361" s="3">
        <v>42397</v>
      </c>
      <c r="AW1361" t="s">
        <v>54</v>
      </c>
      <c r="AX1361" t="str">
        <f t="shared" ref="AX1361:AX1371" si="180">"ALTPRO"</f>
        <v>ALTPRO</v>
      </c>
      <c r="AY1361" t="s">
        <v>93</v>
      </c>
    </row>
    <row r="1362" spans="1:51" hidden="1">
      <c r="A1362">
        <v>101304</v>
      </c>
      <c r="B1362" t="s">
        <v>221</v>
      </c>
      <c r="C1362" t="str">
        <f>"06616441215"</f>
        <v>06616441215</v>
      </c>
      <c r="D1362" t="str">
        <f>"SPELSS70B19A064C"</f>
        <v>SPELSS70B19A064C</v>
      </c>
      <c r="E1362" t="s">
        <v>52</v>
      </c>
      <c r="F1362">
        <v>2016</v>
      </c>
      <c r="G1362" t="str">
        <f>"                   2"</f>
        <v xml:space="preserve">                   2</v>
      </c>
      <c r="H1362" s="3">
        <v>42439</v>
      </c>
      <c r="I1362" s="3">
        <v>42445</v>
      </c>
      <c r="J1362" s="3">
        <v>42444</v>
      </c>
      <c r="K1362" s="3">
        <v>42504</v>
      </c>
      <c r="L1362"/>
      <c r="N1362"/>
      <c r="O1362" s="4">
        <v>3771.65</v>
      </c>
      <c r="P1362">
        <v>-53</v>
      </c>
      <c r="Q1362" s="4">
        <v>-199897.45</v>
      </c>
      <c r="R1362">
        <v>0</v>
      </c>
      <c r="V1362">
        <v>0</v>
      </c>
      <c r="W1362">
        <v>0</v>
      </c>
      <c r="X1362">
        <v>0</v>
      </c>
      <c r="Y1362" s="4">
        <v>3771.65</v>
      </c>
      <c r="Z1362" s="4">
        <v>3771.65</v>
      </c>
      <c r="AA1362" s="4">
        <v>3771.65</v>
      </c>
      <c r="AB1362" s="3">
        <v>42562</v>
      </c>
      <c r="AC1362" t="s">
        <v>53</v>
      </c>
      <c r="AD1362" t="s">
        <v>53</v>
      </c>
      <c r="AK1362">
        <v>0</v>
      </c>
      <c r="AU1362" s="3">
        <v>42451</v>
      </c>
      <c r="AV1362" s="3">
        <v>42451</v>
      </c>
      <c r="AW1362" t="s">
        <v>54</v>
      </c>
      <c r="AX1362" t="str">
        <f t="shared" si="180"/>
        <v>ALTPRO</v>
      </c>
      <c r="AY1362" t="s">
        <v>93</v>
      </c>
    </row>
    <row r="1363" spans="1:51">
      <c r="A1363">
        <v>101304</v>
      </c>
      <c r="B1363" t="s">
        <v>221</v>
      </c>
      <c r="C1363" t="str">
        <f>"06616441215"</f>
        <v>06616441215</v>
      </c>
      <c r="D1363" t="str">
        <f>"SPELSS70B19A064C"</f>
        <v>SPELSS70B19A064C</v>
      </c>
      <c r="E1363" t="s">
        <v>52</v>
      </c>
      <c r="F1363">
        <v>2016</v>
      </c>
      <c r="G1363" t="str">
        <f>"                   3"</f>
        <v xml:space="preserve">                   3</v>
      </c>
      <c r="H1363" s="3">
        <v>42499</v>
      </c>
      <c r="I1363" s="3">
        <v>42507</v>
      </c>
      <c r="J1363" s="3">
        <v>42507</v>
      </c>
      <c r="K1363" s="3">
        <v>42567</v>
      </c>
      <c r="L1363" s="5">
        <v>2171.3000000000002</v>
      </c>
      <c r="M1363">
        <v>-47</v>
      </c>
      <c r="N1363" s="5">
        <v>-102051.1</v>
      </c>
      <c r="O1363" s="4">
        <v>2171.3000000000002</v>
      </c>
      <c r="P1363">
        <v>-47</v>
      </c>
      <c r="Q1363" s="4">
        <v>-102051.1</v>
      </c>
      <c r="R1363">
        <v>0</v>
      </c>
      <c r="V1363">
        <v>-542.32000000000005</v>
      </c>
      <c r="W1363" s="4">
        <v>2171.3000000000002</v>
      </c>
      <c r="X1363" s="4">
        <v>2171.3000000000002</v>
      </c>
      <c r="Y1363" s="4">
        <v>2171.3000000000002</v>
      </c>
      <c r="Z1363" s="4">
        <v>2171.3000000000002</v>
      </c>
      <c r="AA1363" s="4">
        <v>2171.3000000000002</v>
      </c>
      <c r="AB1363" s="3">
        <v>42562</v>
      </c>
      <c r="AC1363" t="s">
        <v>53</v>
      </c>
      <c r="AD1363" t="s">
        <v>53</v>
      </c>
      <c r="AK1363">
        <v>0</v>
      </c>
      <c r="AU1363" s="3">
        <v>42520</v>
      </c>
      <c r="AV1363" s="3">
        <v>42520</v>
      </c>
      <c r="AW1363" t="s">
        <v>54</v>
      </c>
      <c r="AX1363" t="str">
        <f t="shared" si="180"/>
        <v>ALTPRO</v>
      </c>
      <c r="AY1363" t="s">
        <v>93</v>
      </c>
    </row>
    <row r="1364" spans="1:51">
      <c r="A1364">
        <v>101304</v>
      </c>
      <c r="B1364" t="s">
        <v>221</v>
      </c>
      <c r="C1364" t="str">
        <f>"06616441215"</f>
        <v>06616441215</v>
      </c>
      <c r="D1364" t="str">
        <f>"SPELSS70B19A064C"</f>
        <v>SPELSS70B19A064C</v>
      </c>
      <c r="E1364" t="s">
        <v>52</v>
      </c>
      <c r="F1364">
        <v>2016</v>
      </c>
      <c r="G1364" t="str">
        <f>"                   4"</f>
        <v xml:space="preserve">                   4</v>
      </c>
      <c r="H1364" s="3">
        <v>42499</v>
      </c>
      <c r="I1364" s="3">
        <v>42507</v>
      </c>
      <c r="J1364" s="3">
        <v>42507</v>
      </c>
      <c r="K1364" s="3">
        <v>42567</v>
      </c>
      <c r="L1364" s="5">
        <v>1917.31</v>
      </c>
      <c r="M1364">
        <v>-47</v>
      </c>
      <c r="N1364" s="5">
        <v>-90113.57</v>
      </c>
      <c r="O1364" s="4">
        <v>1917.31</v>
      </c>
      <c r="P1364">
        <v>-47</v>
      </c>
      <c r="Q1364" s="4">
        <v>-90113.57</v>
      </c>
      <c r="R1364">
        <v>0</v>
      </c>
      <c r="V1364" s="4">
        <v>1917.31</v>
      </c>
      <c r="W1364" s="4">
        <v>1917.31</v>
      </c>
      <c r="X1364" s="4">
        <v>1917.31</v>
      </c>
      <c r="Y1364" s="4">
        <v>1917.31</v>
      </c>
      <c r="Z1364" s="4">
        <v>1917.31</v>
      </c>
      <c r="AA1364" s="4">
        <v>1917.31</v>
      </c>
      <c r="AB1364" s="3">
        <v>42562</v>
      </c>
      <c r="AC1364" t="s">
        <v>53</v>
      </c>
      <c r="AD1364" t="s">
        <v>53</v>
      </c>
      <c r="AK1364">
        <v>0</v>
      </c>
      <c r="AU1364" s="3">
        <v>42520</v>
      </c>
      <c r="AV1364" s="3">
        <v>42520</v>
      </c>
      <c r="AW1364" t="s">
        <v>54</v>
      </c>
      <c r="AX1364" t="str">
        <f t="shared" si="180"/>
        <v>ALTPRO</v>
      </c>
      <c r="AY1364" t="s">
        <v>93</v>
      </c>
    </row>
    <row r="1365" spans="1:51" hidden="1">
      <c r="A1365">
        <v>101308</v>
      </c>
      <c r="B1365" t="s">
        <v>222</v>
      </c>
      <c r="C1365" t="str">
        <f>"01450650625"</f>
        <v>01450650625</v>
      </c>
      <c r="D1365" t="str">
        <f>"CGNCML79P42E791A"</f>
        <v>CGNCML79P42E791A</v>
      </c>
      <c r="E1365" t="s">
        <v>52</v>
      </c>
      <c r="F1365">
        <v>2016</v>
      </c>
      <c r="G1365" t="str">
        <f>"         FATTPA 1_16"</f>
        <v xml:space="preserve">         FATTPA 1_16</v>
      </c>
      <c r="H1365" s="3">
        <v>42388</v>
      </c>
      <c r="I1365" s="3">
        <v>42389</v>
      </c>
      <c r="J1365" s="3">
        <v>42388</v>
      </c>
      <c r="K1365" s="3">
        <v>42448</v>
      </c>
      <c r="L1365"/>
      <c r="N1365"/>
      <c r="O1365" s="4">
        <v>2024.91</v>
      </c>
      <c r="P1365">
        <v>-51</v>
      </c>
      <c r="Q1365" s="4">
        <v>-103270.41</v>
      </c>
      <c r="R1365">
        <v>0</v>
      </c>
      <c r="V1365">
        <v>0</v>
      </c>
      <c r="W1365">
        <v>0</v>
      </c>
      <c r="X1365">
        <v>0</v>
      </c>
      <c r="Y1365">
        <v>-505.73</v>
      </c>
      <c r="Z1365" s="4">
        <v>2024.91</v>
      </c>
      <c r="AA1365" s="4">
        <v>2024.91</v>
      </c>
      <c r="AB1365" s="3">
        <v>42562</v>
      </c>
      <c r="AC1365" t="s">
        <v>53</v>
      </c>
      <c r="AD1365" t="s">
        <v>53</v>
      </c>
      <c r="AK1365">
        <v>0</v>
      </c>
      <c r="AU1365" s="3">
        <v>42397</v>
      </c>
      <c r="AV1365" s="3">
        <v>42397</v>
      </c>
      <c r="AW1365" t="s">
        <v>54</v>
      </c>
      <c r="AX1365" t="str">
        <f t="shared" si="180"/>
        <v>ALTPRO</v>
      </c>
      <c r="AY1365" t="s">
        <v>93</v>
      </c>
    </row>
    <row r="1366" spans="1:51" hidden="1">
      <c r="A1366">
        <v>101308</v>
      </c>
      <c r="B1366" t="s">
        <v>222</v>
      </c>
      <c r="C1366" t="str">
        <f>"01450650625"</f>
        <v>01450650625</v>
      </c>
      <c r="D1366" t="str">
        <f>"CGNCML79P42E791A"</f>
        <v>CGNCML79P42E791A</v>
      </c>
      <c r="E1366" t="s">
        <v>52</v>
      </c>
      <c r="F1366">
        <v>2016</v>
      </c>
      <c r="G1366" t="str">
        <f>"         FATTPA 2_16"</f>
        <v xml:space="preserve">         FATTPA 2_16</v>
      </c>
      <c r="H1366" s="3">
        <v>42414</v>
      </c>
      <c r="I1366" s="3">
        <v>42415</v>
      </c>
      <c r="J1366" s="3">
        <v>42414</v>
      </c>
      <c r="K1366" s="3">
        <v>42474</v>
      </c>
      <c r="L1366"/>
      <c r="N1366"/>
      <c r="O1366" s="4">
        <v>1476.92</v>
      </c>
      <c r="P1366">
        <v>-48</v>
      </c>
      <c r="Q1366" s="4">
        <v>-70892.160000000003</v>
      </c>
      <c r="R1366">
        <v>0</v>
      </c>
      <c r="V1366">
        <v>0</v>
      </c>
      <c r="W1366">
        <v>0</v>
      </c>
      <c r="X1366">
        <v>0</v>
      </c>
      <c r="Y1366" s="4">
        <v>1476.92</v>
      </c>
      <c r="Z1366" s="4">
        <v>1476.92</v>
      </c>
      <c r="AA1366" s="4">
        <v>1476.92</v>
      </c>
      <c r="AB1366" s="3">
        <v>42562</v>
      </c>
      <c r="AC1366" t="s">
        <v>53</v>
      </c>
      <c r="AD1366" t="s">
        <v>53</v>
      </c>
      <c r="AK1366">
        <v>0</v>
      </c>
      <c r="AU1366" s="3">
        <v>42426</v>
      </c>
      <c r="AV1366" s="3">
        <v>42426</v>
      </c>
      <c r="AW1366" t="s">
        <v>54</v>
      </c>
      <c r="AX1366" t="str">
        <f t="shared" si="180"/>
        <v>ALTPRO</v>
      </c>
      <c r="AY1366" t="s">
        <v>93</v>
      </c>
    </row>
    <row r="1367" spans="1:51" hidden="1">
      <c r="A1367">
        <v>101308</v>
      </c>
      <c r="B1367" t="s">
        <v>222</v>
      </c>
      <c r="C1367" t="str">
        <f>"01450650625"</f>
        <v>01450650625</v>
      </c>
      <c r="D1367" t="str">
        <f>"CGNCML79P42E791A"</f>
        <v>CGNCML79P42E791A</v>
      </c>
      <c r="E1367" t="s">
        <v>52</v>
      </c>
      <c r="F1367">
        <v>2016</v>
      </c>
      <c r="G1367" t="str">
        <f>"         FATTPA 3_16"</f>
        <v xml:space="preserve">         FATTPA 3_16</v>
      </c>
      <c r="H1367" s="3">
        <v>42429</v>
      </c>
      <c r="I1367" s="3">
        <v>42433</v>
      </c>
      <c r="J1367" s="3">
        <v>42429</v>
      </c>
      <c r="K1367" s="3">
        <v>42489</v>
      </c>
      <c r="L1367"/>
      <c r="N1367"/>
      <c r="O1367" s="4">
        <v>2109.1999999999998</v>
      </c>
      <c r="P1367">
        <v>-38</v>
      </c>
      <c r="Q1367" s="4">
        <v>-80149.600000000006</v>
      </c>
      <c r="R1367">
        <v>0</v>
      </c>
      <c r="V1367">
        <v>0</v>
      </c>
      <c r="W1367">
        <v>0</v>
      </c>
      <c r="X1367">
        <v>0</v>
      </c>
      <c r="Y1367" s="4">
        <v>2109.1999999999998</v>
      </c>
      <c r="Z1367" s="4">
        <v>2109.1999999999998</v>
      </c>
      <c r="AA1367" s="4">
        <v>2109.1999999999998</v>
      </c>
      <c r="AB1367" s="3">
        <v>42562</v>
      </c>
      <c r="AC1367" t="s">
        <v>53</v>
      </c>
      <c r="AD1367" t="s">
        <v>53</v>
      </c>
      <c r="AK1367">
        <v>0</v>
      </c>
      <c r="AU1367" s="3">
        <v>42451</v>
      </c>
      <c r="AV1367" s="3">
        <v>42451</v>
      </c>
      <c r="AW1367" t="s">
        <v>54</v>
      </c>
      <c r="AX1367" t="str">
        <f t="shared" si="180"/>
        <v>ALTPRO</v>
      </c>
      <c r="AY1367" t="s">
        <v>93</v>
      </c>
    </row>
    <row r="1368" spans="1:51">
      <c r="A1368">
        <v>101308</v>
      </c>
      <c r="B1368" t="s">
        <v>222</v>
      </c>
      <c r="C1368" t="str">
        <f>"01450650625"</f>
        <v>01450650625</v>
      </c>
      <c r="D1368" t="str">
        <f>"CGNCML79P42E791A"</f>
        <v>CGNCML79P42E791A</v>
      </c>
      <c r="E1368" t="s">
        <v>52</v>
      </c>
      <c r="F1368">
        <v>2016</v>
      </c>
      <c r="G1368" t="str">
        <f>"         FATTPA 4_16"</f>
        <v xml:space="preserve">         FATTPA 4_16</v>
      </c>
      <c r="H1368" s="3">
        <v>42475</v>
      </c>
      <c r="I1368" s="3">
        <v>42475</v>
      </c>
      <c r="J1368" s="3">
        <v>42475</v>
      </c>
      <c r="K1368" s="3">
        <v>42535</v>
      </c>
      <c r="L1368" s="5">
        <v>2193.4899999999998</v>
      </c>
      <c r="M1368">
        <v>-48</v>
      </c>
      <c r="N1368" s="5">
        <v>-105287.52</v>
      </c>
      <c r="O1368" s="4">
        <v>2193.4899999999998</v>
      </c>
      <c r="P1368">
        <v>-48</v>
      </c>
      <c r="Q1368" s="4">
        <v>-105287.52</v>
      </c>
      <c r="R1368">
        <v>0</v>
      </c>
      <c r="V1368">
        <v>-547.87</v>
      </c>
      <c r="W1368" s="4">
        <v>2193.4899999999998</v>
      </c>
      <c r="X1368" s="4">
        <v>2193.4899999999998</v>
      </c>
      <c r="Y1368" s="4">
        <v>2193.4899999999998</v>
      </c>
      <c r="Z1368" s="4">
        <v>2193.4899999999998</v>
      </c>
      <c r="AA1368" s="4">
        <v>2193.4899999999998</v>
      </c>
      <c r="AB1368" s="3">
        <v>42562</v>
      </c>
      <c r="AC1368" t="s">
        <v>53</v>
      </c>
      <c r="AD1368" t="s">
        <v>53</v>
      </c>
      <c r="AK1368">
        <v>0</v>
      </c>
      <c r="AU1368" s="3">
        <v>42487</v>
      </c>
      <c r="AV1368" s="3">
        <v>42487</v>
      </c>
      <c r="AW1368" t="s">
        <v>54</v>
      </c>
      <c r="AX1368" t="str">
        <f t="shared" si="180"/>
        <v>ALTPRO</v>
      </c>
      <c r="AY1368" t="s">
        <v>93</v>
      </c>
    </row>
    <row r="1369" spans="1:51">
      <c r="A1369">
        <v>101308</v>
      </c>
      <c r="B1369" t="s">
        <v>222</v>
      </c>
      <c r="C1369" t="str">
        <f>"01450650625"</f>
        <v>01450650625</v>
      </c>
      <c r="D1369" t="str">
        <f>"CGNCML79P42E791A"</f>
        <v>CGNCML79P42E791A</v>
      </c>
      <c r="E1369" t="s">
        <v>52</v>
      </c>
      <c r="F1369">
        <v>2016</v>
      </c>
      <c r="G1369" t="str">
        <f>"         FATTPA 5_16"</f>
        <v xml:space="preserve">         FATTPA 5_16</v>
      </c>
      <c r="H1369" s="3">
        <v>42502</v>
      </c>
      <c r="I1369" s="3">
        <v>42507</v>
      </c>
      <c r="J1369" s="3">
        <v>42503</v>
      </c>
      <c r="K1369" s="3">
        <v>42563</v>
      </c>
      <c r="L1369" s="5">
        <v>2109.1999999999998</v>
      </c>
      <c r="M1369">
        <v>-47</v>
      </c>
      <c r="N1369" s="5">
        <v>-99132.4</v>
      </c>
      <c r="O1369" s="4">
        <v>2109.1999999999998</v>
      </c>
      <c r="P1369">
        <v>-47</v>
      </c>
      <c r="Q1369" s="4">
        <v>-99132.4</v>
      </c>
      <c r="R1369">
        <v>0</v>
      </c>
      <c r="V1369" s="4">
        <v>2109.1999999999998</v>
      </c>
      <c r="W1369" s="4">
        <v>2109.1999999999998</v>
      </c>
      <c r="X1369" s="4">
        <v>2109.1999999999998</v>
      </c>
      <c r="Y1369" s="4">
        <v>2109.1999999999998</v>
      </c>
      <c r="Z1369" s="4">
        <v>2109.1999999999998</v>
      </c>
      <c r="AA1369" s="4">
        <v>2109.1999999999998</v>
      </c>
      <c r="AB1369" s="3">
        <v>42562</v>
      </c>
      <c r="AC1369" t="s">
        <v>53</v>
      </c>
      <c r="AD1369" t="s">
        <v>53</v>
      </c>
      <c r="AK1369">
        <v>0</v>
      </c>
      <c r="AU1369" s="3">
        <v>42516</v>
      </c>
      <c r="AV1369" s="3">
        <v>42516</v>
      </c>
      <c r="AW1369" t="s">
        <v>54</v>
      </c>
      <c r="AX1369" t="str">
        <f t="shared" si="180"/>
        <v>ALTPRO</v>
      </c>
      <c r="AY1369" t="s">
        <v>93</v>
      </c>
    </row>
    <row r="1370" spans="1:51" hidden="1">
      <c r="A1370">
        <v>101311</v>
      </c>
      <c r="B1370" t="s">
        <v>223</v>
      </c>
      <c r="C1370" t="str">
        <f>"01482810627"</f>
        <v>01482810627</v>
      </c>
      <c r="D1370" t="str">
        <f>"MSCBRC80E43A783T"</f>
        <v>MSCBRC80E43A783T</v>
      </c>
      <c r="E1370" t="s">
        <v>52</v>
      </c>
      <c r="F1370">
        <v>2016</v>
      </c>
      <c r="G1370" t="str">
        <f>"         FATTPA 1_16"</f>
        <v xml:space="preserve">         FATTPA 1_16</v>
      </c>
      <c r="H1370" s="3">
        <v>42445</v>
      </c>
      <c r="I1370" s="3">
        <v>42446</v>
      </c>
      <c r="J1370" s="3">
        <v>42445</v>
      </c>
      <c r="K1370" s="3">
        <v>42505</v>
      </c>
      <c r="L1370"/>
      <c r="N1370"/>
      <c r="O1370" s="4">
        <v>1839.45</v>
      </c>
      <c r="P1370">
        <v>-54</v>
      </c>
      <c r="Q1370" s="4">
        <v>-99330.3</v>
      </c>
      <c r="R1370">
        <v>0</v>
      </c>
      <c r="V1370">
        <v>0</v>
      </c>
      <c r="W1370">
        <v>0</v>
      </c>
      <c r="X1370">
        <v>0</v>
      </c>
      <c r="Y1370">
        <v>-459.86</v>
      </c>
      <c r="Z1370" s="4">
        <v>1839.45</v>
      </c>
      <c r="AA1370" s="4">
        <v>1839.45</v>
      </c>
      <c r="AB1370" s="3">
        <v>42562</v>
      </c>
      <c r="AC1370" t="s">
        <v>53</v>
      </c>
      <c r="AD1370" t="s">
        <v>53</v>
      </c>
      <c r="AK1370">
        <v>0</v>
      </c>
      <c r="AU1370" s="3">
        <v>42451</v>
      </c>
      <c r="AV1370" s="3">
        <v>42451</v>
      </c>
      <c r="AW1370" t="s">
        <v>54</v>
      </c>
      <c r="AX1370" t="str">
        <f t="shared" si="180"/>
        <v>ALTPRO</v>
      </c>
      <c r="AY1370" t="s">
        <v>93</v>
      </c>
    </row>
    <row r="1371" spans="1:51" hidden="1">
      <c r="A1371">
        <v>101311</v>
      </c>
      <c r="B1371" t="s">
        <v>223</v>
      </c>
      <c r="C1371" t="str">
        <f>"01482810627"</f>
        <v>01482810627</v>
      </c>
      <c r="D1371" t="str">
        <f>"MSCBRC80E43A783T"</f>
        <v>MSCBRC80E43A783T</v>
      </c>
      <c r="E1371" t="s">
        <v>52</v>
      </c>
      <c r="F1371">
        <v>2016</v>
      </c>
      <c r="G1371" t="str">
        <f>"         FATTPA 2_16"</f>
        <v xml:space="preserve">         FATTPA 2_16</v>
      </c>
      <c r="H1371" s="3">
        <v>42445</v>
      </c>
      <c r="I1371" s="3">
        <v>42446</v>
      </c>
      <c r="J1371" s="3">
        <v>42445</v>
      </c>
      <c r="K1371" s="3">
        <v>42505</v>
      </c>
      <c r="L1371"/>
      <c r="N1371"/>
      <c r="O1371" s="4">
        <v>1454.54</v>
      </c>
      <c r="P1371">
        <v>-54</v>
      </c>
      <c r="Q1371" s="4">
        <v>-78545.16</v>
      </c>
      <c r="R1371">
        <v>0</v>
      </c>
      <c r="V1371">
        <v>0</v>
      </c>
      <c r="W1371">
        <v>0</v>
      </c>
      <c r="X1371">
        <v>0</v>
      </c>
      <c r="Y1371" s="4">
        <v>1454.54</v>
      </c>
      <c r="Z1371" s="4">
        <v>1454.54</v>
      </c>
      <c r="AA1371" s="4">
        <v>1454.54</v>
      </c>
      <c r="AB1371" s="3">
        <v>42562</v>
      </c>
      <c r="AC1371" t="s">
        <v>53</v>
      </c>
      <c r="AD1371" t="s">
        <v>53</v>
      </c>
      <c r="AK1371">
        <v>0</v>
      </c>
      <c r="AU1371" s="3">
        <v>42451</v>
      </c>
      <c r="AV1371" s="3">
        <v>42451</v>
      </c>
      <c r="AW1371" t="s">
        <v>54</v>
      </c>
      <c r="AX1371" t="str">
        <f t="shared" si="180"/>
        <v>ALTPRO</v>
      </c>
      <c r="AY1371" t="s">
        <v>93</v>
      </c>
    </row>
    <row r="1372" spans="1:51">
      <c r="A1372">
        <v>101317</v>
      </c>
      <c r="B1372" t="s">
        <v>224</v>
      </c>
      <c r="C1372" t="str">
        <f t="shared" ref="C1372:C1403" si="181">"00592310627"</f>
        <v>00592310627</v>
      </c>
      <c r="D1372" t="str">
        <f t="shared" ref="D1372:D1403" si="182">"DNGGTN52A01A783M"</f>
        <v>DNGGTN52A01A783M</v>
      </c>
      <c r="E1372" t="s">
        <v>52</v>
      </c>
      <c r="F1372">
        <v>2015</v>
      </c>
      <c r="G1372" t="str">
        <f>"         000038-2015"</f>
        <v xml:space="preserve">         000038-2015</v>
      </c>
      <c r="H1372" s="3">
        <v>42153</v>
      </c>
      <c r="I1372" s="3">
        <v>42164</v>
      </c>
      <c r="J1372" s="3">
        <v>42153</v>
      </c>
      <c r="K1372" s="3">
        <v>42213</v>
      </c>
      <c r="L1372" s="5">
        <v>9534.2900000000009</v>
      </c>
      <c r="M1372">
        <v>251</v>
      </c>
      <c r="N1372" s="5">
        <v>2393106.79</v>
      </c>
      <c r="O1372" s="4">
        <v>9534.2900000000009</v>
      </c>
      <c r="P1372">
        <v>251</v>
      </c>
      <c r="Q1372" s="4">
        <v>2393106.79</v>
      </c>
      <c r="R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 s="3">
        <v>42562</v>
      </c>
      <c r="AC1372" t="s">
        <v>53</v>
      </c>
      <c r="AD1372" t="s">
        <v>53</v>
      </c>
      <c r="AK1372">
        <v>0</v>
      </c>
      <c r="AU1372" s="3">
        <v>42464</v>
      </c>
      <c r="AV1372" s="3">
        <v>42464</v>
      </c>
      <c r="AW1372" t="s">
        <v>54</v>
      </c>
      <c r="AX1372" t="str">
        <f t="shared" ref="AX1372:AX1403" si="183">"FOR"</f>
        <v>FOR</v>
      </c>
      <c r="AY1372" t="s">
        <v>55</v>
      </c>
    </row>
    <row r="1373" spans="1:51" hidden="1">
      <c r="A1373">
        <v>101317</v>
      </c>
      <c r="B1373" t="s">
        <v>224</v>
      </c>
      <c r="C1373" t="str">
        <f t="shared" si="181"/>
        <v>00592310627</v>
      </c>
      <c r="D1373" t="str">
        <f t="shared" si="182"/>
        <v>DNGGTN52A01A783M</v>
      </c>
      <c r="E1373" t="s">
        <v>52</v>
      </c>
      <c r="F1373">
        <v>2015</v>
      </c>
      <c r="G1373" t="str">
        <f>"         000082-2015"</f>
        <v xml:space="preserve">         000082-2015</v>
      </c>
      <c r="H1373" s="3">
        <v>42268</v>
      </c>
      <c r="I1373" s="3">
        <v>42268</v>
      </c>
      <c r="J1373" s="3">
        <v>42268</v>
      </c>
      <c r="K1373" s="3">
        <v>42328</v>
      </c>
      <c r="L1373"/>
      <c r="N1373"/>
      <c r="O1373">
        <v>295</v>
      </c>
      <c r="P1373">
        <v>75</v>
      </c>
      <c r="Q1373" s="4">
        <v>22125</v>
      </c>
      <c r="R1373">
        <v>64.900000000000006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 s="3">
        <v>42562</v>
      </c>
      <c r="AC1373" t="s">
        <v>53</v>
      </c>
      <c r="AD1373" t="s">
        <v>53</v>
      </c>
      <c r="AK1373">
        <v>64.900000000000006</v>
      </c>
      <c r="AU1373" s="3">
        <v>42403</v>
      </c>
      <c r="AV1373" s="3">
        <v>42403</v>
      </c>
      <c r="AW1373" t="s">
        <v>54</v>
      </c>
      <c r="AX1373" t="str">
        <f t="shared" si="183"/>
        <v>FOR</v>
      </c>
      <c r="AY1373" t="s">
        <v>55</v>
      </c>
    </row>
    <row r="1374" spans="1:51" hidden="1">
      <c r="A1374">
        <v>101317</v>
      </c>
      <c r="B1374" t="s">
        <v>224</v>
      </c>
      <c r="C1374" t="str">
        <f t="shared" si="181"/>
        <v>00592310627</v>
      </c>
      <c r="D1374" t="str">
        <f t="shared" si="182"/>
        <v>DNGGTN52A01A783M</v>
      </c>
      <c r="E1374" t="s">
        <v>52</v>
      </c>
      <c r="F1374">
        <v>2015</v>
      </c>
      <c r="G1374" t="str">
        <f>"         000083-2015"</f>
        <v xml:space="preserve">         000083-2015</v>
      </c>
      <c r="H1374" s="3">
        <v>42268</v>
      </c>
      <c r="I1374" s="3">
        <v>42268</v>
      </c>
      <c r="J1374" s="3">
        <v>42268</v>
      </c>
      <c r="K1374" s="3">
        <v>42328</v>
      </c>
      <c r="L1374"/>
      <c r="N1374"/>
      <c r="O1374">
        <v>639</v>
      </c>
      <c r="P1374">
        <v>75</v>
      </c>
      <c r="Q1374" s="4">
        <v>47925</v>
      </c>
      <c r="R1374">
        <v>140.58000000000001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 s="3">
        <v>42562</v>
      </c>
      <c r="AC1374" t="s">
        <v>53</v>
      </c>
      <c r="AD1374" t="s">
        <v>53</v>
      </c>
      <c r="AK1374">
        <v>140.58000000000001</v>
      </c>
      <c r="AU1374" s="3">
        <v>42403</v>
      </c>
      <c r="AV1374" s="3">
        <v>42403</v>
      </c>
      <c r="AW1374" t="s">
        <v>54</v>
      </c>
      <c r="AX1374" t="str">
        <f t="shared" si="183"/>
        <v>FOR</v>
      </c>
      <c r="AY1374" t="s">
        <v>55</v>
      </c>
    </row>
    <row r="1375" spans="1:51" hidden="1">
      <c r="A1375">
        <v>101317</v>
      </c>
      <c r="B1375" t="s">
        <v>224</v>
      </c>
      <c r="C1375" t="str">
        <f t="shared" si="181"/>
        <v>00592310627</v>
      </c>
      <c r="D1375" t="str">
        <f t="shared" si="182"/>
        <v>DNGGTN52A01A783M</v>
      </c>
      <c r="E1375" t="s">
        <v>52</v>
      </c>
      <c r="F1375">
        <v>2015</v>
      </c>
      <c r="G1375" t="str">
        <f>"         000084-2015"</f>
        <v xml:space="preserve">         000084-2015</v>
      </c>
      <c r="H1375" s="3">
        <v>42268</v>
      </c>
      <c r="I1375" s="3">
        <v>42268</v>
      </c>
      <c r="J1375" s="3">
        <v>42268</v>
      </c>
      <c r="K1375" s="3">
        <v>42328</v>
      </c>
      <c r="L1375"/>
      <c r="N1375"/>
      <c r="O1375">
        <v>738</v>
      </c>
      <c r="P1375">
        <v>75</v>
      </c>
      <c r="Q1375" s="4">
        <v>55350</v>
      </c>
      <c r="R1375">
        <v>162.36000000000001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 s="3">
        <v>42562</v>
      </c>
      <c r="AC1375" t="s">
        <v>53</v>
      </c>
      <c r="AD1375" t="s">
        <v>53</v>
      </c>
      <c r="AK1375">
        <v>162.36000000000001</v>
      </c>
      <c r="AU1375" s="3">
        <v>42403</v>
      </c>
      <c r="AV1375" s="3">
        <v>42403</v>
      </c>
      <c r="AW1375" t="s">
        <v>54</v>
      </c>
      <c r="AX1375" t="str">
        <f t="shared" si="183"/>
        <v>FOR</v>
      </c>
      <c r="AY1375" t="s">
        <v>55</v>
      </c>
    </row>
    <row r="1376" spans="1:51" hidden="1">
      <c r="A1376">
        <v>101317</v>
      </c>
      <c r="B1376" t="s">
        <v>224</v>
      </c>
      <c r="C1376" t="str">
        <f t="shared" si="181"/>
        <v>00592310627</v>
      </c>
      <c r="D1376" t="str">
        <f t="shared" si="182"/>
        <v>DNGGTN52A01A783M</v>
      </c>
      <c r="E1376" t="s">
        <v>52</v>
      </c>
      <c r="F1376">
        <v>2015</v>
      </c>
      <c r="G1376" t="str">
        <f>"         000085-2015"</f>
        <v xml:space="preserve">         000085-2015</v>
      </c>
      <c r="H1376" s="3">
        <v>42268</v>
      </c>
      <c r="I1376" s="3">
        <v>42268</v>
      </c>
      <c r="J1376" s="3">
        <v>42268</v>
      </c>
      <c r="K1376" s="3">
        <v>42328</v>
      </c>
      <c r="L1376"/>
      <c r="N1376"/>
      <c r="O1376">
        <v>610</v>
      </c>
      <c r="P1376">
        <v>75</v>
      </c>
      <c r="Q1376" s="4">
        <v>45750</v>
      </c>
      <c r="R1376">
        <v>134.19999999999999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 s="3">
        <v>42562</v>
      </c>
      <c r="AC1376" t="s">
        <v>53</v>
      </c>
      <c r="AD1376" t="s">
        <v>53</v>
      </c>
      <c r="AK1376">
        <v>134.19999999999999</v>
      </c>
      <c r="AU1376" s="3">
        <v>42403</v>
      </c>
      <c r="AV1376" s="3">
        <v>42403</v>
      </c>
      <c r="AW1376" t="s">
        <v>54</v>
      </c>
      <c r="AX1376" t="str">
        <f t="shared" si="183"/>
        <v>FOR</v>
      </c>
      <c r="AY1376" t="s">
        <v>55</v>
      </c>
    </row>
    <row r="1377" spans="1:51" hidden="1">
      <c r="A1377">
        <v>101317</v>
      </c>
      <c r="B1377" t="s">
        <v>224</v>
      </c>
      <c r="C1377" t="str">
        <f t="shared" si="181"/>
        <v>00592310627</v>
      </c>
      <c r="D1377" t="str">
        <f t="shared" si="182"/>
        <v>DNGGTN52A01A783M</v>
      </c>
      <c r="E1377" t="s">
        <v>52</v>
      </c>
      <c r="F1377">
        <v>2015</v>
      </c>
      <c r="G1377" t="str">
        <f>"         000086-2015"</f>
        <v xml:space="preserve">         000086-2015</v>
      </c>
      <c r="H1377" s="3">
        <v>42268</v>
      </c>
      <c r="I1377" s="3">
        <v>42268</v>
      </c>
      <c r="J1377" s="3">
        <v>42268</v>
      </c>
      <c r="K1377" s="3">
        <v>42328</v>
      </c>
      <c r="L1377"/>
      <c r="N1377"/>
      <c r="O1377">
        <v>533</v>
      </c>
      <c r="P1377">
        <v>75</v>
      </c>
      <c r="Q1377" s="4">
        <v>39975</v>
      </c>
      <c r="R1377">
        <v>117.26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 s="3">
        <v>42562</v>
      </c>
      <c r="AC1377" t="s">
        <v>53</v>
      </c>
      <c r="AD1377" t="s">
        <v>53</v>
      </c>
      <c r="AK1377">
        <v>117.26</v>
      </c>
      <c r="AU1377" s="3">
        <v>42403</v>
      </c>
      <c r="AV1377" s="3">
        <v>42403</v>
      </c>
      <c r="AW1377" t="s">
        <v>54</v>
      </c>
      <c r="AX1377" t="str">
        <f t="shared" si="183"/>
        <v>FOR</v>
      </c>
      <c r="AY1377" t="s">
        <v>55</v>
      </c>
    </row>
    <row r="1378" spans="1:51" hidden="1">
      <c r="A1378">
        <v>101317</v>
      </c>
      <c r="B1378" t="s">
        <v>224</v>
      </c>
      <c r="C1378" t="str">
        <f t="shared" si="181"/>
        <v>00592310627</v>
      </c>
      <c r="D1378" t="str">
        <f t="shared" si="182"/>
        <v>DNGGTN52A01A783M</v>
      </c>
      <c r="E1378" t="s">
        <v>52</v>
      </c>
      <c r="F1378">
        <v>2015</v>
      </c>
      <c r="G1378" t="str">
        <f>"         000087-2015"</f>
        <v xml:space="preserve">         000087-2015</v>
      </c>
      <c r="H1378" s="3">
        <v>42268</v>
      </c>
      <c r="I1378" s="3">
        <v>42268</v>
      </c>
      <c r="J1378" s="3">
        <v>42268</v>
      </c>
      <c r="K1378" s="3">
        <v>42328</v>
      </c>
      <c r="L1378"/>
      <c r="N1378"/>
      <c r="O1378">
        <v>376</v>
      </c>
      <c r="P1378">
        <v>75</v>
      </c>
      <c r="Q1378" s="4">
        <v>28200</v>
      </c>
      <c r="R1378">
        <v>82.72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 s="3">
        <v>42562</v>
      </c>
      <c r="AC1378" t="s">
        <v>53</v>
      </c>
      <c r="AD1378" t="s">
        <v>53</v>
      </c>
      <c r="AK1378">
        <v>82.72</v>
      </c>
      <c r="AU1378" s="3">
        <v>42403</v>
      </c>
      <c r="AV1378" s="3">
        <v>42403</v>
      </c>
      <c r="AW1378" t="s">
        <v>54</v>
      </c>
      <c r="AX1378" t="str">
        <f t="shared" si="183"/>
        <v>FOR</v>
      </c>
      <c r="AY1378" t="s">
        <v>55</v>
      </c>
    </row>
    <row r="1379" spans="1:51" hidden="1">
      <c r="A1379">
        <v>101317</v>
      </c>
      <c r="B1379" t="s">
        <v>224</v>
      </c>
      <c r="C1379" t="str">
        <f t="shared" si="181"/>
        <v>00592310627</v>
      </c>
      <c r="D1379" t="str">
        <f t="shared" si="182"/>
        <v>DNGGTN52A01A783M</v>
      </c>
      <c r="E1379" t="s">
        <v>52</v>
      </c>
      <c r="F1379">
        <v>2015</v>
      </c>
      <c r="G1379" t="str">
        <f>"         000089-2015"</f>
        <v xml:space="preserve">         000089-2015</v>
      </c>
      <c r="H1379" s="3">
        <v>42278</v>
      </c>
      <c r="I1379" s="3">
        <v>42278</v>
      </c>
      <c r="J1379" s="3">
        <v>42278</v>
      </c>
      <c r="K1379" s="3">
        <v>42338</v>
      </c>
      <c r="L1379"/>
      <c r="N1379"/>
      <c r="O1379">
        <v>189.8</v>
      </c>
      <c r="P1379">
        <v>65</v>
      </c>
      <c r="Q1379" s="4">
        <v>12337</v>
      </c>
      <c r="R1379">
        <v>41.76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 s="3">
        <v>42562</v>
      </c>
      <c r="AC1379" t="s">
        <v>53</v>
      </c>
      <c r="AD1379" t="s">
        <v>53</v>
      </c>
      <c r="AK1379">
        <v>41.76</v>
      </c>
      <c r="AU1379" s="3">
        <v>42403</v>
      </c>
      <c r="AV1379" s="3">
        <v>42403</v>
      </c>
      <c r="AW1379" t="s">
        <v>54</v>
      </c>
      <c r="AX1379" t="str">
        <f t="shared" si="183"/>
        <v>FOR</v>
      </c>
      <c r="AY1379" t="s">
        <v>55</v>
      </c>
    </row>
    <row r="1380" spans="1:51" hidden="1">
      <c r="A1380">
        <v>101317</v>
      </c>
      <c r="B1380" t="s">
        <v>224</v>
      </c>
      <c r="C1380" t="str">
        <f t="shared" si="181"/>
        <v>00592310627</v>
      </c>
      <c r="D1380" t="str">
        <f t="shared" si="182"/>
        <v>DNGGTN52A01A783M</v>
      </c>
      <c r="E1380" t="s">
        <v>52</v>
      </c>
      <c r="F1380">
        <v>2015</v>
      </c>
      <c r="G1380" t="str">
        <f>"         000090-2015"</f>
        <v xml:space="preserve">         000090-2015</v>
      </c>
      <c r="H1380" s="3">
        <v>42278</v>
      </c>
      <c r="I1380" s="3">
        <v>42278</v>
      </c>
      <c r="J1380" s="3">
        <v>42278</v>
      </c>
      <c r="K1380" s="3">
        <v>42338</v>
      </c>
      <c r="L1380"/>
      <c r="N1380"/>
      <c r="O1380">
        <v>90</v>
      </c>
      <c r="P1380">
        <v>65</v>
      </c>
      <c r="Q1380" s="4">
        <v>5850</v>
      </c>
      <c r="R1380">
        <v>19.8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 s="3">
        <v>42562</v>
      </c>
      <c r="AC1380" t="s">
        <v>53</v>
      </c>
      <c r="AD1380" t="s">
        <v>53</v>
      </c>
      <c r="AK1380">
        <v>19.8</v>
      </c>
      <c r="AU1380" s="3">
        <v>42403</v>
      </c>
      <c r="AV1380" s="3">
        <v>42403</v>
      </c>
      <c r="AW1380" t="s">
        <v>54</v>
      </c>
      <c r="AX1380" t="str">
        <f t="shared" si="183"/>
        <v>FOR</v>
      </c>
      <c r="AY1380" t="s">
        <v>55</v>
      </c>
    </row>
    <row r="1381" spans="1:51" hidden="1">
      <c r="A1381">
        <v>101317</v>
      </c>
      <c r="B1381" t="s">
        <v>224</v>
      </c>
      <c r="C1381" t="str">
        <f t="shared" si="181"/>
        <v>00592310627</v>
      </c>
      <c r="D1381" t="str">
        <f t="shared" si="182"/>
        <v>DNGGTN52A01A783M</v>
      </c>
      <c r="E1381" t="s">
        <v>52</v>
      </c>
      <c r="F1381">
        <v>2015</v>
      </c>
      <c r="G1381" t="str">
        <f>"         000091-2015"</f>
        <v xml:space="preserve">         000091-2015</v>
      </c>
      <c r="H1381" s="3">
        <v>42278</v>
      </c>
      <c r="I1381" s="3">
        <v>42278</v>
      </c>
      <c r="J1381" s="3">
        <v>42278</v>
      </c>
      <c r="K1381" s="3">
        <v>42338</v>
      </c>
      <c r="L1381"/>
      <c r="N1381"/>
      <c r="O1381">
        <v>524</v>
      </c>
      <c r="P1381">
        <v>65</v>
      </c>
      <c r="Q1381" s="4">
        <v>34060</v>
      </c>
      <c r="R1381">
        <v>115.28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 s="3">
        <v>42562</v>
      </c>
      <c r="AC1381" t="s">
        <v>53</v>
      </c>
      <c r="AD1381" t="s">
        <v>53</v>
      </c>
      <c r="AK1381">
        <v>115.28</v>
      </c>
      <c r="AU1381" s="3">
        <v>42403</v>
      </c>
      <c r="AV1381" s="3">
        <v>42403</v>
      </c>
      <c r="AW1381" t="s">
        <v>54</v>
      </c>
      <c r="AX1381" t="str">
        <f t="shared" si="183"/>
        <v>FOR</v>
      </c>
      <c r="AY1381" t="s">
        <v>55</v>
      </c>
    </row>
    <row r="1382" spans="1:51" hidden="1">
      <c r="A1382">
        <v>101317</v>
      </c>
      <c r="B1382" t="s">
        <v>224</v>
      </c>
      <c r="C1382" t="str">
        <f t="shared" si="181"/>
        <v>00592310627</v>
      </c>
      <c r="D1382" t="str">
        <f t="shared" si="182"/>
        <v>DNGGTN52A01A783M</v>
      </c>
      <c r="E1382" t="s">
        <v>52</v>
      </c>
      <c r="F1382">
        <v>2015</v>
      </c>
      <c r="G1382" t="str">
        <f>"         000092-2015"</f>
        <v xml:space="preserve">         000092-2015</v>
      </c>
      <c r="H1382" s="3">
        <v>42278</v>
      </c>
      <c r="I1382" s="3">
        <v>42278</v>
      </c>
      <c r="J1382" s="3">
        <v>42278</v>
      </c>
      <c r="K1382" s="3">
        <v>42338</v>
      </c>
      <c r="L1382"/>
      <c r="N1382"/>
      <c r="O1382">
        <v>12.5</v>
      </c>
      <c r="P1382">
        <v>65</v>
      </c>
      <c r="Q1382">
        <v>812.5</v>
      </c>
      <c r="R1382">
        <v>2.75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 s="3">
        <v>42562</v>
      </c>
      <c r="AC1382" t="s">
        <v>53</v>
      </c>
      <c r="AD1382" t="s">
        <v>53</v>
      </c>
      <c r="AK1382">
        <v>2.75</v>
      </c>
      <c r="AU1382" s="3">
        <v>42403</v>
      </c>
      <c r="AV1382" s="3">
        <v>42403</v>
      </c>
      <c r="AW1382" t="s">
        <v>54</v>
      </c>
      <c r="AX1382" t="str">
        <f t="shared" si="183"/>
        <v>FOR</v>
      </c>
      <c r="AY1382" t="s">
        <v>55</v>
      </c>
    </row>
    <row r="1383" spans="1:51" hidden="1">
      <c r="A1383">
        <v>101317</v>
      </c>
      <c r="B1383" t="s">
        <v>224</v>
      </c>
      <c r="C1383" t="str">
        <f t="shared" si="181"/>
        <v>00592310627</v>
      </c>
      <c r="D1383" t="str">
        <f t="shared" si="182"/>
        <v>DNGGTN52A01A783M</v>
      </c>
      <c r="E1383" t="s">
        <v>52</v>
      </c>
      <c r="F1383">
        <v>2015</v>
      </c>
      <c r="G1383" t="str">
        <f>"         000093-2015"</f>
        <v xml:space="preserve">         000093-2015</v>
      </c>
      <c r="H1383" s="3">
        <v>42278</v>
      </c>
      <c r="I1383" s="3">
        <v>42279</v>
      </c>
      <c r="J1383" s="3">
        <v>42278</v>
      </c>
      <c r="K1383" s="3">
        <v>42338</v>
      </c>
      <c r="L1383"/>
      <c r="N1383"/>
      <c r="O1383">
        <v>245</v>
      </c>
      <c r="P1383">
        <v>65</v>
      </c>
      <c r="Q1383" s="4">
        <v>15925</v>
      </c>
      <c r="R1383">
        <v>53.9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 s="3">
        <v>42562</v>
      </c>
      <c r="AC1383" t="s">
        <v>53</v>
      </c>
      <c r="AD1383" t="s">
        <v>53</v>
      </c>
      <c r="AK1383">
        <v>53.9</v>
      </c>
      <c r="AU1383" s="3">
        <v>42403</v>
      </c>
      <c r="AV1383" s="3">
        <v>42403</v>
      </c>
      <c r="AW1383" t="s">
        <v>54</v>
      </c>
      <c r="AX1383" t="str">
        <f t="shared" si="183"/>
        <v>FOR</v>
      </c>
      <c r="AY1383" t="s">
        <v>55</v>
      </c>
    </row>
    <row r="1384" spans="1:51" hidden="1">
      <c r="A1384">
        <v>101317</v>
      </c>
      <c r="B1384" t="s">
        <v>224</v>
      </c>
      <c r="C1384" t="str">
        <f t="shared" si="181"/>
        <v>00592310627</v>
      </c>
      <c r="D1384" t="str">
        <f t="shared" si="182"/>
        <v>DNGGTN52A01A783M</v>
      </c>
      <c r="E1384" t="s">
        <v>52</v>
      </c>
      <c r="F1384">
        <v>2015</v>
      </c>
      <c r="G1384" t="str">
        <f>"         000094-2015"</f>
        <v xml:space="preserve">         000094-2015</v>
      </c>
      <c r="H1384" s="3">
        <v>42278</v>
      </c>
      <c r="I1384" s="3">
        <v>42279</v>
      </c>
      <c r="J1384" s="3">
        <v>42278</v>
      </c>
      <c r="K1384" s="3">
        <v>42338</v>
      </c>
      <c r="L1384"/>
      <c r="N1384"/>
      <c r="O1384">
        <v>135</v>
      </c>
      <c r="P1384">
        <v>65</v>
      </c>
      <c r="Q1384" s="4">
        <v>8775</v>
      </c>
      <c r="R1384">
        <v>29.7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 s="3">
        <v>42562</v>
      </c>
      <c r="AC1384" t="s">
        <v>53</v>
      </c>
      <c r="AD1384" t="s">
        <v>53</v>
      </c>
      <c r="AK1384">
        <v>29.7</v>
      </c>
      <c r="AU1384" s="3">
        <v>42403</v>
      </c>
      <c r="AV1384" s="3">
        <v>42403</v>
      </c>
      <c r="AW1384" t="s">
        <v>54</v>
      </c>
      <c r="AX1384" t="str">
        <f t="shared" si="183"/>
        <v>FOR</v>
      </c>
      <c r="AY1384" t="s">
        <v>55</v>
      </c>
    </row>
    <row r="1385" spans="1:51" hidden="1">
      <c r="A1385">
        <v>101317</v>
      </c>
      <c r="B1385" t="s">
        <v>224</v>
      </c>
      <c r="C1385" t="str">
        <f t="shared" si="181"/>
        <v>00592310627</v>
      </c>
      <c r="D1385" t="str">
        <f t="shared" si="182"/>
        <v>DNGGTN52A01A783M</v>
      </c>
      <c r="E1385" t="s">
        <v>52</v>
      </c>
      <c r="F1385">
        <v>2015</v>
      </c>
      <c r="G1385" t="str">
        <f>"         000095-2015"</f>
        <v xml:space="preserve">         000095-2015</v>
      </c>
      <c r="H1385" s="3">
        <v>42278</v>
      </c>
      <c r="I1385" s="3">
        <v>42279</v>
      </c>
      <c r="J1385" s="3">
        <v>42278</v>
      </c>
      <c r="K1385" s="3">
        <v>42338</v>
      </c>
      <c r="L1385"/>
      <c r="N1385"/>
      <c r="O1385">
        <v>124</v>
      </c>
      <c r="P1385">
        <v>65</v>
      </c>
      <c r="Q1385" s="4">
        <v>8060</v>
      </c>
      <c r="R1385">
        <v>27.28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 s="3">
        <v>42562</v>
      </c>
      <c r="AC1385" t="s">
        <v>53</v>
      </c>
      <c r="AD1385" t="s">
        <v>53</v>
      </c>
      <c r="AK1385">
        <v>27.28</v>
      </c>
      <c r="AU1385" s="3">
        <v>42403</v>
      </c>
      <c r="AV1385" s="3">
        <v>42403</v>
      </c>
      <c r="AW1385" t="s">
        <v>54</v>
      </c>
      <c r="AX1385" t="str">
        <f t="shared" si="183"/>
        <v>FOR</v>
      </c>
      <c r="AY1385" t="s">
        <v>55</v>
      </c>
    </row>
    <row r="1386" spans="1:51" hidden="1">
      <c r="A1386">
        <v>101317</v>
      </c>
      <c r="B1386" t="s">
        <v>224</v>
      </c>
      <c r="C1386" t="str">
        <f t="shared" si="181"/>
        <v>00592310627</v>
      </c>
      <c r="D1386" t="str">
        <f t="shared" si="182"/>
        <v>DNGGTN52A01A783M</v>
      </c>
      <c r="E1386" t="s">
        <v>52</v>
      </c>
      <c r="F1386">
        <v>2015</v>
      </c>
      <c r="G1386" t="str">
        <f>"         000096-2015"</f>
        <v xml:space="preserve">         000096-2015</v>
      </c>
      <c r="H1386" s="3">
        <v>42278</v>
      </c>
      <c r="I1386" s="3">
        <v>42279</v>
      </c>
      <c r="J1386" s="3">
        <v>42278</v>
      </c>
      <c r="K1386" s="3">
        <v>42338</v>
      </c>
      <c r="L1386"/>
      <c r="N1386"/>
      <c r="O1386">
        <v>66.2</v>
      </c>
      <c r="P1386">
        <v>65</v>
      </c>
      <c r="Q1386" s="4">
        <v>4303</v>
      </c>
      <c r="R1386">
        <v>14.56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 s="3">
        <v>42562</v>
      </c>
      <c r="AC1386" t="s">
        <v>53</v>
      </c>
      <c r="AD1386" t="s">
        <v>53</v>
      </c>
      <c r="AK1386">
        <v>14.56</v>
      </c>
      <c r="AU1386" s="3">
        <v>42403</v>
      </c>
      <c r="AV1386" s="3">
        <v>42403</v>
      </c>
      <c r="AW1386" t="s">
        <v>54</v>
      </c>
      <c r="AX1386" t="str">
        <f t="shared" si="183"/>
        <v>FOR</v>
      </c>
      <c r="AY1386" t="s">
        <v>55</v>
      </c>
    </row>
    <row r="1387" spans="1:51" hidden="1">
      <c r="A1387">
        <v>101317</v>
      </c>
      <c r="B1387" t="s">
        <v>224</v>
      </c>
      <c r="C1387" t="str">
        <f t="shared" si="181"/>
        <v>00592310627</v>
      </c>
      <c r="D1387" t="str">
        <f t="shared" si="182"/>
        <v>DNGGTN52A01A783M</v>
      </c>
      <c r="E1387" t="s">
        <v>52</v>
      </c>
      <c r="F1387">
        <v>2015</v>
      </c>
      <c r="G1387" t="str">
        <f>"         000097-2015"</f>
        <v xml:space="preserve">         000097-2015</v>
      </c>
      <c r="H1387" s="3">
        <v>42278</v>
      </c>
      <c r="I1387" s="3">
        <v>42279</v>
      </c>
      <c r="J1387" s="3">
        <v>42278</v>
      </c>
      <c r="K1387" s="3">
        <v>42338</v>
      </c>
      <c r="L1387"/>
      <c r="N1387"/>
      <c r="O1387">
        <v>392</v>
      </c>
      <c r="P1387">
        <v>65</v>
      </c>
      <c r="Q1387" s="4">
        <v>25480</v>
      </c>
      <c r="R1387">
        <v>86.24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 s="3">
        <v>42562</v>
      </c>
      <c r="AC1387" t="s">
        <v>53</v>
      </c>
      <c r="AD1387" t="s">
        <v>53</v>
      </c>
      <c r="AK1387">
        <v>86.24</v>
      </c>
      <c r="AU1387" s="3">
        <v>42403</v>
      </c>
      <c r="AV1387" s="3">
        <v>42403</v>
      </c>
      <c r="AW1387" t="s">
        <v>54</v>
      </c>
      <c r="AX1387" t="str">
        <f t="shared" si="183"/>
        <v>FOR</v>
      </c>
      <c r="AY1387" t="s">
        <v>55</v>
      </c>
    </row>
    <row r="1388" spans="1:51" hidden="1">
      <c r="A1388">
        <v>101317</v>
      </c>
      <c r="B1388" t="s">
        <v>224</v>
      </c>
      <c r="C1388" t="str">
        <f t="shared" si="181"/>
        <v>00592310627</v>
      </c>
      <c r="D1388" t="str">
        <f t="shared" si="182"/>
        <v>DNGGTN52A01A783M</v>
      </c>
      <c r="E1388" t="s">
        <v>52</v>
      </c>
      <c r="F1388">
        <v>2015</v>
      </c>
      <c r="G1388" t="str">
        <f>"         000098-2015"</f>
        <v xml:space="preserve">         000098-2015</v>
      </c>
      <c r="H1388" s="3">
        <v>42278</v>
      </c>
      <c r="I1388" s="3">
        <v>42279</v>
      </c>
      <c r="J1388" s="3">
        <v>42278</v>
      </c>
      <c r="K1388" s="3">
        <v>42338</v>
      </c>
      <c r="L1388"/>
      <c r="N1388"/>
      <c r="O1388">
        <v>66</v>
      </c>
      <c r="P1388">
        <v>65</v>
      </c>
      <c r="Q1388" s="4">
        <v>4290</v>
      </c>
      <c r="R1388">
        <v>14.52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 s="3">
        <v>42562</v>
      </c>
      <c r="AC1388" t="s">
        <v>53</v>
      </c>
      <c r="AD1388" t="s">
        <v>53</v>
      </c>
      <c r="AK1388">
        <v>14.52</v>
      </c>
      <c r="AU1388" s="3">
        <v>42403</v>
      </c>
      <c r="AV1388" s="3">
        <v>42403</v>
      </c>
      <c r="AW1388" t="s">
        <v>54</v>
      </c>
      <c r="AX1388" t="str">
        <f t="shared" si="183"/>
        <v>FOR</v>
      </c>
      <c r="AY1388" t="s">
        <v>55</v>
      </c>
    </row>
    <row r="1389" spans="1:51" hidden="1">
      <c r="A1389">
        <v>101317</v>
      </c>
      <c r="B1389" t="s">
        <v>224</v>
      </c>
      <c r="C1389" t="str">
        <f t="shared" si="181"/>
        <v>00592310627</v>
      </c>
      <c r="D1389" t="str">
        <f t="shared" si="182"/>
        <v>DNGGTN52A01A783M</v>
      </c>
      <c r="E1389" t="s">
        <v>52</v>
      </c>
      <c r="F1389">
        <v>2015</v>
      </c>
      <c r="G1389" t="str">
        <f>"         000102-2015"</f>
        <v xml:space="preserve">         000102-2015</v>
      </c>
      <c r="H1389" s="3">
        <v>42320</v>
      </c>
      <c r="I1389" s="3">
        <v>42320</v>
      </c>
      <c r="J1389" s="3">
        <v>42320</v>
      </c>
      <c r="K1389" s="3">
        <v>42380</v>
      </c>
      <c r="L1389"/>
      <c r="N1389"/>
      <c r="O1389">
        <v>79.8</v>
      </c>
      <c r="P1389">
        <v>23</v>
      </c>
      <c r="Q1389" s="4">
        <v>1835.4</v>
      </c>
      <c r="R1389">
        <v>17.559999999999999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 s="3">
        <v>42562</v>
      </c>
      <c r="AC1389" t="s">
        <v>53</v>
      </c>
      <c r="AD1389" t="s">
        <v>53</v>
      </c>
      <c r="AJ1389">
        <v>17.559999999999999</v>
      </c>
      <c r="AK1389">
        <v>0</v>
      </c>
      <c r="AU1389" s="3">
        <v>42403</v>
      </c>
      <c r="AV1389" s="3">
        <v>42403</v>
      </c>
      <c r="AW1389" t="s">
        <v>54</v>
      </c>
      <c r="AX1389" t="str">
        <f t="shared" si="183"/>
        <v>FOR</v>
      </c>
      <c r="AY1389" t="s">
        <v>55</v>
      </c>
    </row>
    <row r="1390" spans="1:51" hidden="1">
      <c r="A1390">
        <v>101317</v>
      </c>
      <c r="B1390" t="s">
        <v>224</v>
      </c>
      <c r="C1390" t="str">
        <f t="shared" si="181"/>
        <v>00592310627</v>
      </c>
      <c r="D1390" t="str">
        <f t="shared" si="182"/>
        <v>DNGGTN52A01A783M</v>
      </c>
      <c r="E1390" t="s">
        <v>52</v>
      </c>
      <c r="F1390">
        <v>2015</v>
      </c>
      <c r="G1390" t="str">
        <f>"         000103-2015"</f>
        <v xml:space="preserve">         000103-2015</v>
      </c>
      <c r="H1390" s="3">
        <v>42320</v>
      </c>
      <c r="I1390" s="3">
        <v>42321</v>
      </c>
      <c r="J1390" s="3">
        <v>42320</v>
      </c>
      <c r="K1390" s="3">
        <v>42380</v>
      </c>
      <c r="L1390"/>
      <c r="N1390"/>
      <c r="O1390">
        <v>660</v>
      </c>
      <c r="P1390">
        <v>23</v>
      </c>
      <c r="Q1390" s="4">
        <v>15180</v>
      </c>
      <c r="R1390">
        <v>145.19999999999999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 s="3">
        <v>42562</v>
      </c>
      <c r="AC1390" t="s">
        <v>53</v>
      </c>
      <c r="AD1390" t="s">
        <v>53</v>
      </c>
      <c r="AJ1390">
        <v>145.19999999999999</v>
      </c>
      <c r="AK1390">
        <v>0</v>
      </c>
      <c r="AU1390" s="3">
        <v>42403</v>
      </c>
      <c r="AV1390" s="3">
        <v>42403</v>
      </c>
      <c r="AW1390" t="s">
        <v>54</v>
      </c>
      <c r="AX1390" t="str">
        <f t="shared" si="183"/>
        <v>FOR</v>
      </c>
      <c r="AY1390" t="s">
        <v>55</v>
      </c>
    </row>
    <row r="1391" spans="1:51" hidden="1">
      <c r="A1391">
        <v>101317</v>
      </c>
      <c r="B1391" t="s">
        <v>224</v>
      </c>
      <c r="C1391" t="str">
        <f t="shared" si="181"/>
        <v>00592310627</v>
      </c>
      <c r="D1391" t="str">
        <f t="shared" si="182"/>
        <v>DNGGTN52A01A783M</v>
      </c>
      <c r="E1391" t="s">
        <v>52</v>
      </c>
      <c r="F1391">
        <v>2015</v>
      </c>
      <c r="G1391" t="str">
        <f>"         000104-2015"</f>
        <v xml:space="preserve">         000104-2015</v>
      </c>
      <c r="H1391" s="3">
        <v>42320</v>
      </c>
      <c r="I1391" s="3">
        <v>42321</v>
      </c>
      <c r="J1391" s="3">
        <v>42320</v>
      </c>
      <c r="K1391" s="3">
        <v>42380</v>
      </c>
      <c r="L1391"/>
      <c r="N1391"/>
      <c r="O1391">
        <v>19.899999999999999</v>
      </c>
      <c r="P1391">
        <v>23</v>
      </c>
      <c r="Q1391">
        <v>457.7</v>
      </c>
      <c r="R1391">
        <v>4.38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 s="3">
        <v>42562</v>
      </c>
      <c r="AC1391" t="s">
        <v>53</v>
      </c>
      <c r="AD1391" t="s">
        <v>53</v>
      </c>
      <c r="AJ1391">
        <v>4.38</v>
      </c>
      <c r="AK1391">
        <v>0</v>
      </c>
      <c r="AU1391" s="3">
        <v>42403</v>
      </c>
      <c r="AV1391" s="3">
        <v>42403</v>
      </c>
      <c r="AW1391" t="s">
        <v>54</v>
      </c>
      <c r="AX1391" t="str">
        <f t="shared" si="183"/>
        <v>FOR</v>
      </c>
      <c r="AY1391" t="s">
        <v>55</v>
      </c>
    </row>
    <row r="1392" spans="1:51" hidden="1">
      <c r="A1392">
        <v>101317</v>
      </c>
      <c r="B1392" t="s">
        <v>224</v>
      </c>
      <c r="C1392" t="str">
        <f t="shared" si="181"/>
        <v>00592310627</v>
      </c>
      <c r="D1392" t="str">
        <f t="shared" si="182"/>
        <v>DNGGTN52A01A783M</v>
      </c>
      <c r="E1392" t="s">
        <v>52</v>
      </c>
      <c r="F1392">
        <v>2015</v>
      </c>
      <c r="G1392" t="str">
        <f>"         000105-2015"</f>
        <v xml:space="preserve">         000105-2015</v>
      </c>
      <c r="H1392" s="3">
        <v>42320</v>
      </c>
      <c r="I1392" s="3">
        <v>42321</v>
      </c>
      <c r="J1392" s="3">
        <v>42320</v>
      </c>
      <c r="K1392" s="3">
        <v>42380</v>
      </c>
      <c r="L1392"/>
      <c r="N1392"/>
      <c r="O1392">
        <v>508</v>
      </c>
      <c r="P1392">
        <v>23</v>
      </c>
      <c r="Q1392" s="4">
        <v>11684</v>
      </c>
      <c r="R1392">
        <v>111.76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 s="3">
        <v>42562</v>
      </c>
      <c r="AC1392" t="s">
        <v>53</v>
      </c>
      <c r="AD1392" t="s">
        <v>53</v>
      </c>
      <c r="AJ1392">
        <v>111.76</v>
      </c>
      <c r="AK1392">
        <v>0</v>
      </c>
      <c r="AU1392" s="3">
        <v>42403</v>
      </c>
      <c r="AV1392" s="3">
        <v>42403</v>
      </c>
      <c r="AW1392" t="s">
        <v>54</v>
      </c>
      <c r="AX1392" t="str">
        <f t="shared" si="183"/>
        <v>FOR</v>
      </c>
      <c r="AY1392" t="s">
        <v>55</v>
      </c>
    </row>
    <row r="1393" spans="1:51" hidden="1">
      <c r="A1393">
        <v>101317</v>
      </c>
      <c r="B1393" t="s">
        <v>224</v>
      </c>
      <c r="C1393" t="str">
        <f t="shared" si="181"/>
        <v>00592310627</v>
      </c>
      <c r="D1393" t="str">
        <f t="shared" si="182"/>
        <v>DNGGTN52A01A783M</v>
      </c>
      <c r="E1393" t="s">
        <v>52</v>
      </c>
      <c r="F1393">
        <v>2015</v>
      </c>
      <c r="G1393" t="str">
        <f>"         000107-2015"</f>
        <v xml:space="preserve">         000107-2015</v>
      </c>
      <c r="H1393" s="3">
        <v>42321</v>
      </c>
      <c r="I1393" s="3">
        <v>42325</v>
      </c>
      <c r="J1393" s="3">
        <v>42321</v>
      </c>
      <c r="K1393" s="3">
        <v>42381</v>
      </c>
      <c r="L1393"/>
      <c r="N1393"/>
      <c r="O1393">
        <v>95</v>
      </c>
      <c r="P1393">
        <v>22</v>
      </c>
      <c r="Q1393" s="4">
        <v>2090</v>
      </c>
      <c r="R1393">
        <v>20.9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 s="3">
        <v>42562</v>
      </c>
      <c r="AC1393" t="s">
        <v>53</v>
      </c>
      <c r="AD1393" t="s">
        <v>53</v>
      </c>
      <c r="AJ1393">
        <v>20.9</v>
      </c>
      <c r="AK1393">
        <v>0</v>
      </c>
      <c r="AU1393" s="3">
        <v>42403</v>
      </c>
      <c r="AV1393" s="3">
        <v>42403</v>
      </c>
      <c r="AW1393" t="s">
        <v>54</v>
      </c>
      <c r="AX1393" t="str">
        <f t="shared" si="183"/>
        <v>FOR</v>
      </c>
      <c r="AY1393" t="s">
        <v>55</v>
      </c>
    </row>
    <row r="1394" spans="1:51" hidden="1">
      <c r="A1394">
        <v>101317</v>
      </c>
      <c r="B1394" t="s">
        <v>224</v>
      </c>
      <c r="C1394" t="str">
        <f t="shared" si="181"/>
        <v>00592310627</v>
      </c>
      <c r="D1394" t="str">
        <f t="shared" si="182"/>
        <v>DNGGTN52A01A783M</v>
      </c>
      <c r="E1394" t="s">
        <v>52</v>
      </c>
      <c r="F1394">
        <v>2015</v>
      </c>
      <c r="G1394" t="str">
        <f>"         000108-2015"</f>
        <v xml:space="preserve">         000108-2015</v>
      </c>
      <c r="H1394" s="3">
        <v>42321</v>
      </c>
      <c r="I1394" s="3">
        <v>42325</v>
      </c>
      <c r="J1394" s="3">
        <v>42321</v>
      </c>
      <c r="K1394" s="3">
        <v>42381</v>
      </c>
      <c r="L1394"/>
      <c r="N1394"/>
      <c r="O1394">
        <v>448</v>
      </c>
      <c r="P1394">
        <v>22</v>
      </c>
      <c r="Q1394" s="4">
        <v>9856</v>
      </c>
      <c r="R1394">
        <v>98.56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 s="3">
        <v>42562</v>
      </c>
      <c r="AC1394" t="s">
        <v>53</v>
      </c>
      <c r="AD1394" t="s">
        <v>53</v>
      </c>
      <c r="AJ1394">
        <v>98.56</v>
      </c>
      <c r="AK1394">
        <v>0</v>
      </c>
      <c r="AU1394" s="3">
        <v>42403</v>
      </c>
      <c r="AV1394" s="3">
        <v>42403</v>
      </c>
      <c r="AW1394" t="s">
        <v>54</v>
      </c>
      <c r="AX1394" t="str">
        <f t="shared" si="183"/>
        <v>FOR</v>
      </c>
      <c r="AY1394" t="s">
        <v>55</v>
      </c>
    </row>
    <row r="1395" spans="1:51" hidden="1">
      <c r="A1395">
        <v>101317</v>
      </c>
      <c r="B1395" t="s">
        <v>224</v>
      </c>
      <c r="C1395" t="str">
        <f t="shared" si="181"/>
        <v>00592310627</v>
      </c>
      <c r="D1395" t="str">
        <f t="shared" si="182"/>
        <v>DNGGTN52A01A783M</v>
      </c>
      <c r="E1395" t="s">
        <v>52</v>
      </c>
      <c r="F1395">
        <v>2015</v>
      </c>
      <c r="G1395" t="str">
        <f>"         000109-2015"</f>
        <v xml:space="preserve">         000109-2015</v>
      </c>
      <c r="H1395" s="3">
        <v>42321</v>
      </c>
      <c r="I1395" s="3">
        <v>42325</v>
      </c>
      <c r="J1395" s="3">
        <v>42321</v>
      </c>
      <c r="K1395" s="3">
        <v>42381</v>
      </c>
      <c r="L1395"/>
      <c r="N1395"/>
      <c r="O1395">
        <v>180</v>
      </c>
      <c r="P1395">
        <v>22</v>
      </c>
      <c r="Q1395" s="4">
        <v>3960</v>
      </c>
      <c r="R1395">
        <v>39.6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 s="3">
        <v>42562</v>
      </c>
      <c r="AC1395" t="s">
        <v>53</v>
      </c>
      <c r="AD1395" t="s">
        <v>53</v>
      </c>
      <c r="AJ1395">
        <v>39.6</v>
      </c>
      <c r="AK1395">
        <v>0</v>
      </c>
      <c r="AU1395" s="3">
        <v>42403</v>
      </c>
      <c r="AV1395" s="3">
        <v>42403</v>
      </c>
      <c r="AW1395" t="s">
        <v>54</v>
      </c>
      <c r="AX1395" t="str">
        <f t="shared" si="183"/>
        <v>FOR</v>
      </c>
      <c r="AY1395" t="s">
        <v>55</v>
      </c>
    </row>
    <row r="1396" spans="1:51" hidden="1">
      <c r="A1396">
        <v>101317</v>
      </c>
      <c r="B1396" t="s">
        <v>224</v>
      </c>
      <c r="C1396" t="str">
        <f t="shared" si="181"/>
        <v>00592310627</v>
      </c>
      <c r="D1396" t="str">
        <f t="shared" si="182"/>
        <v>DNGGTN52A01A783M</v>
      </c>
      <c r="E1396" t="s">
        <v>52</v>
      </c>
      <c r="F1396">
        <v>2015</v>
      </c>
      <c r="G1396" t="str">
        <f>"         000110-2015"</f>
        <v xml:space="preserve">         000110-2015</v>
      </c>
      <c r="H1396" s="3">
        <v>42321</v>
      </c>
      <c r="I1396" s="3">
        <v>42325</v>
      </c>
      <c r="J1396" s="3">
        <v>42321</v>
      </c>
      <c r="K1396" s="3">
        <v>42381</v>
      </c>
      <c r="L1396"/>
      <c r="N1396"/>
      <c r="O1396">
        <v>45</v>
      </c>
      <c r="P1396">
        <v>22</v>
      </c>
      <c r="Q1396">
        <v>990</v>
      </c>
      <c r="R1396">
        <v>9.9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 s="3">
        <v>42562</v>
      </c>
      <c r="AC1396" t="s">
        <v>53</v>
      </c>
      <c r="AD1396" t="s">
        <v>53</v>
      </c>
      <c r="AJ1396">
        <v>9.9</v>
      </c>
      <c r="AK1396">
        <v>0</v>
      </c>
      <c r="AU1396" s="3">
        <v>42403</v>
      </c>
      <c r="AV1396" s="3">
        <v>42403</v>
      </c>
      <c r="AW1396" t="s">
        <v>54</v>
      </c>
      <c r="AX1396" t="str">
        <f t="shared" si="183"/>
        <v>FOR</v>
      </c>
      <c r="AY1396" t="s">
        <v>55</v>
      </c>
    </row>
    <row r="1397" spans="1:51" hidden="1">
      <c r="A1397">
        <v>101317</v>
      </c>
      <c r="B1397" t="s">
        <v>224</v>
      </c>
      <c r="C1397" t="str">
        <f t="shared" si="181"/>
        <v>00592310627</v>
      </c>
      <c r="D1397" t="str">
        <f t="shared" si="182"/>
        <v>DNGGTN52A01A783M</v>
      </c>
      <c r="E1397" t="s">
        <v>52</v>
      </c>
      <c r="F1397">
        <v>2015</v>
      </c>
      <c r="G1397" t="str">
        <f>"         000111-2015"</f>
        <v xml:space="preserve">         000111-2015</v>
      </c>
      <c r="H1397" s="3">
        <v>42321</v>
      </c>
      <c r="I1397" s="3">
        <v>42325</v>
      </c>
      <c r="J1397" s="3">
        <v>42321</v>
      </c>
      <c r="K1397" s="3">
        <v>42381</v>
      </c>
      <c r="L1397"/>
      <c r="N1397"/>
      <c r="O1397">
        <v>92</v>
      </c>
      <c r="P1397">
        <v>22</v>
      </c>
      <c r="Q1397" s="4">
        <v>2024</v>
      </c>
      <c r="R1397">
        <v>20.239999999999998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 s="3">
        <v>42562</v>
      </c>
      <c r="AC1397" t="s">
        <v>53</v>
      </c>
      <c r="AD1397" t="s">
        <v>53</v>
      </c>
      <c r="AJ1397">
        <v>20.239999999999998</v>
      </c>
      <c r="AK1397">
        <v>0</v>
      </c>
      <c r="AU1397" s="3">
        <v>42403</v>
      </c>
      <c r="AV1397" s="3">
        <v>42403</v>
      </c>
      <c r="AW1397" t="s">
        <v>54</v>
      </c>
      <c r="AX1397" t="str">
        <f t="shared" si="183"/>
        <v>FOR</v>
      </c>
      <c r="AY1397" t="s">
        <v>55</v>
      </c>
    </row>
    <row r="1398" spans="1:51" hidden="1">
      <c r="A1398">
        <v>101317</v>
      </c>
      <c r="B1398" t="s">
        <v>224</v>
      </c>
      <c r="C1398" t="str">
        <f t="shared" si="181"/>
        <v>00592310627</v>
      </c>
      <c r="D1398" t="str">
        <f t="shared" si="182"/>
        <v>DNGGTN52A01A783M</v>
      </c>
      <c r="E1398" t="s">
        <v>52</v>
      </c>
      <c r="F1398">
        <v>2015</v>
      </c>
      <c r="G1398" t="str">
        <f>"         000112-2015"</f>
        <v xml:space="preserve">         000112-2015</v>
      </c>
      <c r="H1398" s="3">
        <v>42321</v>
      </c>
      <c r="I1398" s="3">
        <v>42325</v>
      </c>
      <c r="J1398" s="3">
        <v>42321</v>
      </c>
      <c r="K1398" s="3">
        <v>42381</v>
      </c>
      <c r="L1398"/>
      <c r="N1398"/>
      <c r="O1398">
        <v>180</v>
      </c>
      <c r="P1398">
        <v>22</v>
      </c>
      <c r="Q1398" s="4">
        <v>3960</v>
      </c>
      <c r="R1398">
        <v>39.6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 s="3">
        <v>42562</v>
      </c>
      <c r="AC1398" t="s">
        <v>53</v>
      </c>
      <c r="AD1398" t="s">
        <v>53</v>
      </c>
      <c r="AJ1398">
        <v>39.6</v>
      </c>
      <c r="AK1398">
        <v>0</v>
      </c>
      <c r="AU1398" s="3">
        <v>42403</v>
      </c>
      <c r="AV1398" s="3">
        <v>42403</v>
      </c>
      <c r="AW1398" t="s">
        <v>54</v>
      </c>
      <c r="AX1398" t="str">
        <f t="shared" si="183"/>
        <v>FOR</v>
      </c>
      <c r="AY1398" t="s">
        <v>55</v>
      </c>
    </row>
    <row r="1399" spans="1:51" hidden="1">
      <c r="A1399">
        <v>101317</v>
      </c>
      <c r="B1399" t="s">
        <v>224</v>
      </c>
      <c r="C1399" t="str">
        <f t="shared" si="181"/>
        <v>00592310627</v>
      </c>
      <c r="D1399" t="str">
        <f t="shared" si="182"/>
        <v>DNGGTN52A01A783M</v>
      </c>
      <c r="E1399" t="s">
        <v>52</v>
      </c>
      <c r="F1399">
        <v>2015</v>
      </c>
      <c r="G1399" t="str">
        <f>"         000113-2015"</f>
        <v xml:space="preserve">         000113-2015</v>
      </c>
      <c r="H1399" s="3">
        <v>42321</v>
      </c>
      <c r="I1399" s="3">
        <v>42325</v>
      </c>
      <c r="J1399" s="3">
        <v>42321</v>
      </c>
      <c r="K1399" s="3">
        <v>42381</v>
      </c>
      <c r="L1399"/>
      <c r="N1399"/>
      <c r="O1399">
        <v>98.5</v>
      </c>
      <c r="P1399">
        <v>22</v>
      </c>
      <c r="Q1399" s="4">
        <v>2167</v>
      </c>
      <c r="R1399">
        <v>21.67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 s="3">
        <v>42562</v>
      </c>
      <c r="AC1399" t="s">
        <v>53</v>
      </c>
      <c r="AD1399" t="s">
        <v>53</v>
      </c>
      <c r="AJ1399">
        <v>21.67</v>
      </c>
      <c r="AK1399">
        <v>0</v>
      </c>
      <c r="AU1399" s="3">
        <v>42403</v>
      </c>
      <c r="AV1399" s="3">
        <v>42403</v>
      </c>
      <c r="AW1399" t="s">
        <v>54</v>
      </c>
      <c r="AX1399" t="str">
        <f t="shared" si="183"/>
        <v>FOR</v>
      </c>
      <c r="AY1399" t="s">
        <v>55</v>
      </c>
    </row>
    <row r="1400" spans="1:51" hidden="1">
      <c r="A1400">
        <v>101317</v>
      </c>
      <c r="B1400" t="s">
        <v>224</v>
      </c>
      <c r="C1400" t="str">
        <f t="shared" si="181"/>
        <v>00592310627</v>
      </c>
      <c r="D1400" t="str">
        <f t="shared" si="182"/>
        <v>DNGGTN52A01A783M</v>
      </c>
      <c r="E1400" t="s">
        <v>52</v>
      </c>
      <c r="F1400">
        <v>2015</v>
      </c>
      <c r="G1400" t="str">
        <f>"         000114-2015"</f>
        <v xml:space="preserve">         000114-2015</v>
      </c>
      <c r="H1400" s="3">
        <v>42321</v>
      </c>
      <c r="I1400" s="3">
        <v>42325</v>
      </c>
      <c r="J1400" s="3">
        <v>42321</v>
      </c>
      <c r="K1400" s="3">
        <v>42381</v>
      </c>
      <c r="L1400"/>
      <c r="N1400"/>
      <c r="O1400">
        <v>79.900000000000006</v>
      </c>
      <c r="P1400">
        <v>22</v>
      </c>
      <c r="Q1400" s="4">
        <v>1757.8</v>
      </c>
      <c r="R1400">
        <v>17.579999999999998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 s="3">
        <v>42562</v>
      </c>
      <c r="AC1400" t="s">
        <v>53</v>
      </c>
      <c r="AD1400" t="s">
        <v>53</v>
      </c>
      <c r="AJ1400">
        <v>17.579999999999998</v>
      </c>
      <c r="AK1400">
        <v>0</v>
      </c>
      <c r="AU1400" s="3">
        <v>42403</v>
      </c>
      <c r="AV1400" s="3">
        <v>42403</v>
      </c>
      <c r="AW1400" t="s">
        <v>54</v>
      </c>
      <c r="AX1400" t="str">
        <f t="shared" si="183"/>
        <v>FOR</v>
      </c>
      <c r="AY1400" t="s">
        <v>55</v>
      </c>
    </row>
    <row r="1401" spans="1:51" hidden="1">
      <c r="A1401">
        <v>101317</v>
      </c>
      <c r="B1401" t="s">
        <v>224</v>
      </c>
      <c r="C1401" t="str">
        <f t="shared" si="181"/>
        <v>00592310627</v>
      </c>
      <c r="D1401" t="str">
        <f t="shared" si="182"/>
        <v>DNGGTN52A01A783M</v>
      </c>
      <c r="E1401" t="s">
        <v>52</v>
      </c>
      <c r="F1401">
        <v>2015</v>
      </c>
      <c r="G1401" t="str">
        <f>"         000115-2015"</f>
        <v xml:space="preserve">         000115-2015</v>
      </c>
      <c r="H1401" s="3">
        <v>42321</v>
      </c>
      <c r="I1401" s="3">
        <v>42325</v>
      </c>
      <c r="J1401" s="3">
        <v>42321</v>
      </c>
      <c r="K1401" s="3">
        <v>42381</v>
      </c>
      <c r="L1401"/>
      <c r="N1401"/>
      <c r="O1401">
        <v>159.9</v>
      </c>
      <c r="P1401">
        <v>22</v>
      </c>
      <c r="Q1401" s="4">
        <v>3517.8</v>
      </c>
      <c r="R1401">
        <v>35.18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 s="3">
        <v>42562</v>
      </c>
      <c r="AC1401" t="s">
        <v>53</v>
      </c>
      <c r="AD1401" t="s">
        <v>53</v>
      </c>
      <c r="AJ1401">
        <v>35.18</v>
      </c>
      <c r="AK1401">
        <v>0</v>
      </c>
      <c r="AU1401" s="3">
        <v>42403</v>
      </c>
      <c r="AV1401" s="3">
        <v>42403</v>
      </c>
      <c r="AW1401" t="s">
        <v>54</v>
      </c>
      <c r="AX1401" t="str">
        <f t="shared" si="183"/>
        <v>FOR</v>
      </c>
      <c r="AY1401" t="s">
        <v>55</v>
      </c>
    </row>
    <row r="1402" spans="1:51" hidden="1">
      <c r="A1402">
        <v>101317</v>
      </c>
      <c r="B1402" t="s">
        <v>224</v>
      </c>
      <c r="C1402" t="str">
        <f t="shared" si="181"/>
        <v>00592310627</v>
      </c>
      <c r="D1402" t="str">
        <f t="shared" si="182"/>
        <v>DNGGTN52A01A783M</v>
      </c>
      <c r="E1402" t="s">
        <v>52</v>
      </c>
      <c r="F1402">
        <v>2015</v>
      </c>
      <c r="G1402" t="str">
        <f>"         000116-2015"</f>
        <v xml:space="preserve">         000116-2015</v>
      </c>
      <c r="H1402" s="3">
        <v>42321</v>
      </c>
      <c r="I1402" s="3">
        <v>42325</v>
      </c>
      <c r="J1402" s="3">
        <v>42321</v>
      </c>
      <c r="K1402" s="3">
        <v>42381</v>
      </c>
      <c r="L1402"/>
      <c r="N1402"/>
      <c r="O1402">
        <v>35</v>
      </c>
      <c r="P1402">
        <v>22</v>
      </c>
      <c r="Q1402">
        <v>770</v>
      </c>
      <c r="R1402">
        <v>7.7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 s="3">
        <v>42562</v>
      </c>
      <c r="AC1402" t="s">
        <v>53</v>
      </c>
      <c r="AD1402" t="s">
        <v>53</v>
      </c>
      <c r="AJ1402">
        <v>7.7</v>
      </c>
      <c r="AK1402">
        <v>0</v>
      </c>
      <c r="AU1402" s="3">
        <v>42403</v>
      </c>
      <c r="AV1402" s="3">
        <v>42403</v>
      </c>
      <c r="AW1402" t="s">
        <v>54</v>
      </c>
      <c r="AX1402" t="str">
        <f t="shared" si="183"/>
        <v>FOR</v>
      </c>
      <c r="AY1402" t="s">
        <v>55</v>
      </c>
    </row>
    <row r="1403" spans="1:51" hidden="1">
      <c r="A1403">
        <v>101317</v>
      </c>
      <c r="B1403" t="s">
        <v>224</v>
      </c>
      <c r="C1403" t="str">
        <f t="shared" si="181"/>
        <v>00592310627</v>
      </c>
      <c r="D1403" t="str">
        <f t="shared" si="182"/>
        <v>DNGGTN52A01A783M</v>
      </c>
      <c r="E1403" t="s">
        <v>52</v>
      </c>
      <c r="F1403">
        <v>2015</v>
      </c>
      <c r="G1403" t="str">
        <f>"         000118-2015"</f>
        <v xml:space="preserve">         000118-2015</v>
      </c>
      <c r="H1403" s="3">
        <v>42332</v>
      </c>
      <c r="I1403" s="3">
        <v>42333</v>
      </c>
      <c r="J1403" s="3">
        <v>42332</v>
      </c>
      <c r="K1403" s="3">
        <v>42392</v>
      </c>
      <c r="L1403"/>
      <c r="N1403"/>
      <c r="O1403">
        <v>167.5</v>
      </c>
      <c r="P1403">
        <v>11</v>
      </c>
      <c r="Q1403" s="4">
        <v>1842.5</v>
      </c>
      <c r="R1403">
        <v>36.85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 s="3">
        <v>42562</v>
      </c>
      <c r="AC1403" t="s">
        <v>53</v>
      </c>
      <c r="AD1403" t="s">
        <v>53</v>
      </c>
      <c r="AJ1403">
        <v>36.85</v>
      </c>
      <c r="AK1403">
        <v>0</v>
      </c>
      <c r="AU1403" s="3">
        <v>42403</v>
      </c>
      <c r="AV1403" s="3">
        <v>42403</v>
      </c>
      <c r="AW1403" t="s">
        <v>54</v>
      </c>
      <c r="AX1403" t="str">
        <f t="shared" si="183"/>
        <v>FOR</v>
      </c>
      <c r="AY1403" t="s">
        <v>55</v>
      </c>
    </row>
    <row r="1404" spans="1:51" hidden="1">
      <c r="A1404">
        <v>101317</v>
      </c>
      <c r="B1404" t="s">
        <v>224</v>
      </c>
      <c r="C1404" t="str">
        <f t="shared" ref="C1404:C1421" si="184">"00592310627"</f>
        <v>00592310627</v>
      </c>
      <c r="D1404" t="str">
        <f t="shared" ref="D1404:D1421" si="185">"DNGGTN52A01A783M"</f>
        <v>DNGGTN52A01A783M</v>
      </c>
      <c r="E1404" t="s">
        <v>52</v>
      </c>
      <c r="F1404">
        <v>2015</v>
      </c>
      <c r="G1404" t="str">
        <f>"         000119-2015"</f>
        <v xml:space="preserve">         000119-2015</v>
      </c>
      <c r="H1404" s="3">
        <v>42332</v>
      </c>
      <c r="I1404" s="3">
        <v>42333</v>
      </c>
      <c r="J1404" s="3">
        <v>42332</v>
      </c>
      <c r="K1404" s="3">
        <v>42392</v>
      </c>
      <c r="L1404"/>
      <c r="N1404"/>
      <c r="O1404">
        <v>52.5</v>
      </c>
      <c r="P1404">
        <v>11</v>
      </c>
      <c r="Q1404">
        <v>577.5</v>
      </c>
      <c r="R1404">
        <v>11.55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 s="3">
        <v>42562</v>
      </c>
      <c r="AC1404" t="s">
        <v>53</v>
      </c>
      <c r="AD1404" t="s">
        <v>53</v>
      </c>
      <c r="AJ1404">
        <v>11.55</v>
      </c>
      <c r="AK1404">
        <v>0</v>
      </c>
      <c r="AU1404" s="3">
        <v>42403</v>
      </c>
      <c r="AV1404" s="3">
        <v>42403</v>
      </c>
      <c r="AW1404" t="s">
        <v>54</v>
      </c>
      <c r="AX1404" t="str">
        <f t="shared" ref="AX1404:AX1435" si="186">"FOR"</f>
        <v>FOR</v>
      </c>
      <c r="AY1404" t="s">
        <v>55</v>
      </c>
    </row>
    <row r="1405" spans="1:51" hidden="1">
      <c r="A1405">
        <v>101317</v>
      </c>
      <c r="B1405" t="s">
        <v>224</v>
      </c>
      <c r="C1405" t="str">
        <f t="shared" si="184"/>
        <v>00592310627</v>
      </c>
      <c r="D1405" t="str">
        <f t="shared" si="185"/>
        <v>DNGGTN52A01A783M</v>
      </c>
      <c r="E1405" t="s">
        <v>52</v>
      </c>
      <c r="F1405">
        <v>2015</v>
      </c>
      <c r="G1405" t="str">
        <f>"         000120-2015"</f>
        <v xml:space="preserve">         000120-2015</v>
      </c>
      <c r="H1405" s="3">
        <v>42332</v>
      </c>
      <c r="I1405" s="3">
        <v>42333</v>
      </c>
      <c r="J1405" s="3">
        <v>42332</v>
      </c>
      <c r="K1405" s="3">
        <v>42392</v>
      </c>
      <c r="L1405"/>
      <c r="N1405"/>
      <c r="O1405">
        <v>90</v>
      </c>
      <c r="P1405">
        <v>11</v>
      </c>
      <c r="Q1405">
        <v>990</v>
      </c>
      <c r="R1405">
        <v>19.8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 s="3">
        <v>42562</v>
      </c>
      <c r="AC1405" t="s">
        <v>53</v>
      </c>
      <c r="AD1405" t="s">
        <v>53</v>
      </c>
      <c r="AJ1405">
        <v>19.8</v>
      </c>
      <c r="AK1405">
        <v>0</v>
      </c>
      <c r="AU1405" s="3">
        <v>42403</v>
      </c>
      <c r="AV1405" s="3">
        <v>42403</v>
      </c>
      <c r="AW1405" t="s">
        <v>54</v>
      </c>
      <c r="AX1405" t="str">
        <f t="shared" si="186"/>
        <v>FOR</v>
      </c>
      <c r="AY1405" t="s">
        <v>55</v>
      </c>
    </row>
    <row r="1406" spans="1:51" hidden="1">
      <c r="A1406">
        <v>101317</v>
      </c>
      <c r="B1406" t="s">
        <v>224</v>
      </c>
      <c r="C1406" t="str">
        <f t="shared" si="184"/>
        <v>00592310627</v>
      </c>
      <c r="D1406" t="str">
        <f t="shared" si="185"/>
        <v>DNGGTN52A01A783M</v>
      </c>
      <c r="E1406" t="s">
        <v>52</v>
      </c>
      <c r="F1406">
        <v>2015</v>
      </c>
      <c r="G1406" t="str">
        <f>"         000121-2015"</f>
        <v xml:space="preserve">         000121-2015</v>
      </c>
      <c r="H1406" s="3">
        <v>42332</v>
      </c>
      <c r="I1406" s="3">
        <v>42333</v>
      </c>
      <c r="J1406" s="3">
        <v>42332</v>
      </c>
      <c r="K1406" s="3">
        <v>42392</v>
      </c>
      <c r="L1406"/>
      <c r="N1406"/>
      <c r="O1406">
        <v>37.4</v>
      </c>
      <c r="P1406">
        <v>11</v>
      </c>
      <c r="Q1406">
        <v>411.4</v>
      </c>
      <c r="R1406">
        <v>8.23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 s="3">
        <v>42562</v>
      </c>
      <c r="AC1406" t="s">
        <v>53</v>
      </c>
      <c r="AD1406" t="s">
        <v>53</v>
      </c>
      <c r="AJ1406">
        <v>8.23</v>
      </c>
      <c r="AK1406">
        <v>0</v>
      </c>
      <c r="AU1406" s="3">
        <v>42403</v>
      </c>
      <c r="AV1406" s="3">
        <v>42403</v>
      </c>
      <c r="AW1406" t="s">
        <v>54</v>
      </c>
      <c r="AX1406" t="str">
        <f t="shared" si="186"/>
        <v>FOR</v>
      </c>
      <c r="AY1406" t="s">
        <v>55</v>
      </c>
    </row>
    <row r="1407" spans="1:51" hidden="1">
      <c r="A1407">
        <v>101317</v>
      </c>
      <c r="B1407" t="s">
        <v>224</v>
      </c>
      <c r="C1407" t="str">
        <f t="shared" si="184"/>
        <v>00592310627</v>
      </c>
      <c r="D1407" t="str">
        <f t="shared" si="185"/>
        <v>DNGGTN52A01A783M</v>
      </c>
      <c r="E1407" t="s">
        <v>52</v>
      </c>
      <c r="F1407">
        <v>2015</v>
      </c>
      <c r="G1407" t="str">
        <f>"         000122-2015"</f>
        <v xml:space="preserve">         000122-2015</v>
      </c>
      <c r="H1407" s="3">
        <v>42332</v>
      </c>
      <c r="I1407" s="3">
        <v>42333</v>
      </c>
      <c r="J1407" s="3">
        <v>42332</v>
      </c>
      <c r="K1407" s="3">
        <v>42392</v>
      </c>
      <c r="L1407"/>
      <c r="N1407"/>
      <c r="O1407">
        <v>79.8</v>
      </c>
      <c r="P1407">
        <v>11</v>
      </c>
      <c r="Q1407">
        <v>877.8</v>
      </c>
      <c r="R1407">
        <v>17.559999999999999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 s="3">
        <v>42562</v>
      </c>
      <c r="AC1407" t="s">
        <v>53</v>
      </c>
      <c r="AD1407" t="s">
        <v>53</v>
      </c>
      <c r="AJ1407">
        <v>17.559999999999999</v>
      </c>
      <c r="AK1407">
        <v>0</v>
      </c>
      <c r="AU1407" s="3">
        <v>42403</v>
      </c>
      <c r="AV1407" s="3">
        <v>42403</v>
      </c>
      <c r="AW1407" t="s">
        <v>54</v>
      </c>
      <c r="AX1407" t="str">
        <f t="shared" si="186"/>
        <v>FOR</v>
      </c>
      <c r="AY1407" t="s">
        <v>55</v>
      </c>
    </row>
    <row r="1408" spans="1:51" hidden="1">
      <c r="A1408">
        <v>101317</v>
      </c>
      <c r="B1408" t="s">
        <v>224</v>
      </c>
      <c r="C1408" t="str">
        <f t="shared" si="184"/>
        <v>00592310627</v>
      </c>
      <c r="D1408" t="str">
        <f t="shared" si="185"/>
        <v>DNGGTN52A01A783M</v>
      </c>
      <c r="E1408" t="s">
        <v>52</v>
      </c>
      <c r="F1408">
        <v>2015</v>
      </c>
      <c r="G1408" t="str">
        <f>"         000123-2015"</f>
        <v xml:space="preserve">         000123-2015</v>
      </c>
      <c r="H1408" s="3">
        <v>42332</v>
      </c>
      <c r="I1408" s="3">
        <v>42333</v>
      </c>
      <c r="J1408" s="3">
        <v>42332</v>
      </c>
      <c r="K1408" s="3">
        <v>42392</v>
      </c>
      <c r="L1408"/>
      <c r="N1408"/>
      <c r="O1408">
        <v>59.9</v>
      </c>
      <c r="P1408">
        <v>11</v>
      </c>
      <c r="Q1408">
        <v>658.9</v>
      </c>
      <c r="R1408">
        <v>13.18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 s="3">
        <v>42562</v>
      </c>
      <c r="AC1408" t="s">
        <v>53</v>
      </c>
      <c r="AD1408" t="s">
        <v>53</v>
      </c>
      <c r="AJ1408">
        <v>13.18</v>
      </c>
      <c r="AK1408">
        <v>0</v>
      </c>
      <c r="AU1408" s="3">
        <v>42403</v>
      </c>
      <c r="AV1408" s="3">
        <v>42403</v>
      </c>
      <c r="AW1408" t="s">
        <v>54</v>
      </c>
      <c r="AX1408" t="str">
        <f t="shared" si="186"/>
        <v>FOR</v>
      </c>
      <c r="AY1408" t="s">
        <v>55</v>
      </c>
    </row>
    <row r="1409" spans="1:51" hidden="1">
      <c r="A1409">
        <v>101317</v>
      </c>
      <c r="B1409" t="s">
        <v>224</v>
      </c>
      <c r="C1409" t="str">
        <f t="shared" si="184"/>
        <v>00592310627</v>
      </c>
      <c r="D1409" t="str">
        <f t="shared" si="185"/>
        <v>DNGGTN52A01A783M</v>
      </c>
      <c r="E1409" t="s">
        <v>52</v>
      </c>
      <c r="F1409">
        <v>2015</v>
      </c>
      <c r="G1409" t="str">
        <f>"         000124-2015"</f>
        <v xml:space="preserve">         000124-2015</v>
      </c>
      <c r="H1409" s="3">
        <v>42332</v>
      </c>
      <c r="I1409" s="3">
        <v>42333</v>
      </c>
      <c r="J1409" s="3">
        <v>42332</v>
      </c>
      <c r="K1409" s="3">
        <v>42392</v>
      </c>
      <c r="L1409"/>
      <c r="N1409"/>
      <c r="O1409">
        <v>20</v>
      </c>
      <c r="P1409">
        <v>11</v>
      </c>
      <c r="Q1409">
        <v>220</v>
      </c>
      <c r="R1409">
        <v>4.4000000000000004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 s="3">
        <v>42562</v>
      </c>
      <c r="AC1409" t="s">
        <v>53</v>
      </c>
      <c r="AD1409" t="s">
        <v>53</v>
      </c>
      <c r="AJ1409">
        <v>4.4000000000000004</v>
      </c>
      <c r="AK1409">
        <v>0</v>
      </c>
      <c r="AU1409" s="3">
        <v>42403</v>
      </c>
      <c r="AV1409" s="3">
        <v>42403</v>
      </c>
      <c r="AW1409" t="s">
        <v>54</v>
      </c>
      <c r="AX1409" t="str">
        <f t="shared" si="186"/>
        <v>FOR</v>
      </c>
      <c r="AY1409" t="s">
        <v>55</v>
      </c>
    </row>
    <row r="1410" spans="1:51" hidden="1">
      <c r="A1410">
        <v>101317</v>
      </c>
      <c r="B1410" t="s">
        <v>224</v>
      </c>
      <c r="C1410" t="str">
        <f t="shared" si="184"/>
        <v>00592310627</v>
      </c>
      <c r="D1410" t="str">
        <f t="shared" si="185"/>
        <v>DNGGTN52A01A783M</v>
      </c>
      <c r="E1410" t="s">
        <v>52</v>
      </c>
      <c r="F1410">
        <v>2015</v>
      </c>
      <c r="G1410" t="str">
        <f>"         000125-2015"</f>
        <v xml:space="preserve">         000125-2015</v>
      </c>
      <c r="H1410" s="3">
        <v>42332</v>
      </c>
      <c r="I1410" s="3">
        <v>42333</v>
      </c>
      <c r="J1410" s="3">
        <v>42332</v>
      </c>
      <c r="K1410" s="3">
        <v>42392</v>
      </c>
      <c r="L1410"/>
      <c r="N1410"/>
      <c r="O1410">
        <v>119.7</v>
      </c>
      <c r="P1410">
        <v>11</v>
      </c>
      <c r="Q1410" s="4">
        <v>1316.7</v>
      </c>
      <c r="R1410">
        <v>26.33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 s="3">
        <v>42562</v>
      </c>
      <c r="AC1410" t="s">
        <v>53</v>
      </c>
      <c r="AD1410" t="s">
        <v>53</v>
      </c>
      <c r="AJ1410">
        <v>26.33</v>
      </c>
      <c r="AK1410">
        <v>0</v>
      </c>
      <c r="AU1410" s="3">
        <v>42403</v>
      </c>
      <c r="AV1410" s="3">
        <v>42403</v>
      </c>
      <c r="AW1410" t="s">
        <v>54</v>
      </c>
      <c r="AX1410" t="str">
        <f t="shared" si="186"/>
        <v>FOR</v>
      </c>
      <c r="AY1410" t="s">
        <v>55</v>
      </c>
    </row>
    <row r="1411" spans="1:51" hidden="1">
      <c r="A1411">
        <v>101317</v>
      </c>
      <c r="B1411" t="s">
        <v>224</v>
      </c>
      <c r="C1411" t="str">
        <f t="shared" si="184"/>
        <v>00592310627</v>
      </c>
      <c r="D1411" t="str">
        <f t="shared" si="185"/>
        <v>DNGGTN52A01A783M</v>
      </c>
      <c r="E1411" t="s">
        <v>52</v>
      </c>
      <c r="F1411">
        <v>2015</v>
      </c>
      <c r="G1411" t="str">
        <f>"         000128-2015"</f>
        <v xml:space="preserve">         000128-2015</v>
      </c>
      <c r="H1411" s="3">
        <v>42342</v>
      </c>
      <c r="I1411" s="3">
        <v>42345</v>
      </c>
      <c r="J1411" s="3">
        <v>42342</v>
      </c>
      <c r="K1411" s="3">
        <v>42402</v>
      </c>
      <c r="L1411"/>
      <c r="N1411"/>
      <c r="O1411">
        <v>660</v>
      </c>
      <c r="P1411">
        <v>1</v>
      </c>
      <c r="Q1411">
        <v>660</v>
      </c>
      <c r="R1411">
        <v>145.19999999999999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 s="3">
        <v>42562</v>
      </c>
      <c r="AC1411" t="s">
        <v>53</v>
      </c>
      <c r="AD1411" t="s">
        <v>53</v>
      </c>
      <c r="AI1411">
        <v>145.19999999999999</v>
      </c>
      <c r="AK1411">
        <v>0</v>
      </c>
      <c r="AU1411" s="3">
        <v>42403</v>
      </c>
      <c r="AV1411" s="3">
        <v>42403</v>
      </c>
      <c r="AW1411" t="s">
        <v>54</v>
      </c>
      <c r="AX1411" t="str">
        <f t="shared" si="186"/>
        <v>FOR</v>
      </c>
      <c r="AY1411" t="s">
        <v>55</v>
      </c>
    </row>
    <row r="1412" spans="1:51" hidden="1">
      <c r="A1412">
        <v>101317</v>
      </c>
      <c r="B1412" t="s">
        <v>224</v>
      </c>
      <c r="C1412" t="str">
        <f t="shared" si="184"/>
        <v>00592310627</v>
      </c>
      <c r="D1412" t="str">
        <f t="shared" si="185"/>
        <v>DNGGTN52A01A783M</v>
      </c>
      <c r="E1412" t="s">
        <v>52</v>
      </c>
      <c r="F1412">
        <v>2015</v>
      </c>
      <c r="G1412" t="str">
        <f>"         000129-2015"</f>
        <v xml:space="preserve">         000129-2015</v>
      </c>
      <c r="H1412" s="3">
        <v>42342</v>
      </c>
      <c r="I1412" s="3">
        <v>42345</v>
      </c>
      <c r="J1412" s="3">
        <v>42342</v>
      </c>
      <c r="K1412" s="3">
        <v>42402</v>
      </c>
      <c r="L1412"/>
      <c r="N1412"/>
      <c r="O1412">
        <v>790</v>
      </c>
      <c r="P1412">
        <v>1</v>
      </c>
      <c r="Q1412">
        <v>790</v>
      </c>
      <c r="R1412">
        <v>173.8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 s="3">
        <v>42562</v>
      </c>
      <c r="AC1412" t="s">
        <v>53</v>
      </c>
      <c r="AD1412" t="s">
        <v>53</v>
      </c>
      <c r="AI1412">
        <v>173.8</v>
      </c>
      <c r="AK1412">
        <v>0</v>
      </c>
      <c r="AU1412" s="3">
        <v>42403</v>
      </c>
      <c r="AV1412" s="3">
        <v>42403</v>
      </c>
      <c r="AW1412" t="s">
        <v>54</v>
      </c>
      <c r="AX1412" t="str">
        <f t="shared" si="186"/>
        <v>FOR</v>
      </c>
      <c r="AY1412" t="s">
        <v>55</v>
      </c>
    </row>
    <row r="1413" spans="1:51" hidden="1">
      <c r="A1413">
        <v>101317</v>
      </c>
      <c r="B1413" t="s">
        <v>224</v>
      </c>
      <c r="C1413" t="str">
        <f t="shared" si="184"/>
        <v>00592310627</v>
      </c>
      <c r="D1413" t="str">
        <f t="shared" si="185"/>
        <v>DNGGTN52A01A783M</v>
      </c>
      <c r="E1413" t="s">
        <v>52</v>
      </c>
      <c r="F1413">
        <v>2015</v>
      </c>
      <c r="G1413" t="str">
        <f>"         000130-2015"</f>
        <v xml:space="preserve">         000130-2015</v>
      </c>
      <c r="H1413" s="3">
        <v>42342</v>
      </c>
      <c r="I1413" s="3">
        <v>42345</v>
      </c>
      <c r="J1413" s="3">
        <v>42342</v>
      </c>
      <c r="K1413" s="3">
        <v>42402</v>
      </c>
      <c r="L1413"/>
      <c r="N1413"/>
      <c r="O1413">
        <v>52.5</v>
      </c>
      <c r="P1413">
        <v>1</v>
      </c>
      <c r="Q1413">
        <v>52.5</v>
      </c>
      <c r="R1413">
        <v>11.55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 s="3">
        <v>42562</v>
      </c>
      <c r="AC1413" t="s">
        <v>53</v>
      </c>
      <c r="AD1413" t="s">
        <v>53</v>
      </c>
      <c r="AI1413">
        <v>11.55</v>
      </c>
      <c r="AK1413">
        <v>0</v>
      </c>
      <c r="AU1413" s="3">
        <v>42403</v>
      </c>
      <c r="AV1413" s="3">
        <v>42403</v>
      </c>
      <c r="AW1413" t="s">
        <v>54</v>
      </c>
      <c r="AX1413" t="str">
        <f t="shared" si="186"/>
        <v>FOR</v>
      </c>
      <c r="AY1413" t="s">
        <v>55</v>
      </c>
    </row>
    <row r="1414" spans="1:51" hidden="1">
      <c r="A1414">
        <v>101317</v>
      </c>
      <c r="B1414" t="s">
        <v>224</v>
      </c>
      <c r="C1414" t="str">
        <f t="shared" si="184"/>
        <v>00592310627</v>
      </c>
      <c r="D1414" t="str">
        <f t="shared" si="185"/>
        <v>DNGGTN52A01A783M</v>
      </c>
      <c r="E1414" t="s">
        <v>52</v>
      </c>
      <c r="F1414">
        <v>2015</v>
      </c>
      <c r="G1414" t="str">
        <f>"         000131-2015"</f>
        <v xml:space="preserve">         000131-2015</v>
      </c>
      <c r="H1414" s="3">
        <v>42342</v>
      </c>
      <c r="I1414" s="3">
        <v>42345</v>
      </c>
      <c r="J1414" s="3">
        <v>42342</v>
      </c>
      <c r="K1414" s="3">
        <v>42402</v>
      </c>
      <c r="L1414"/>
      <c r="N1414"/>
      <c r="O1414">
        <v>29.9</v>
      </c>
      <c r="P1414">
        <v>1</v>
      </c>
      <c r="Q1414">
        <v>29.9</v>
      </c>
      <c r="R1414">
        <v>6.58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 s="3">
        <v>42562</v>
      </c>
      <c r="AC1414" t="s">
        <v>53</v>
      </c>
      <c r="AD1414" t="s">
        <v>53</v>
      </c>
      <c r="AI1414">
        <v>6.58</v>
      </c>
      <c r="AK1414">
        <v>0</v>
      </c>
      <c r="AU1414" s="3">
        <v>42403</v>
      </c>
      <c r="AV1414" s="3">
        <v>42403</v>
      </c>
      <c r="AW1414" t="s">
        <v>54</v>
      </c>
      <c r="AX1414" t="str">
        <f t="shared" si="186"/>
        <v>FOR</v>
      </c>
      <c r="AY1414" t="s">
        <v>55</v>
      </c>
    </row>
    <row r="1415" spans="1:51" hidden="1">
      <c r="A1415">
        <v>101317</v>
      </c>
      <c r="B1415" t="s">
        <v>224</v>
      </c>
      <c r="C1415" t="str">
        <f t="shared" si="184"/>
        <v>00592310627</v>
      </c>
      <c r="D1415" t="str">
        <f t="shared" si="185"/>
        <v>DNGGTN52A01A783M</v>
      </c>
      <c r="E1415" t="s">
        <v>52</v>
      </c>
      <c r="F1415">
        <v>2015</v>
      </c>
      <c r="G1415" t="str">
        <f>"         000132-2015"</f>
        <v xml:space="preserve">         000132-2015</v>
      </c>
      <c r="H1415" s="3">
        <v>42342</v>
      </c>
      <c r="I1415" s="3">
        <v>42345</v>
      </c>
      <c r="J1415" s="3">
        <v>42342</v>
      </c>
      <c r="K1415" s="3">
        <v>42402</v>
      </c>
      <c r="L1415"/>
      <c r="N1415"/>
      <c r="O1415">
        <v>15</v>
      </c>
      <c r="P1415">
        <v>1</v>
      </c>
      <c r="Q1415">
        <v>15</v>
      </c>
      <c r="R1415">
        <v>3.3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 s="3">
        <v>42562</v>
      </c>
      <c r="AC1415" t="s">
        <v>53</v>
      </c>
      <c r="AD1415" t="s">
        <v>53</v>
      </c>
      <c r="AI1415">
        <v>3.3</v>
      </c>
      <c r="AK1415">
        <v>0</v>
      </c>
      <c r="AU1415" s="3">
        <v>42403</v>
      </c>
      <c r="AV1415" s="3">
        <v>42403</v>
      </c>
      <c r="AW1415" t="s">
        <v>54</v>
      </c>
      <c r="AX1415" t="str">
        <f t="shared" si="186"/>
        <v>FOR</v>
      </c>
      <c r="AY1415" t="s">
        <v>55</v>
      </c>
    </row>
    <row r="1416" spans="1:51" hidden="1">
      <c r="A1416">
        <v>101317</v>
      </c>
      <c r="B1416" t="s">
        <v>224</v>
      </c>
      <c r="C1416" t="str">
        <f t="shared" si="184"/>
        <v>00592310627</v>
      </c>
      <c r="D1416" t="str">
        <f t="shared" si="185"/>
        <v>DNGGTN52A01A783M</v>
      </c>
      <c r="E1416" t="s">
        <v>52</v>
      </c>
      <c r="F1416">
        <v>2015</v>
      </c>
      <c r="G1416" t="str">
        <f>"         000133-2015"</f>
        <v xml:space="preserve">         000133-2015</v>
      </c>
      <c r="H1416" s="3">
        <v>42342</v>
      </c>
      <c r="I1416" s="3">
        <v>42345</v>
      </c>
      <c r="J1416" s="3">
        <v>42345</v>
      </c>
      <c r="K1416" s="3">
        <v>42405</v>
      </c>
      <c r="L1416"/>
      <c r="N1416"/>
      <c r="O1416">
        <v>39.799999999999997</v>
      </c>
      <c r="P1416">
        <v>-2</v>
      </c>
      <c r="Q1416">
        <v>-79.599999999999994</v>
      </c>
      <c r="R1416">
        <v>8.76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 s="3">
        <v>42562</v>
      </c>
      <c r="AC1416" t="s">
        <v>53</v>
      </c>
      <c r="AD1416" t="s">
        <v>53</v>
      </c>
      <c r="AI1416">
        <v>8.76</v>
      </c>
      <c r="AK1416">
        <v>0</v>
      </c>
      <c r="AU1416" s="3">
        <v>42403</v>
      </c>
      <c r="AV1416" s="3">
        <v>42403</v>
      </c>
      <c r="AW1416" t="s">
        <v>54</v>
      </c>
      <c r="AX1416" t="str">
        <f t="shared" si="186"/>
        <v>FOR</v>
      </c>
      <c r="AY1416" t="s">
        <v>55</v>
      </c>
    </row>
    <row r="1417" spans="1:51" hidden="1">
      <c r="A1417">
        <v>101317</v>
      </c>
      <c r="B1417" t="s">
        <v>224</v>
      </c>
      <c r="C1417" t="str">
        <f t="shared" si="184"/>
        <v>00592310627</v>
      </c>
      <c r="D1417" t="str">
        <f t="shared" si="185"/>
        <v>DNGGTN52A01A783M</v>
      </c>
      <c r="E1417" t="s">
        <v>52</v>
      </c>
      <c r="F1417">
        <v>2015</v>
      </c>
      <c r="G1417" t="str">
        <f>"         000134-2015"</f>
        <v xml:space="preserve">         000134-2015</v>
      </c>
      <c r="H1417" s="3">
        <v>42342</v>
      </c>
      <c r="I1417" s="3">
        <v>42345</v>
      </c>
      <c r="J1417" s="3">
        <v>42342</v>
      </c>
      <c r="K1417" s="3">
        <v>42402</v>
      </c>
      <c r="L1417"/>
      <c r="N1417"/>
      <c r="O1417">
        <v>203</v>
      </c>
      <c r="P1417">
        <v>1</v>
      </c>
      <c r="Q1417">
        <v>203</v>
      </c>
      <c r="R1417">
        <v>44.66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 s="3">
        <v>42562</v>
      </c>
      <c r="AC1417" t="s">
        <v>53</v>
      </c>
      <c r="AD1417" t="s">
        <v>53</v>
      </c>
      <c r="AI1417">
        <v>44.66</v>
      </c>
      <c r="AK1417">
        <v>0</v>
      </c>
      <c r="AU1417" s="3">
        <v>42403</v>
      </c>
      <c r="AV1417" s="3">
        <v>42403</v>
      </c>
      <c r="AW1417" t="s">
        <v>54</v>
      </c>
      <c r="AX1417" t="str">
        <f t="shared" si="186"/>
        <v>FOR</v>
      </c>
      <c r="AY1417" t="s">
        <v>55</v>
      </c>
    </row>
    <row r="1418" spans="1:51" hidden="1">
      <c r="A1418">
        <v>101317</v>
      </c>
      <c r="B1418" t="s">
        <v>224</v>
      </c>
      <c r="C1418" t="str">
        <f t="shared" si="184"/>
        <v>00592310627</v>
      </c>
      <c r="D1418" t="str">
        <f t="shared" si="185"/>
        <v>DNGGTN52A01A783M</v>
      </c>
      <c r="E1418" t="s">
        <v>52</v>
      </c>
      <c r="F1418">
        <v>2015</v>
      </c>
      <c r="G1418" t="str">
        <f>"         000136-2015"</f>
        <v xml:space="preserve">         000136-2015</v>
      </c>
      <c r="H1418" s="3">
        <v>42342</v>
      </c>
      <c r="I1418" s="3">
        <v>42345</v>
      </c>
      <c r="J1418" s="3">
        <v>42342</v>
      </c>
      <c r="K1418" s="3">
        <v>42402</v>
      </c>
      <c r="L1418"/>
      <c r="N1418"/>
      <c r="O1418">
        <v>353.4</v>
      </c>
      <c r="P1418">
        <v>1</v>
      </c>
      <c r="Q1418">
        <v>353.4</v>
      </c>
      <c r="R1418">
        <v>77.75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 s="3">
        <v>42562</v>
      </c>
      <c r="AC1418" t="s">
        <v>53</v>
      </c>
      <c r="AD1418" t="s">
        <v>53</v>
      </c>
      <c r="AI1418">
        <v>77.75</v>
      </c>
      <c r="AK1418">
        <v>0</v>
      </c>
      <c r="AU1418" s="3">
        <v>42403</v>
      </c>
      <c r="AV1418" s="3">
        <v>42403</v>
      </c>
      <c r="AW1418" t="s">
        <v>54</v>
      </c>
      <c r="AX1418" t="str">
        <f t="shared" si="186"/>
        <v>FOR</v>
      </c>
      <c r="AY1418" t="s">
        <v>55</v>
      </c>
    </row>
    <row r="1419" spans="1:51" hidden="1">
      <c r="A1419">
        <v>101317</v>
      </c>
      <c r="B1419" t="s">
        <v>224</v>
      </c>
      <c r="C1419" t="str">
        <f t="shared" si="184"/>
        <v>00592310627</v>
      </c>
      <c r="D1419" t="str">
        <f t="shared" si="185"/>
        <v>DNGGTN52A01A783M</v>
      </c>
      <c r="E1419" t="s">
        <v>52</v>
      </c>
      <c r="F1419">
        <v>2015</v>
      </c>
      <c r="G1419" t="str">
        <f>"         000137-2015"</f>
        <v xml:space="preserve">         000137-2015</v>
      </c>
      <c r="H1419" s="3">
        <v>42342</v>
      </c>
      <c r="I1419" s="3">
        <v>42345</v>
      </c>
      <c r="J1419" s="3">
        <v>42342</v>
      </c>
      <c r="K1419" s="3">
        <v>42402</v>
      </c>
      <c r="L1419"/>
      <c r="N1419"/>
      <c r="O1419">
        <v>176</v>
      </c>
      <c r="P1419">
        <v>1</v>
      </c>
      <c r="Q1419">
        <v>176</v>
      </c>
      <c r="R1419">
        <v>38.72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 s="3">
        <v>42562</v>
      </c>
      <c r="AC1419" t="s">
        <v>53</v>
      </c>
      <c r="AD1419" t="s">
        <v>53</v>
      </c>
      <c r="AI1419">
        <v>38.72</v>
      </c>
      <c r="AK1419">
        <v>0</v>
      </c>
      <c r="AU1419" s="3">
        <v>42403</v>
      </c>
      <c r="AV1419" s="3">
        <v>42403</v>
      </c>
      <c r="AW1419" t="s">
        <v>54</v>
      </c>
      <c r="AX1419" t="str">
        <f t="shared" si="186"/>
        <v>FOR</v>
      </c>
      <c r="AY1419" t="s">
        <v>55</v>
      </c>
    </row>
    <row r="1420" spans="1:51" hidden="1">
      <c r="A1420">
        <v>101317</v>
      </c>
      <c r="B1420" t="s">
        <v>224</v>
      </c>
      <c r="C1420" t="str">
        <f t="shared" si="184"/>
        <v>00592310627</v>
      </c>
      <c r="D1420" t="str">
        <f t="shared" si="185"/>
        <v>DNGGTN52A01A783M</v>
      </c>
      <c r="E1420" t="s">
        <v>52</v>
      </c>
      <c r="F1420">
        <v>2015</v>
      </c>
      <c r="G1420" t="str">
        <f>"         000138-2015"</f>
        <v xml:space="preserve">         000138-2015</v>
      </c>
      <c r="H1420" s="3">
        <v>42342</v>
      </c>
      <c r="I1420" s="3">
        <v>42345</v>
      </c>
      <c r="J1420" s="3">
        <v>42342</v>
      </c>
      <c r="K1420" s="3">
        <v>42402</v>
      </c>
      <c r="L1420"/>
      <c r="N1420"/>
      <c r="O1420">
        <v>296.8</v>
      </c>
      <c r="P1420">
        <v>1</v>
      </c>
      <c r="Q1420">
        <v>296.8</v>
      </c>
      <c r="R1420">
        <v>65.3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 s="3">
        <v>42562</v>
      </c>
      <c r="AC1420" t="s">
        <v>53</v>
      </c>
      <c r="AD1420" t="s">
        <v>53</v>
      </c>
      <c r="AI1420">
        <v>65.3</v>
      </c>
      <c r="AK1420">
        <v>0</v>
      </c>
      <c r="AU1420" s="3">
        <v>42403</v>
      </c>
      <c r="AV1420" s="3">
        <v>42403</v>
      </c>
      <c r="AW1420" t="s">
        <v>54</v>
      </c>
      <c r="AX1420" t="str">
        <f t="shared" si="186"/>
        <v>FOR</v>
      </c>
      <c r="AY1420" t="s">
        <v>55</v>
      </c>
    </row>
    <row r="1421" spans="1:51" hidden="1">
      <c r="A1421">
        <v>101317</v>
      </c>
      <c r="B1421" t="s">
        <v>224</v>
      </c>
      <c r="C1421" t="str">
        <f t="shared" si="184"/>
        <v>00592310627</v>
      </c>
      <c r="D1421" t="str">
        <f t="shared" si="185"/>
        <v>DNGGTN52A01A783M</v>
      </c>
      <c r="E1421" t="s">
        <v>52</v>
      </c>
      <c r="F1421">
        <v>2015</v>
      </c>
      <c r="G1421" t="str">
        <f>"         000140-2015"</f>
        <v xml:space="preserve">         000140-2015</v>
      </c>
      <c r="H1421" s="3">
        <v>42342</v>
      </c>
      <c r="I1421" s="3">
        <v>42352</v>
      </c>
      <c r="J1421" s="3">
        <v>42347</v>
      </c>
      <c r="K1421" s="3">
        <v>42407</v>
      </c>
      <c r="L1421"/>
      <c r="N1421"/>
      <c r="O1421">
        <v>379.4</v>
      </c>
      <c r="P1421">
        <v>-4</v>
      </c>
      <c r="Q1421" s="4">
        <v>-1517.6</v>
      </c>
      <c r="R1421">
        <v>83.47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 s="3">
        <v>42562</v>
      </c>
      <c r="AC1421" t="s">
        <v>53</v>
      </c>
      <c r="AD1421" t="s">
        <v>53</v>
      </c>
      <c r="AI1421">
        <v>83.47</v>
      </c>
      <c r="AK1421">
        <v>0</v>
      </c>
      <c r="AU1421" s="3">
        <v>42403</v>
      </c>
      <c r="AV1421" s="3">
        <v>42403</v>
      </c>
      <c r="AW1421" t="s">
        <v>54</v>
      </c>
      <c r="AX1421" t="str">
        <f t="shared" si="186"/>
        <v>FOR</v>
      </c>
      <c r="AY1421" t="s">
        <v>55</v>
      </c>
    </row>
    <row r="1422" spans="1:51" hidden="1">
      <c r="A1422">
        <v>101320</v>
      </c>
      <c r="B1422" t="s">
        <v>225</v>
      </c>
      <c r="C1422" t="str">
        <f t="shared" ref="C1422:D1424" si="187">"08126390155"</f>
        <v>08126390155</v>
      </c>
      <c r="D1422" t="str">
        <f t="shared" si="187"/>
        <v>08126390155</v>
      </c>
      <c r="E1422" t="s">
        <v>52</v>
      </c>
      <c r="F1422">
        <v>2015</v>
      </c>
      <c r="G1422" t="str">
        <f>"                5144"</f>
        <v xml:space="preserve">                5144</v>
      </c>
      <c r="H1422" s="3">
        <v>42075</v>
      </c>
      <c r="I1422" s="3">
        <v>42123</v>
      </c>
      <c r="J1422" s="3">
        <v>42123</v>
      </c>
      <c r="K1422" s="3">
        <v>42183</v>
      </c>
      <c r="L1422"/>
      <c r="N1422"/>
      <c r="O1422" s="4">
        <v>14539</v>
      </c>
      <c r="P1422">
        <v>220</v>
      </c>
      <c r="Q1422" s="4">
        <v>3198580</v>
      </c>
      <c r="R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 s="3">
        <v>42562</v>
      </c>
      <c r="AC1422" t="s">
        <v>53</v>
      </c>
      <c r="AD1422" t="s">
        <v>53</v>
      </c>
      <c r="AK1422">
        <v>0</v>
      </c>
      <c r="AU1422" s="3">
        <v>42403</v>
      </c>
      <c r="AV1422" s="3">
        <v>42403</v>
      </c>
      <c r="AW1422" t="s">
        <v>54</v>
      </c>
      <c r="AX1422" t="str">
        <f t="shared" si="186"/>
        <v>FOR</v>
      </c>
      <c r="AY1422" t="s">
        <v>55</v>
      </c>
    </row>
    <row r="1423" spans="1:51" hidden="1">
      <c r="A1423">
        <v>101320</v>
      </c>
      <c r="B1423" t="s">
        <v>225</v>
      </c>
      <c r="C1423" t="str">
        <f t="shared" si="187"/>
        <v>08126390155</v>
      </c>
      <c r="D1423" t="str">
        <f t="shared" si="187"/>
        <v>08126390155</v>
      </c>
      <c r="E1423" t="s">
        <v>52</v>
      </c>
      <c r="F1423">
        <v>2015</v>
      </c>
      <c r="G1423" t="str">
        <f>"       008430-0CPAPA"</f>
        <v xml:space="preserve">       008430-0CPAPA</v>
      </c>
      <c r="H1423" s="3">
        <v>42328</v>
      </c>
      <c r="I1423" s="3">
        <v>42333</v>
      </c>
      <c r="J1423" s="3">
        <v>42332</v>
      </c>
      <c r="K1423" s="3">
        <v>42392</v>
      </c>
      <c r="L1423"/>
      <c r="N1423"/>
      <c r="O1423" s="4">
        <v>1558.9</v>
      </c>
      <c r="P1423">
        <v>60</v>
      </c>
      <c r="Q1423" s="4">
        <v>93534</v>
      </c>
      <c r="R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 s="3">
        <v>42562</v>
      </c>
      <c r="AC1423" t="s">
        <v>53</v>
      </c>
      <c r="AD1423" t="s">
        <v>53</v>
      </c>
      <c r="AK1423">
        <v>0</v>
      </c>
      <c r="AU1423" s="3">
        <v>42452</v>
      </c>
      <c r="AV1423" s="3">
        <v>42452</v>
      </c>
      <c r="AW1423" t="s">
        <v>54</v>
      </c>
      <c r="AX1423" t="str">
        <f t="shared" si="186"/>
        <v>FOR</v>
      </c>
      <c r="AY1423" t="s">
        <v>55</v>
      </c>
    </row>
    <row r="1424" spans="1:51" hidden="1">
      <c r="A1424">
        <v>101320</v>
      </c>
      <c r="B1424" t="s">
        <v>225</v>
      </c>
      <c r="C1424" t="str">
        <f t="shared" si="187"/>
        <v>08126390155</v>
      </c>
      <c r="D1424" t="str">
        <f t="shared" si="187"/>
        <v>08126390155</v>
      </c>
      <c r="E1424" t="s">
        <v>52</v>
      </c>
      <c r="F1424">
        <v>2015</v>
      </c>
      <c r="G1424" t="str">
        <f>"       009100-0CPAPA"</f>
        <v xml:space="preserve">       009100-0CPAPA</v>
      </c>
      <c r="H1424" s="3">
        <v>42338</v>
      </c>
      <c r="I1424" s="3">
        <v>42352</v>
      </c>
      <c r="J1424" s="3">
        <v>42348</v>
      </c>
      <c r="K1424" s="3">
        <v>42408</v>
      </c>
      <c r="L1424"/>
      <c r="N1424"/>
      <c r="O1424" s="4">
        <v>4853.75</v>
      </c>
      <c r="P1424">
        <v>44</v>
      </c>
      <c r="Q1424" s="4">
        <v>213565</v>
      </c>
      <c r="R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 s="3">
        <v>42562</v>
      </c>
      <c r="AC1424" t="s">
        <v>53</v>
      </c>
      <c r="AD1424" t="s">
        <v>53</v>
      </c>
      <c r="AK1424">
        <v>0</v>
      </c>
      <c r="AU1424" s="3">
        <v>42452</v>
      </c>
      <c r="AV1424" s="3">
        <v>42452</v>
      </c>
      <c r="AW1424" t="s">
        <v>54</v>
      </c>
      <c r="AX1424" t="str">
        <f t="shared" si="186"/>
        <v>FOR</v>
      </c>
      <c r="AY1424" t="s">
        <v>55</v>
      </c>
    </row>
    <row r="1425" spans="1:51" hidden="1">
      <c r="A1425">
        <v>101335</v>
      </c>
      <c r="B1425" t="s">
        <v>226</v>
      </c>
      <c r="C1425" t="str">
        <f t="shared" ref="C1425:D1429" si="188">"00742090152"</f>
        <v>00742090152</v>
      </c>
      <c r="D1425" t="str">
        <f t="shared" si="188"/>
        <v>00742090152</v>
      </c>
      <c r="E1425" t="s">
        <v>52</v>
      </c>
      <c r="F1425">
        <v>2015</v>
      </c>
      <c r="G1425" t="str">
        <f>"          7215200688"</f>
        <v xml:space="preserve">          7215200688</v>
      </c>
      <c r="H1425" s="3">
        <v>42037</v>
      </c>
      <c r="I1425" s="3">
        <v>42054</v>
      </c>
      <c r="J1425" s="3">
        <v>42054</v>
      </c>
      <c r="K1425" s="3">
        <v>42114</v>
      </c>
      <c r="L1425"/>
      <c r="N1425"/>
      <c r="O1425" s="4">
        <v>2050</v>
      </c>
      <c r="P1425">
        <v>290</v>
      </c>
      <c r="Q1425" s="4">
        <v>594500</v>
      </c>
      <c r="R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 s="3">
        <v>42562</v>
      </c>
      <c r="AC1425" t="s">
        <v>53</v>
      </c>
      <c r="AD1425" t="s">
        <v>53</v>
      </c>
      <c r="AK1425">
        <v>0</v>
      </c>
      <c r="AU1425" s="3">
        <v>42404</v>
      </c>
      <c r="AV1425" s="3">
        <v>42404</v>
      </c>
      <c r="AW1425" t="s">
        <v>54</v>
      </c>
      <c r="AX1425" t="str">
        <f t="shared" si="186"/>
        <v>FOR</v>
      </c>
      <c r="AY1425" t="s">
        <v>55</v>
      </c>
    </row>
    <row r="1426" spans="1:51" hidden="1">
      <c r="A1426">
        <v>101335</v>
      </c>
      <c r="B1426" t="s">
        <v>226</v>
      </c>
      <c r="C1426" t="str">
        <f t="shared" si="188"/>
        <v>00742090152</v>
      </c>
      <c r="D1426" t="str">
        <f t="shared" si="188"/>
        <v>00742090152</v>
      </c>
      <c r="E1426" t="s">
        <v>52</v>
      </c>
      <c r="F1426">
        <v>2015</v>
      </c>
      <c r="G1426" t="str">
        <f>"          7215200870"</f>
        <v xml:space="preserve">          7215200870</v>
      </c>
      <c r="H1426" s="3">
        <v>42045</v>
      </c>
      <c r="I1426" s="3">
        <v>42067</v>
      </c>
      <c r="J1426" s="3">
        <v>42067</v>
      </c>
      <c r="K1426" s="3">
        <v>42127</v>
      </c>
      <c r="L1426"/>
      <c r="N1426"/>
      <c r="O1426">
        <v>349</v>
      </c>
      <c r="P1426">
        <v>277</v>
      </c>
      <c r="Q1426" s="4">
        <v>96673</v>
      </c>
      <c r="R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 s="3">
        <v>42562</v>
      </c>
      <c r="AC1426" t="s">
        <v>53</v>
      </c>
      <c r="AD1426" t="s">
        <v>53</v>
      </c>
      <c r="AK1426">
        <v>0</v>
      </c>
      <c r="AU1426" s="3">
        <v>42404</v>
      </c>
      <c r="AV1426" s="3">
        <v>42404</v>
      </c>
      <c r="AW1426" t="s">
        <v>54</v>
      </c>
      <c r="AX1426" t="str">
        <f t="shared" si="186"/>
        <v>FOR</v>
      </c>
      <c r="AY1426" t="s">
        <v>55</v>
      </c>
    </row>
    <row r="1427" spans="1:51" hidden="1">
      <c r="A1427">
        <v>101335</v>
      </c>
      <c r="B1427" t="s">
        <v>226</v>
      </c>
      <c r="C1427" t="str">
        <f t="shared" si="188"/>
        <v>00742090152</v>
      </c>
      <c r="D1427" t="str">
        <f t="shared" si="188"/>
        <v>00742090152</v>
      </c>
      <c r="E1427" t="s">
        <v>52</v>
      </c>
      <c r="F1427">
        <v>2015</v>
      </c>
      <c r="G1427" t="str">
        <f>"          7215202431"</f>
        <v xml:space="preserve">          7215202431</v>
      </c>
      <c r="H1427" s="3">
        <v>42114</v>
      </c>
      <c r="I1427" s="3">
        <v>42160</v>
      </c>
      <c r="J1427" s="3">
        <v>42145</v>
      </c>
      <c r="K1427" s="3">
        <v>42205</v>
      </c>
      <c r="L1427"/>
      <c r="N1427"/>
      <c r="O1427" s="4">
        <v>2399</v>
      </c>
      <c r="P1427">
        <v>247</v>
      </c>
      <c r="Q1427" s="4">
        <v>592553</v>
      </c>
      <c r="R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 s="3">
        <v>42562</v>
      </c>
      <c r="AC1427" t="s">
        <v>53</v>
      </c>
      <c r="AD1427" t="s">
        <v>53</v>
      </c>
      <c r="AK1427">
        <v>0</v>
      </c>
      <c r="AU1427" s="3">
        <v>42452</v>
      </c>
      <c r="AV1427" s="3">
        <v>42452</v>
      </c>
      <c r="AW1427" t="s">
        <v>54</v>
      </c>
      <c r="AX1427" t="str">
        <f t="shared" si="186"/>
        <v>FOR</v>
      </c>
      <c r="AY1427" t="s">
        <v>55</v>
      </c>
    </row>
    <row r="1428" spans="1:51" hidden="1">
      <c r="A1428">
        <v>101335</v>
      </c>
      <c r="B1428" t="s">
        <v>226</v>
      </c>
      <c r="C1428" t="str">
        <f t="shared" si="188"/>
        <v>00742090152</v>
      </c>
      <c r="D1428" t="str">
        <f t="shared" si="188"/>
        <v>00742090152</v>
      </c>
      <c r="E1428" t="s">
        <v>52</v>
      </c>
      <c r="F1428">
        <v>2015</v>
      </c>
      <c r="G1428" t="str">
        <f>"          7215203103"</f>
        <v xml:space="preserve">          7215203103</v>
      </c>
      <c r="H1428" s="3">
        <v>42137</v>
      </c>
      <c r="I1428" s="3">
        <v>42160</v>
      </c>
      <c r="J1428" s="3">
        <v>42145</v>
      </c>
      <c r="K1428" s="3">
        <v>42205</v>
      </c>
      <c r="L1428"/>
      <c r="N1428"/>
      <c r="O1428" s="4">
        <v>4198</v>
      </c>
      <c r="P1428">
        <v>247</v>
      </c>
      <c r="Q1428" s="4">
        <v>1036906</v>
      </c>
      <c r="R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 s="3">
        <v>42562</v>
      </c>
      <c r="AC1428" t="s">
        <v>53</v>
      </c>
      <c r="AD1428" t="s">
        <v>53</v>
      </c>
      <c r="AK1428">
        <v>0</v>
      </c>
      <c r="AU1428" s="3">
        <v>42452</v>
      </c>
      <c r="AV1428" s="3">
        <v>42452</v>
      </c>
      <c r="AW1428" t="s">
        <v>54</v>
      </c>
      <c r="AX1428" t="str">
        <f t="shared" si="186"/>
        <v>FOR</v>
      </c>
      <c r="AY1428" t="s">
        <v>55</v>
      </c>
    </row>
    <row r="1429" spans="1:51" hidden="1">
      <c r="A1429">
        <v>101335</v>
      </c>
      <c r="B1429" t="s">
        <v>226</v>
      </c>
      <c r="C1429" t="str">
        <f t="shared" si="188"/>
        <v>00742090152</v>
      </c>
      <c r="D1429" t="str">
        <f t="shared" si="188"/>
        <v>00742090152</v>
      </c>
      <c r="E1429" t="s">
        <v>52</v>
      </c>
      <c r="F1429">
        <v>2015</v>
      </c>
      <c r="G1429" t="str">
        <f>"          7215203248"</f>
        <v xml:space="preserve">          7215203248</v>
      </c>
      <c r="H1429" s="3">
        <v>42143</v>
      </c>
      <c r="I1429" s="3">
        <v>42242</v>
      </c>
      <c r="J1429" s="3">
        <v>42241</v>
      </c>
      <c r="K1429" s="3">
        <v>42301</v>
      </c>
      <c r="L1429"/>
      <c r="N1429"/>
      <c r="O1429">
        <v>600</v>
      </c>
      <c r="P1429">
        <v>151</v>
      </c>
      <c r="Q1429" s="4">
        <v>90600</v>
      </c>
      <c r="R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 s="3">
        <v>42562</v>
      </c>
      <c r="AC1429" t="s">
        <v>53</v>
      </c>
      <c r="AD1429" t="s">
        <v>53</v>
      </c>
      <c r="AK1429">
        <v>0</v>
      </c>
      <c r="AU1429" s="3">
        <v>42452</v>
      </c>
      <c r="AV1429" s="3">
        <v>42452</v>
      </c>
      <c r="AW1429" t="s">
        <v>54</v>
      </c>
      <c r="AX1429" t="str">
        <f t="shared" si="186"/>
        <v>FOR</v>
      </c>
      <c r="AY1429" t="s">
        <v>55</v>
      </c>
    </row>
    <row r="1430" spans="1:51" hidden="1">
      <c r="A1430">
        <v>101336</v>
      </c>
      <c r="B1430" t="s">
        <v>227</v>
      </c>
      <c r="C1430" t="str">
        <f t="shared" ref="C1430:D1453" si="189">"05351490965"</f>
        <v>05351490965</v>
      </c>
      <c r="D1430" t="str">
        <f t="shared" si="189"/>
        <v>05351490965</v>
      </c>
      <c r="E1430" t="s">
        <v>52</v>
      </c>
      <c r="F1430">
        <v>2015</v>
      </c>
      <c r="G1430" t="str">
        <f>"          7680002788"</f>
        <v xml:space="preserve">          7680002788</v>
      </c>
      <c r="H1430" s="3">
        <v>42155</v>
      </c>
      <c r="I1430" s="3">
        <v>42177</v>
      </c>
      <c r="J1430" s="3">
        <v>42174</v>
      </c>
      <c r="K1430" s="3">
        <v>42234</v>
      </c>
      <c r="L1430"/>
      <c r="N1430"/>
      <c r="O1430" s="4">
        <v>4895.55</v>
      </c>
      <c r="P1430">
        <v>167</v>
      </c>
      <c r="Q1430" s="4">
        <v>817556.85</v>
      </c>
      <c r="R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 s="3">
        <v>42562</v>
      </c>
      <c r="AC1430" t="s">
        <v>53</v>
      </c>
      <c r="AD1430" t="s">
        <v>53</v>
      </c>
      <c r="AK1430">
        <v>0</v>
      </c>
      <c r="AU1430" s="3">
        <v>42401</v>
      </c>
      <c r="AV1430" s="3">
        <v>42401</v>
      </c>
      <c r="AW1430" t="s">
        <v>54</v>
      </c>
      <c r="AX1430" t="str">
        <f t="shared" si="186"/>
        <v>FOR</v>
      </c>
      <c r="AY1430" t="s">
        <v>55</v>
      </c>
    </row>
    <row r="1431" spans="1:51" hidden="1">
      <c r="A1431">
        <v>101336</v>
      </c>
      <c r="B1431" t="s">
        <v>227</v>
      </c>
      <c r="C1431" t="str">
        <f t="shared" si="189"/>
        <v>05351490965</v>
      </c>
      <c r="D1431" t="str">
        <f t="shared" si="189"/>
        <v>05351490965</v>
      </c>
      <c r="E1431" t="s">
        <v>52</v>
      </c>
      <c r="F1431">
        <v>2015</v>
      </c>
      <c r="G1431" t="str">
        <f>"          7680002789"</f>
        <v xml:space="preserve">          7680002789</v>
      </c>
      <c r="H1431" s="3">
        <v>42155</v>
      </c>
      <c r="I1431" s="3">
        <v>42174</v>
      </c>
      <c r="J1431" s="3">
        <v>42174</v>
      </c>
      <c r="K1431" s="3">
        <v>42234</v>
      </c>
      <c r="L1431"/>
      <c r="N1431"/>
      <c r="O1431" s="4">
        <v>131381.10999999999</v>
      </c>
      <c r="P1431">
        <v>167</v>
      </c>
      <c r="Q1431" s="4">
        <v>21940645.370000001</v>
      </c>
      <c r="R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 s="3">
        <v>42562</v>
      </c>
      <c r="AC1431" t="s">
        <v>53</v>
      </c>
      <c r="AD1431" t="s">
        <v>53</v>
      </c>
      <c r="AK1431">
        <v>0</v>
      </c>
      <c r="AU1431" s="3">
        <v>42401</v>
      </c>
      <c r="AV1431" s="3">
        <v>42401</v>
      </c>
      <c r="AW1431" t="s">
        <v>54</v>
      </c>
      <c r="AX1431" t="str">
        <f t="shared" si="186"/>
        <v>FOR</v>
      </c>
      <c r="AY1431" t="s">
        <v>55</v>
      </c>
    </row>
    <row r="1432" spans="1:51" hidden="1">
      <c r="A1432">
        <v>101336</v>
      </c>
      <c r="B1432" t="s">
        <v>227</v>
      </c>
      <c r="C1432" t="str">
        <f t="shared" si="189"/>
        <v>05351490965</v>
      </c>
      <c r="D1432" t="str">
        <f t="shared" si="189"/>
        <v>05351490965</v>
      </c>
      <c r="E1432" t="s">
        <v>52</v>
      </c>
      <c r="F1432">
        <v>2015</v>
      </c>
      <c r="G1432" t="str">
        <f>"          7680002790"</f>
        <v xml:space="preserve">          7680002790</v>
      </c>
      <c r="H1432" s="3">
        <v>42155</v>
      </c>
      <c r="I1432" s="3">
        <v>42177</v>
      </c>
      <c r="J1432" s="3">
        <v>42174</v>
      </c>
      <c r="K1432" s="3">
        <v>42234</v>
      </c>
      <c r="L1432"/>
      <c r="N1432"/>
      <c r="O1432" s="4">
        <v>3152.14</v>
      </c>
      <c r="P1432">
        <v>167</v>
      </c>
      <c r="Q1432" s="4">
        <v>526407.38</v>
      </c>
      <c r="R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 s="3">
        <v>42562</v>
      </c>
      <c r="AC1432" t="s">
        <v>53</v>
      </c>
      <c r="AD1432" t="s">
        <v>53</v>
      </c>
      <c r="AK1432">
        <v>0</v>
      </c>
      <c r="AU1432" s="3">
        <v>42401</v>
      </c>
      <c r="AV1432" s="3">
        <v>42401</v>
      </c>
      <c r="AW1432" t="s">
        <v>54</v>
      </c>
      <c r="AX1432" t="str">
        <f t="shared" si="186"/>
        <v>FOR</v>
      </c>
      <c r="AY1432" t="s">
        <v>55</v>
      </c>
    </row>
    <row r="1433" spans="1:51" hidden="1">
      <c r="A1433">
        <v>101336</v>
      </c>
      <c r="B1433" t="s">
        <v>227</v>
      </c>
      <c r="C1433" t="str">
        <f t="shared" si="189"/>
        <v>05351490965</v>
      </c>
      <c r="D1433" t="str">
        <f t="shared" si="189"/>
        <v>05351490965</v>
      </c>
      <c r="E1433" t="s">
        <v>52</v>
      </c>
      <c r="F1433">
        <v>2015</v>
      </c>
      <c r="G1433" t="str">
        <f>"          7680002791"</f>
        <v xml:space="preserve">          7680002791</v>
      </c>
      <c r="H1433" s="3">
        <v>42155</v>
      </c>
      <c r="I1433" s="3">
        <v>42174</v>
      </c>
      <c r="J1433" s="3">
        <v>42174</v>
      </c>
      <c r="K1433" s="3">
        <v>42234</v>
      </c>
      <c r="L1433"/>
      <c r="N1433"/>
      <c r="O1433">
        <v>956.67</v>
      </c>
      <c r="P1433">
        <v>167</v>
      </c>
      <c r="Q1433" s="4">
        <v>159763.89000000001</v>
      </c>
      <c r="R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 s="3">
        <v>42562</v>
      </c>
      <c r="AC1433" t="s">
        <v>53</v>
      </c>
      <c r="AD1433" t="s">
        <v>53</v>
      </c>
      <c r="AK1433">
        <v>0</v>
      </c>
      <c r="AU1433" s="3">
        <v>42401</v>
      </c>
      <c r="AV1433" s="3">
        <v>42401</v>
      </c>
      <c r="AW1433" t="s">
        <v>54</v>
      </c>
      <c r="AX1433" t="str">
        <f t="shared" si="186"/>
        <v>FOR</v>
      </c>
      <c r="AY1433" t="s">
        <v>55</v>
      </c>
    </row>
    <row r="1434" spans="1:51" hidden="1">
      <c r="A1434">
        <v>101336</v>
      </c>
      <c r="B1434" t="s">
        <v>227</v>
      </c>
      <c r="C1434" t="str">
        <f t="shared" si="189"/>
        <v>05351490965</v>
      </c>
      <c r="D1434" t="str">
        <f t="shared" si="189"/>
        <v>05351490965</v>
      </c>
      <c r="E1434" t="s">
        <v>52</v>
      </c>
      <c r="F1434">
        <v>2015</v>
      </c>
      <c r="G1434" t="str">
        <f>"          7680003633"</f>
        <v xml:space="preserve">          7680003633</v>
      </c>
      <c r="H1434" s="3">
        <v>42185</v>
      </c>
      <c r="I1434" s="3">
        <v>42202</v>
      </c>
      <c r="J1434" s="3">
        <v>42202</v>
      </c>
      <c r="K1434" s="3">
        <v>42262</v>
      </c>
      <c r="L1434"/>
      <c r="N1434"/>
      <c r="O1434" s="4">
        <v>5252.96</v>
      </c>
      <c r="P1434">
        <v>154</v>
      </c>
      <c r="Q1434" s="4">
        <v>808955.84</v>
      </c>
      <c r="R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 s="3">
        <v>42562</v>
      </c>
      <c r="AC1434" t="s">
        <v>53</v>
      </c>
      <c r="AD1434" t="s">
        <v>53</v>
      </c>
      <c r="AK1434">
        <v>0</v>
      </c>
      <c r="AU1434" s="3">
        <v>42416</v>
      </c>
      <c r="AV1434" s="3">
        <v>42416</v>
      </c>
      <c r="AW1434" t="s">
        <v>54</v>
      </c>
      <c r="AX1434" t="str">
        <f t="shared" si="186"/>
        <v>FOR</v>
      </c>
      <c r="AY1434" t="s">
        <v>55</v>
      </c>
    </row>
    <row r="1435" spans="1:51" hidden="1">
      <c r="A1435">
        <v>101336</v>
      </c>
      <c r="B1435" t="s">
        <v>227</v>
      </c>
      <c r="C1435" t="str">
        <f t="shared" si="189"/>
        <v>05351490965</v>
      </c>
      <c r="D1435" t="str">
        <f t="shared" si="189"/>
        <v>05351490965</v>
      </c>
      <c r="E1435" t="s">
        <v>52</v>
      </c>
      <c r="F1435">
        <v>2015</v>
      </c>
      <c r="G1435" t="str">
        <f>"          7680003634"</f>
        <v xml:space="preserve">          7680003634</v>
      </c>
      <c r="H1435" s="3">
        <v>42185</v>
      </c>
      <c r="I1435" s="3">
        <v>42205</v>
      </c>
      <c r="J1435" s="3">
        <v>42202</v>
      </c>
      <c r="K1435" s="3">
        <v>42262</v>
      </c>
      <c r="L1435"/>
      <c r="N1435"/>
      <c r="O1435" s="4">
        <v>126040.22</v>
      </c>
      <c r="P1435">
        <v>154</v>
      </c>
      <c r="Q1435" s="4">
        <v>19410193.879999999</v>
      </c>
      <c r="R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 s="3">
        <v>42562</v>
      </c>
      <c r="AC1435" t="s">
        <v>53</v>
      </c>
      <c r="AD1435" t="s">
        <v>53</v>
      </c>
      <c r="AK1435">
        <v>0</v>
      </c>
      <c r="AU1435" s="3">
        <v>42416</v>
      </c>
      <c r="AV1435" s="3">
        <v>42416</v>
      </c>
      <c r="AW1435" t="s">
        <v>54</v>
      </c>
      <c r="AX1435" t="str">
        <f t="shared" si="186"/>
        <v>FOR</v>
      </c>
      <c r="AY1435" t="s">
        <v>55</v>
      </c>
    </row>
    <row r="1436" spans="1:51" hidden="1">
      <c r="A1436">
        <v>101336</v>
      </c>
      <c r="B1436" t="s">
        <v>227</v>
      </c>
      <c r="C1436" t="str">
        <f t="shared" si="189"/>
        <v>05351490965</v>
      </c>
      <c r="D1436" t="str">
        <f t="shared" si="189"/>
        <v>05351490965</v>
      </c>
      <c r="E1436" t="s">
        <v>52</v>
      </c>
      <c r="F1436">
        <v>2015</v>
      </c>
      <c r="G1436" t="str">
        <f>"          7680003635"</f>
        <v xml:space="preserve">          7680003635</v>
      </c>
      <c r="H1436" s="3">
        <v>42185</v>
      </c>
      <c r="I1436" s="3">
        <v>42205</v>
      </c>
      <c r="J1436" s="3">
        <v>42202</v>
      </c>
      <c r="K1436" s="3">
        <v>42262</v>
      </c>
      <c r="L1436"/>
      <c r="N1436"/>
      <c r="O1436" s="4">
        <v>3355.51</v>
      </c>
      <c r="P1436">
        <v>154</v>
      </c>
      <c r="Q1436" s="4">
        <v>516748.54</v>
      </c>
      <c r="R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 s="3">
        <v>42562</v>
      </c>
      <c r="AC1436" t="s">
        <v>53</v>
      </c>
      <c r="AD1436" t="s">
        <v>53</v>
      </c>
      <c r="AK1436">
        <v>0</v>
      </c>
      <c r="AU1436" s="3">
        <v>42416</v>
      </c>
      <c r="AV1436" s="3">
        <v>42416</v>
      </c>
      <c r="AW1436" t="s">
        <v>54</v>
      </c>
      <c r="AX1436" t="str">
        <f t="shared" ref="AX1436:AX1460" si="190">"FOR"</f>
        <v>FOR</v>
      </c>
      <c r="AY1436" t="s">
        <v>55</v>
      </c>
    </row>
    <row r="1437" spans="1:51" hidden="1">
      <c r="A1437">
        <v>101336</v>
      </c>
      <c r="B1437" t="s">
        <v>227</v>
      </c>
      <c r="C1437" t="str">
        <f t="shared" si="189"/>
        <v>05351490965</v>
      </c>
      <c r="D1437" t="str">
        <f t="shared" si="189"/>
        <v>05351490965</v>
      </c>
      <c r="E1437" t="s">
        <v>52</v>
      </c>
      <c r="F1437">
        <v>2015</v>
      </c>
      <c r="G1437" t="str">
        <f>"          7680003636"</f>
        <v xml:space="preserve">          7680003636</v>
      </c>
      <c r="H1437" s="3">
        <v>42185</v>
      </c>
      <c r="I1437" s="3">
        <v>42205</v>
      </c>
      <c r="J1437" s="3">
        <v>42202</v>
      </c>
      <c r="K1437" s="3">
        <v>42262</v>
      </c>
      <c r="L1437"/>
      <c r="N1437"/>
      <c r="O1437">
        <v>972.78</v>
      </c>
      <c r="P1437">
        <v>154</v>
      </c>
      <c r="Q1437" s="4">
        <v>149808.12</v>
      </c>
      <c r="R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0</v>
      </c>
      <c r="AB1437" s="3">
        <v>42562</v>
      </c>
      <c r="AC1437" t="s">
        <v>53</v>
      </c>
      <c r="AD1437" t="s">
        <v>53</v>
      </c>
      <c r="AK1437">
        <v>0</v>
      </c>
      <c r="AU1437" s="3">
        <v>42416</v>
      </c>
      <c r="AV1437" s="3">
        <v>42416</v>
      </c>
      <c r="AW1437" t="s">
        <v>54</v>
      </c>
      <c r="AX1437" t="str">
        <f t="shared" si="190"/>
        <v>FOR</v>
      </c>
      <c r="AY1437" t="s">
        <v>55</v>
      </c>
    </row>
    <row r="1438" spans="1:51">
      <c r="A1438">
        <v>101336</v>
      </c>
      <c r="B1438" t="s">
        <v>227</v>
      </c>
      <c r="C1438" t="str">
        <f t="shared" si="189"/>
        <v>05351490965</v>
      </c>
      <c r="D1438" t="str">
        <f t="shared" si="189"/>
        <v>05351490965</v>
      </c>
      <c r="E1438" t="s">
        <v>52</v>
      </c>
      <c r="F1438">
        <v>2015</v>
      </c>
      <c r="G1438" t="str">
        <f>"          7680004455"</f>
        <v xml:space="preserve">          7680004455</v>
      </c>
      <c r="H1438" s="3">
        <v>42216</v>
      </c>
      <c r="I1438" s="3">
        <v>42229</v>
      </c>
      <c r="J1438" s="3">
        <v>42226</v>
      </c>
      <c r="K1438" s="3">
        <v>42286</v>
      </c>
      <c r="L1438" s="5">
        <v>4868.7299999999996</v>
      </c>
      <c r="M1438">
        <v>178</v>
      </c>
      <c r="N1438" s="5">
        <v>866633.94</v>
      </c>
      <c r="O1438" s="4">
        <v>4868.7299999999996</v>
      </c>
      <c r="P1438">
        <v>178</v>
      </c>
      <c r="Q1438" s="4">
        <v>866633.94</v>
      </c>
      <c r="R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 s="3">
        <v>42562</v>
      </c>
      <c r="AC1438" t="s">
        <v>53</v>
      </c>
      <c r="AD1438" t="s">
        <v>53</v>
      </c>
      <c r="AK1438">
        <v>0</v>
      </c>
      <c r="AU1438" s="3">
        <v>42464</v>
      </c>
      <c r="AV1438" s="3">
        <v>42464</v>
      </c>
      <c r="AW1438" t="s">
        <v>54</v>
      </c>
      <c r="AX1438" t="str">
        <f t="shared" si="190"/>
        <v>FOR</v>
      </c>
      <c r="AY1438" t="s">
        <v>55</v>
      </c>
    </row>
    <row r="1439" spans="1:51">
      <c r="A1439">
        <v>101336</v>
      </c>
      <c r="B1439" t="s">
        <v>227</v>
      </c>
      <c r="C1439" t="str">
        <f t="shared" si="189"/>
        <v>05351490965</v>
      </c>
      <c r="D1439" t="str">
        <f t="shared" si="189"/>
        <v>05351490965</v>
      </c>
      <c r="E1439" t="s">
        <v>52</v>
      </c>
      <c r="F1439">
        <v>2015</v>
      </c>
      <c r="G1439" t="str">
        <f>"          7680004456"</f>
        <v xml:space="preserve">          7680004456</v>
      </c>
      <c r="H1439" s="3">
        <v>42216</v>
      </c>
      <c r="I1439" s="3">
        <v>42229</v>
      </c>
      <c r="J1439" s="3">
        <v>42226</v>
      </c>
      <c r="K1439" s="3">
        <v>42286</v>
      </c>
      <c r="L1439" s="5">
        <v>128273.02</v>
      </c>
      <c r="M1439">
        <v>178</v>
      </c>
      <c r="N1439" s="5">
        <v>22832597.559999999</v>
      </c>
      <c r="O1439" s="4">
        <v>128273.02</v>
      </c>
      <c r="P1439">
        <v>178</v>
      </c>
      <c r="Q1439" s="4">
        <v>22832597.559999999</v>
      </c>
      <c r="R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 s="3">
        <v>42562</v>
      </c>
      <c r="AC1439" t="s">
        <v>53</v>
      </c>
      <c r="AD1439" t="s">
        <v>53</v>
      </c>
      <c r="AK1439">
        <v>0</v>
      </c>
      <c r="AU1439" s="3">
        <v>42464</v>
      </c>
      <c r="AV1439" s="3">
        <v>42464</v>
      </c>
      <c r="AW1439" t="s">
        <v>54</v>
      </c>
      <c r="AX1439" t="str">
        <f t="shared" si="190"/>
        <v>FOR</v>
      </c>
      <c r="AY1439" t="s">
        <v>55</v>
      </c>
    </row>
    <row r="1440" spans="1:51">
      <c r="A1440">
        <v>101336</v>
      </c>
      <c r="B1440" t="s">
        <v>227</v>
      </c>
      <c r="C1440" t="str">
        <f t="shared" si="189"/>
        <v>05351490965</v>
      </c>
      <c r="D1440" t="str">
        <f t="shared" si="189"/>
        <v>05351490965</v>
      </c>
      <c r="E1440" t="s">
        <v>52</v>
      </c>
      <c r="F1440">
        <v>2015</v>
      </c>
      <c r="G1440" t="str">
        <f>"          7680004461"</f>
        <v xml:space="preserve">          7680004461</v>
      </c>
      <c r="H1440" s="3">
        <v>42216</v>
      </c>
      <c r="I1440" s="3">
        <v>42230</v>
      </c>
      <c r="J1440" s="3">
        <v>42226</v>
      </c>
      <c r="K1440" s="3">
        <v>42286</v>
      </c>
      <c r="L1440" s="5">
        <v>2788.99</v>
      </c>
      <c r="M1440">
        <v>178</v>
      </c>
      <c r="N1440" s="5">
        <v>496440.22</v>
      </c>
      <c r="O1440" s="4">
        <v>2788.99</v>
      </c>
      <c r="P1440">
        <v>178</v>
      </c>
      <c r="Q1440" s="4">
        <v>496440.22</v>
      </c>
      <c r="R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0</v>
      </c>
      <c r="AB1440" s="3">
        <v>42562</v>
      </c>
      <c r="AC1440" t="s">
        <v>53</v>
      </c>
      <c r="AD1440" t="s">
        <v>53</v>
      </c>
      <c r="AK1440">
        <v>0</v>
      </c>
      <c r="AU1440" s="3">
        <v>42464</v>
      </c>
      <c r="AV1440" s="3">
        <v>42464</v>
      </c>
      <c r="AW1440" t="s">
        <v>54</v>
      </c>
      <c r="AX1440" t="str">
        <f t="shared" si="190"/>
        <v>FOR</v>
      </c>
      <c r="AY1440" t="s">
        <v>55</v>
      </c>
    </row>
    <row r="1441" spans="1:51">
      <c r="A1441">
        <v>101336</v>
      </c>
      <c r="B1441" t="s">
        <v>227</v>
      </c>
      <c r="C1441" t="str">
        <f t="shared" si="189"/>
        <v>05351490965</v>
      </c>
      <c r="D1441" t="str">
        <f t="shared" si="189"/>
        <v>05351490965</v>
      </c>
      <c r="E1441" t="s">
        <v>52</v>
      </c>
      <c r="F1441">
        <v>2015</v>
      </c>
      <c r="G1441" t="str">
        <f>"          7680004462"</f>
        <v xml:space="preserve">          7680004462</v>
      </c>
      <c r="H1441" s="3">
        <v>42216</v>
      </c>
      <c r="I1441" s="3">
        <v>42229</v>
      </c>
      <c r="J1441" s="3">
        <v>42226</v>
      </c>
      <c r="K1441" s="3">
        <v>42286</v>
      </c>
      <c r="L1441" s="1">
        <v>921.35</v>
      </c>
      <c r="M1441">
        <v>178</v>
      </c>
      <c r="N1441" s="5">
        <v>164000.29999999999</v>
      </c>
      <c r="O1441">
        <v>921.35</v>
      </c>
      <c r="P1441">
        <v>178</v>
      </c>
      <c r="Q1441" s="4">
        <v>164000.29999999999</v>
      </c>
      <c r="R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 s="3">
        <v>42562</v>
      </c>
      <c r="AC1441" t="s">
        <v>53</v>
      </c>
      <c r="AD1441" t="s">
        <v>53</v>
      </c>
      <c r="AK1441">
        <v>0</v>
      </c>
      <c r="AU1441" s="3">
        <v>42464</v>
      </c>
      <c r="AV1441" s="3">
        <v>42464</v>
      </c>
      <c r="AW1441" t="s">
        <v>54</v>
      </c>
      <c r="AX1441" t="str">
        <f t="shared" si="190"/>
        <v>FOR</v>
      </c>
      <c r="AY1441" t="s">
        <v>55</v>
      </c>
    </row>
    <row r="1442" spans="1:51">
      <c r="A1442">
        <v>101336</v>
      </c>
      <c r="B1442" t="s">
        <v>227</v>
      </c>
      <c r="C1442" t="str">
        <f t="shared" si="189"/>
        <v>05351490965</v>
      </c>
      <c r="D1442" t="str">
        <f t="shared" si="189"/>
        <v>05351490965</v>
      </c>
      <c r="E1442" t="s">
        <v>52</v>
      </c>
      <c r="F1442">
        <v>2015</v>
      </c>
      <c r="G1442" t="str">
        <f>"          7680004843"</f>
        <v xml:space="preserve">          7680004843</v>
      </c>
      <c r="H1442" s="3">
        <v>42247</v>
      </c>
      <c r="I1442" s="3">
        <v>42261</v>
      </c>
      <c r="J1442" s="3">
        <v>42257</v>
      </c>
      <c r="K1442" s="3">
        <v>42317</v>
      </c>
      <c r="L1442" s="5">
        <v>4780.97</v>
      </c>
      <c r="M1442">
        <v>212</v>
      </c>
      <c r="N1442" s="5">
        <v>1013565.64</v>
      </c>
      <c r="O1442" s="4">
        <v>4780.97</v>
      </c>
      <c r="P1442">
        <v>212</v>
      </c>
      <c r="Q1442" s="4">
        <v>1013565.64</v>
      </c>
      <c r="R1442">
        <v>478.1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 s="3">
        <v>42562</v>
      </c>
      <c r="AC1442" t="s">
        <v>53</v>
      </c>
      <c r="AD1442" t="s">
        <v>53</v>
      </c>
      <c r="AK1442">
        <v>478.1</v>
      </c>
      <c r="AU1442" s="3">
        <v>42529</v>
      </c>
      <c r="AV1442" s="3">
        <v>42529</v>
      </c>
      <c r="AW1442" t="s">
        <v>54</v>
      </c>
      <c r="AX1442" t="str">
        <f t="shared" si="190"/>
        <v>FOR</v>
      </c>
      <c r="AY1442" t="s">
        <v>55</v>
      </c>
    </row>
    <row r="1443" spans="1:51">
      <c r="A1443">
        <v>101336</v>
      </c>
      <c r="B1443" t="s">
        <v>227</v>
      </c>
      <c r="C1443" t="str">
        <f t="shared" si="189"/>
        <v>05351490965</v>
      </c>
      <c r="D1443" t="str">
        <f t="shared" si="189"/>
        <v>05351490965</v>
      </c>
      <c r="E1443" t="s">
        <v>52</v>
      </c>
      <c r="F1443">
        <v>2015</v>
      </c>
      <c r="G1443" t="str">
        <f>"          7680004844"</f>
        <v xml:space="preserve">          7680004844</v>
      </c>
      <c r="H1443" s="3">
        <v>42247</v>
      </c>
      <c r="I1443" s="3">
        <v>42261</v>
      </c>
      <c r="J1443" s="3">
        <v>42257</v>
      </c>
      <c r="K1443" s="3">
        <v>42317</v>
      </c>
      <c r="L1443" s="5">
        <v>113096.01</v>
      </c>
      <c r="M1443">
        <v>212</v>
      </c>
      <c r="N1443" s="5">
        <v>23976354.120000001</v>
      </c>
      <c r="O1443" s="4">
        <v>113096.01</v>
      </c>
      <c r="P1443">
        <v>212</v>
      </c>
      <c r="Q1443" s="4">
        <v>23976354.120000001</v>
      </c>
      <c r="R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 s="3">
        <v>42562</v>
      </c>
      <c r="AC1443" t="s">
        <v>53</v>
      </c>
      <c r="AD1443" t="s">
        <v>53</v>
      </c>
      <c r="AK1443">
        <v>0</v>
      </c>
      <c r="AU1443" s="3">
        <v>42529</v>
      </c>
      <c r="AV1443" s="3">
        <v>42529</v>
      </c>
      <c r="AW1443" t="s">
        <v>54</v>
      </c>
      <c r="AX1443" t="str">
        <f t="shared" si="190"/>
        <v>FOR</v>
      </c>
      <c r="AY1443" t="s">
        <v>55</v>
      </c>
    </row>
    <row r="1444" spans="1:51">
      <c r="A1444">
        <v>101336</v>
      </c>
      <c r="B1444" t="s">
        <v>227</v>
      </c>
      <c r="C1444" t="str">
        <f t="shared" si="189"/>
        <v>05351490965</v>
      </c>
      <c r="D1444" t="str">
        <f t="shared" si="189"/>
        <v>05351490965</v>
      </c>
      <c r="E1444" t="s">
        <v>52</v>
      </c>
      <c r="F1444">
        <v>2015</v>
      </c>
      <c r="G1444" t="str">
        <f>"          7680004845"</f>
        <v xml:space="preserve">          7680004845</v>
      </c>
      <c r="H1444" s="3">
        <v>42247</v>
      </c>
      <c r="I1444" s="3">
        <v>42258</v>
      </c>
      <c r="J1444" s="3">
        <v>42257</v>
      </c>
      <c r="K1444" s="3">
        <v>42317</v>
      </c>
      <c r="L1444" s="5">
        <v>1975.54</v>
      </c>
      <c r="M1444">
        <v>212</v>
      </c>
      <c r="N1444" s="5">
        <v>418814.48</v>
      </c>
      <c r="O1444" s="4">
        <v>1975.54</v>
      </c>
      <c r="P1444">
        <v>212</v>
      </c>
      <c r="Q1444" s="4">
        <v>418814.48</v>
      </c>
      <c r="R1444">
        <v>79.02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0</v>
      </c>
      <c r="AB1444" s="3">
        <v>42562</v>
      </c>
      <c r="AC1444" t="s">
        <v>53</v>
      </c>
      <c r="AD1444" t="s">
        <v>53</v>
      </c>
      <c r="AK1444">
        <v>79.02</v>
      </c>
      <c r="AU1444" s="3">
        <v>42529</v>
      </c>
      <c r="AV1444" s="3">
        <v>42529</v>
      </c>
      <c r="AW1444" t="s">
        <v>54</v>
      </c>
      <c r="AX1444" t="str">
        <f t="shared" si="190"/>
        <v>FOR</v>
      </c>
      <c r="AY1444" t="s">
        <v>55</v>
      </c>
    </row>
    <row r="1445" spans="1:51">
      <c r="A1445">
        <v>101336</v>
      </c>
      <c r="B1445" t="s">
        <v>227</v>
      </c>
      <c r="C1445" t="str">
        <f t="shared" si="189"/>
        <v>05351490965</v>
      </c>
      <c r="D1445" t="str">
        <f t="shared" si="189"/>
        <v>05351490965</v>
      </c>
      <c r="E1445" t="s">
        <v>52</v>
      </c>
      <c r="F1445">
        <v>2015</v>
      </c>
      <c r="G1445" t="str">
        <f>"          7680004846"</f>
        <v xml:space="preserve">          7680004846</v>
      </c>
      <c r="H1445" s="3">
        <v>42247</v>
      </c>
      <c r="I1445" s="3">
        <v>42261</v>
      </c>
      <c r="J1445" s="3">
        <v>42257</v>
      </c>
      <c r="K1445" s="3">
        <v>42317</v>
      </c>
      <c r="L1445" s="5">
        <v>1132.69</v>
      </c>
      <c r="M1445">
        <v>212</v>
      </c>
      <c r="N1445" s="5">
        <v>240130.28</v>
      </c>
      <c r="O1445" s="4">
        <v>1132.69</v>
      </c>
      <c r="P1445">
        <v>212</v>
      </c>
      <c r="Q1445" s="4">
        <v>240130.28</v>
      </c>
      <c r="R1445">
        <v>0</v>
      </c>
      <c r="V1445">
        <v>0</v>
      </c>
      <c r="W1445">
        <v>0</v>
      </c>
      <c r="X1445">
        <v>0</v>
      </c>
      <c r="Y1445">
        <v>0</v>
      </c>
      <c r="Z1445">
        <v>0</v>
      </c>
      <c r="AA1445">
        <v>0</v>
      </c>
      <c r="AB1445" s="3">
        <v>42562</v>
      </c>
      <c r="AC1445" t="s">
        <v>53</v>
      </c>
      <c r="AD1445" t="s">
        <v>53</v>
      </c>
      <c r="AK1445">
        <v>0</v>
      </c>
      <c r="AU1445" s="3">
        <v>42529</v>
      </c>
      <c r="AV1445" s="3">
        <v>42529</v>
      </c>
      <c r="AW1445" t="s">
        <v>54</v>
      </c>
      <c r="AX1445" t="str">
        <f t="shared" si="190"/>
        <v>FOR</v>
      </c>
      <c r="AY1445" t="s">
        <v>55</v>
      </c>
    </row>
    <row r="1446" spans="1:51" hidden="1">
      <c r="A1446">
        <v>101336</v>
      </c>
      <c r="B1446" t="s">
        <v>227</v>
      </c>
      <c r="C1446" t="str">
        <f t="shared" si="189"/>
        <v>05351490965</v>
      </c>
      <c r="D1446" t="str">
        <f t="shared" si="189"/>
        <v>05351490965</v>
      </c>
      <c r="E1446" t="s">
        <v>52</v>
      </c>
      <c r="F1446">
        <v>2015</v>
      </c>
      <c r="G1446" t="str">
        <f>"          7680005637"</f>
        <v xml:space="preserve">          7680005637</v>
      </c>
      <c r="H1446" s="3">
        <v>42277</v>
      </c>
      <c r="I1446" s="3">
        <v>42291</v>
      </c>
      <c r="J1446" s="3">
        <v>42290</v>
      </c>
      <c r="K1446" s="3">
        <v>42350</v>
      </c>
      <c r="L1446"/>
      <c r="N1446"/>
      <c r="O1446" s="4">
        <v>4878.51</v>
      </c>
      <c r="P1446">
        <v>83</v>
      </c>
      <c r="Q1446" s="4">
        <v>404916.33</v>
      </c>
      <c r="R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0</v>
      </c>
      <c r="AB1446" s="3">
        <v>42562</v>
      </c>
      <c r="AC1446" t="s">
        <v>53</v>
      </c>
      <c r="AD1446" t="s">
        <v>53</v>
      </c>
      <c r="AK1446">
        <v>0</v>
      </c>
      <c r="AU1446" s="3">
        <v>42433</v>
      </c>
      <c r="AV1446" s="3">
        <v>42433</v>
      </c>
      <c r="AW1446" t="s">
        <v>54</v>
      </c>
      <c r="AX1446" t="str">
        <f t="shared" si="190"/>
        <v>FOR</v>
      </c>
      <c r="AY1446" t="s">
        <v>55</v>
      </c>
    </row>
    <row r="1447" spans="1:51" hidden="1">
      <c r="A1447">
        <v>101336</v>
      </c>
      <c r="B1447" t="s">
        <v>227</v>
      </c>
      <c r="C1447" t="str">
        <f t="shared" si="189"/>
        <v>05351490965</v>
      </c>
      <c r="D1447" t="str">
        <f t="shared" si="189"/>
        <v>05351490965</v>
      </c>
      <c r="E1447" t="s">
        <v>52</v>
      </c>
      <c r="F1447">
        <v>2015</v>
      </c>
      <c r="G1447" t="str">
        <f>"          7680005638"</f>
        <v xml:space="preserve">          7680005638</v>
      </c>
      <c r="H1447" s="3">
        <v>42277</v>
      </c>
      <c r="I1447" s="3">
        <v>42291</v>
      </c>
      <c r="J1447" s="3">
        <v>42290</v>
      </c>
      <c r="K1447" s="3">
        <v>42350</v>
      </c>
      <c r="L1447"/>
      <c r="N1447"/>
      <c r="O1447" s="4">
        <v>125525.78</v>
      </c>
      <c r="P1447">
        <v>83</v>
      </c>
      <c r="Q1447" s="4">
        <v>10418639.74</v>
      </c>
      <c r="R1447">
        <v>0</v>
      </c>
      <c r="V1447">
        <v>0</v>
      </c>
      <c r="W1447">
        <v>0</v>
      </c>
      <c r="X1447">
        <v>0</v>
      </c>
      <c r="Y1447">
        <v>0</v>
      </c>
      <c r="Z1447">
        <v>0</v>
      </c>
      <c r="AA1447">
        <v>0</v>
      </c>
      <c r="AB1447" s="3">
        <v>42562</v>
      </c>
      <c r="AC1447" t="s">
        <v>53</v>
      </c>
      <c r="AD1447" t="s">
        <v>53</v>
      </c>
      <c r="AK1447">
        <v>0</v>
      </c>
      <c r="AU1447" s="3">
        <v>42433</v>
      </c>
      <c r="AV1447" s="3">
        <v>42433</v>
      </c>
      <c r="AW1447" t="s">
        <v>54</v>
      </c>
      <c r="AX1447" t="str">
        <f t="shared" si="190"/>
        <v>FOR</v>
      </c>
      <c r="AY1447" t="s">
        <v>55</v>
      </c>
    </row>
    <row r="1448" spans="1:51" hidden="1">
      <c r="A1448">
        <v>101336</v>
      </c>
      <c r="B1448" t="s">
        <v>227</v>
      </c>
      <c r="C1448" t="str">
        <f t="shared" si="189"/>
        <v>05351490965</v>
      </c>
      <c r="D1448" t="str">
        <f t="shared" si="189"/>
        <v>05351490965</v>
      </c>
      <c r="E1448" t="s">
        <v>52</v>
      </c>
      <c r="F1448">
        <v>2015</v>
      </c>
      <c r="G1448" t="str">
        <f>"          7680005639"</f>
        <v xml:space="preserve">          7680005639</v>
      </c>
      <c r="H1448" s="3">
        <v>42277</v>
      </c>
      <c r="I1448" s="3">
        <v>42291</v>
      </c>
      <c r="J1448" s="3">
        <v>42290</v>
      </c>
      <c r="K1448" s="3">
        <v>42350</v>
      </c>
      <c r="L1448"/>
      <c r="N1448"/>
      <c r="O1448" s="4">
        <v>3478.98</v>
      </c>
      <c r="P1448">
        <v>83</v>
      </c>
      <c r="Q1448" s="4">
        <v>288755.34000000003</v>
      </c>
      <c r="R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 s="3">
        <v>42562</v>
      </c>
      <c r="AC1448" t="s">
        <v>53</v>
      </c>
      <c r="AD1448" t="s">
        <v>53</v>
      </c>
      <c r="AK1448">
        <v>0</v>
      </c>
      <c r="AU1448" s="3">
        <v>42433</v>
      </c>
      <c r="AV1448" s="3">
        <v>42433</v>
      </c>
      <c r="AW1448" t="s">
        <v>54</v>
      </c>
      <c r="AX1448" t="str">
        <f t="shared" si="190"/>
        <v>FOR</v>
      </c>
      <c r="AY1448" t="s">
        <v>55</v>
      </c>
    </row>
    <row r="1449" spans="1:51" hidden="1">
      <c r="A1449">
        <v>101336</v>
      </c>
      <c r="B1449" t="s">
        <v>227</v>
      </c>
      <c r="C1449" t="str">
        <f t="shared" si="189"/>
        <v>05351490965</v>
      </c>
      <c r="D1449" t="str">
        <f t="shared" si="189"/>
        <v>05351490965</v>
      </c>
      <c r="E1449" t="s">
        <v>52</v>
      </c>
      <c r="F1449">
        <v>2015</v>
      </c>
      <c r="G1449" t="str">
        <f>"          7680005640"</f>
        <v xml:space="preserve">          7680005640</v>
      </c>
      <c r="H1449" s="3">
        <v>42277</v>
      </c>
      <c r="I1449" s="3">
        <v>42291</v>
      </c>
      <c r="J1449" s="3">
        <v>42290</v>
      </c>
      <c r="K1449" s="3">
        <v>42350</v>
      </c>
      <c r="L1449"/>
      <c r="N1449"/>
      <c r="O1449">
        <v>963.94</v>
      </c>
      <c r="P1449">
        <v>83</v>
      </c>
      <c r="Q1449" s="4">
        <v>80007.02</v>
      </c>
      <c r="R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>
        <v>0</v>
      </c>
      <c r="AB1449" s="3">
        <v>42562</v>
      </c>
      <c r="AC1449" t="s">
        <v>53</v>
      </c>
      <c r="AD1449" t="s">
        <v>53</v>
      </c>
      <c r="AK1449">
        <v>0</v>
      </c>
      <c r="AU1449" s="3">
        <v>42433</v>
      </c>
      <c r="AV1449" s="3">
        <v>42433</v>
      </c>
      <c r="AW1449" t="s">
        <v>54</v>
      </c>
      <c r="AX1449" t="str">
        <f t="shared" si="190"/>
        <v>FOR</v>
      </c>
      <c r="AY1449" t="s">
        <v>55</v>
      </c>
    </row>
    <row r="1450" spans="1:51">
      <c r="A1450">
        <v>101336</v>
      </c>
      <c r="B1450" t="s">
        <v>227</v>
      </c>
      <c r="C1450" t="str">
        <f t="shared" si="189"/>
        <v>05351490965</v>
      </c>
      <c r="D1450" t="str">
        <f t="shared" si="189"/>
        <v>05351490965</v>
      </c>
      <c r="E1450" t="s">
        <v>52</v>
      </c>
      <c r="F1450">
        <v>2016</v>
      </c>
      <c r="G1450" t="str">
        <f>"          7680008915"</f>
        <v xml:space="preserve">          7680008915</v>
      </c>
      <c r="H1450" s="3">
        <v>42400</v>
      </c>
      <c r="I1450" s="3">
        <v>42416</v>
      </c>
      <c r="J1450" s="3">
        <v>42415</v>
      </c>
      <c r="K1450" s="3">
        <v>42475</v>
      </c>
      <c r="L1450" s="5">
        <v>5417.45</v>
      </c>
      <c r="M1450">
        <v>18</v>
      </c>
      <c r="N1450" s="5">
        <v>97514.1</v>
      </c>
      <c r="O1450" s="4">
        <v>5417.45</v>
      </c>
      <c r="P1450">
        <v>18</v>
      </c>
      <c r="Q1450" s="4">
        <v>97514.1</v>
      </c>
      <c r="R1450">
        <v>0</v>
      </c>
      <c r="V1450">
        <v>0</v>
      </c>
      <c r="W1450">
        <v>0</v>
      </c>
      <c r="X1450">
        <v>0</v>
      </c>
      <c r="Y1450" s="4">
        <v>5959.2</v>
      </c>
      <c r="Z1450" s="4">
        <v>5959.2</v>
      </c>
      <c r="AA1450" s="4">
        <v>5959.2</v>
      </c>
      <c r="AB1450" s="3">
        <v>42562</v>
      </c>
      <c r="AC1450" t="s">
        <v>53</v>
      </c>
      <c r="AD1450" t="s">
        <v>53</v>
      </c>
      <c r="AK1450">
        <v>0</v>
      </c>
      <c r="AU1450" s="3">
        <v>42493</v>
      </c>
      <c r="AV1450" s="3">
        <v>42493</v>
      </c>
      <c r="AW1450" t="s">
        <v>54</v>
      </c>
      <c r="AX1450" t="str">
        <f t="shared" si="190"/>
        <v>FOR</v>
      </c>
      <c r="AY1450" t="s">
        <v>55</v>
      </c>
    </row>
    <row r="1451" spans="1:51">
      <c r="A1451">
        <v>101336</v>
      </c>
      <c r="B1451" t="s">
        <v>227</v>
      </c>
      <c r="C1451" t="str">
        <f t="shared" si="189"/>
        <v>05351490965</v>
      </c>
      <c r="D1451" t="str">
        <f t="shared" si="189"/>
        <v>05351490965</v>
      </c>
      <c r="E1451" t="s">
        <v>52</v>
      </c>
      <c r="F1451">
        <v>2016</v>
      </c>
      <c r="G1451" t="str">
        <f>"          7680008916"</f>
        <v xml:space="preserve">          7680008916</v>
      </c>
      <c r="H1451" s="3">
        <v>42400</v>
      </c>
      <c r="I1451" s="3">
        <v>42416</v>
      </c>
      <c r="J1451" s="3">
        <v>42415</v>
      </c>
      <c r="K1451" s="3">
        <v>42475</v>
      </c>
      <c r="L1451" s="5">
        <v>125024.88</v>
      </c>
      <c r="M1451">
        <v>18</v>
      </c>
      <c r="N1451" s="5">
        <v>2250447.84</v>
      </c>
      <c r="O1451" s="4">
        <v>125024.88</v>
      </c>
      <c r="P1451">
        <v>18</v>
      </c>
      <c r="Q1451" s="4">
        <v>2250447.84</v>
      </c>
      <c r="R1451">
        <v>0</v>
      </c>
      <c r="V1451">
        <v>0</v>
      </c>
      <c r="W1451">
        <v>0</v>
      </c>
      <c r="X1451">
        <v>0</v>
      </c>
      <c r="Y1451" s="4">
        <v>125024.88</v>
      </c>
      <c r="Z1451" s="4">
        <v>125024.88</v>
      </c>
      <c r="AA1451" s="4">
        <v>125024.88</v>
      </c>
      <c r="AB1451" s="3">
        <v>42562</v>
      </c>
      <c r="AC1451" t="s">
        <v>53</v>
      </c>
      <c r="AD1451" t="s">
        <v>53</v>
      </c>
      <c r="AK1451">
        <v>0</v>
      </c>
      <c r="AU1451" s="3">
        <v>42493</v>
      </c>
      <c r="AV1451" s="3">
        <v>42493</v>
      </c>
      <c r="AW1451" t="s">
        <v>54</v>
      </c>
      <c r="AX1451" t="str">
        <f t="shared" si="190"/>
        <v>FOR</v>
      </c>
      <c r="AY1451" t="s">
        <v>55</v>
      </c>
    </row>
    <row r="1452" spans="1:51">
      <c r="A1452">
        <v>101336</v>
      </c>
      <c r="B1452" t="s">
        <v>227</v>
      </c>
      <c r="C1452" t="str">
        <f t="shared" si="189"/>
        <v>05351490965</v>
      </c>
      <c r="D1452" t="str">
        <f t="shared" si="189"/>
        <v>05351490965</v>
      </c>
      <c r="E1452" t="s">
        <v>52</v>
      </c>
      <c r="F1452">
        <v>2016</v>
      </c>
      <c r="G1452" t="str">
        <f>"          7680008917"</f>
        <v xml:space="preserve">          7680008917</v>
      </c>
      <c r="H1452" s="3">
        <v>42400</v>
      </c>
      <c r="I1452" s="3">
        <v>42416</v>
      </c>
      <c r="J1452" s="3">
        <v>42415</v>
      </c>
      <c r="K1452" s="3">
        <v>42475</v>
      </c>
      <c r="L1452" s="5">
        <v>2919.73</v>
      </c>
      <c r="M1452">
        <v>18</v>
      </c>
      <c r="N1452" s="5">
        <v>52555.14</v>
      </c>
      <c r="O1452" s="4">
        <v>2919.73</v>
      </c>
      <c r="P1452">
        <v>18</v>
      </c>
      <c r="Q1452" s="4">
        <v>52555.14</v>
      </c>
      <c r="R1452">
        <v>0</v>
      </c>
      <c r="V1452">
        <v>0</v>
      </c>
      <c r="W1452">
        <v>0</v>
      </c>
      <c r="X1452">
        <v>0</v>
      </c>
      <c r="Y1452" s="4">
        <v>3036.52</v>
      </c>
      <c r="Z1452" s="4">
        <v>3036.52</v>
      </c>
      <c r="AA1452" s="4">
        <v>3036.52</v>
      </c>
      <c r="AB1452" s="3">
        <v>42562</v>
      </c>
      <c r="AC1452" t="s">
        <v>53</v>
      </c>
      <c r="AD1452" t="s">
        <v>53</v>
      </c>
      <c r="AK1452">
        <v>0</v>
      </c>
      <c r="AU1452" s="3">
        <v>42493</v>
      </c>
      <c r="AV1452" s="3">
        <v>42493</v>
      </c>
      <c r="AW1452" t="s">
        <v>54</v>
      </c>
      <c r="AX1452" t="str">
        <f t="shared" si="190"/>
        <v>FOR</v>
      </c>
      <c r="AY1452" t="s">
        <v>55</v>
      </c>
    </row>
    <row r="1453" spans="1:51">
      <c r="A1453">
        <v>101336</v>
      </c>
      <c r="B1453" t="s">
        <v>227</v>
      </c>
      <c r="C1453" t="str">
        <f t="shared" si="189"/>
        <v>05351490965</v>
      </c>
      <c r="D1453" t="str">
        <f t="shared" si="189"/>
        <v>05351490965</v>
      </c>
      <c r="E1453" t="s">
        <v>52</v>
      </c>
      <c r="F1453">
        <v>2016</v>
      </c>
      <c r="G1453" t="str">
        <f>"          7680008918"</f>
        <v xml:space="preserve">          7680008918</v>
      </c>
      <c r="H1453" s="3">
        <v>42400</v>
      </c>
      <c r="I1453" s="3">
        <v>42416</v>
      </c>
      <c r="J1453" s="3">
        <v>42415</v>
      </c>
      <c r="K1453" s="3">
        <v>42475</v>
      </c>
      <c r="L1453" s="1">
        <v>890.66</v>
      </c>
      <c r="M1453">
        <v>18</v>
      </c>
      <c r="N1453" s="5">
        <v>16031.88</v>
      </c>
      <c r="O1453">
        <v>890.66</v>
      </c>
      <c r="P1453">
        <v>18</v>
      </c>
      <c r="Q1453" s="4">
        <v>16031.88</v>
      </c>
      <c r="R1453">
        <v>0</v>
      </c>
      <c r="V1453">
        <v>0</v>
      </c>
      <c r="W1453">
        <v>0</v>
      </c>
      <c r="X1453">
        <v>0</v>
      </c>
      <c r="Y1453">
        <v>890.66</v>
      </c>
      <c r="Z1453">
        <v>890.66</v>
      </c>
      <c r="AA1453">
        <v>890.66</v>
      </c>
      <c r="AB1453" s="3">
        <v>42562</v>
      </c>
      <c r="AC1453" t="s">
        <v>53</v>
      </c>
      <c r="AD1453" t="s">
        <v>53</v>
      </c>
      <c r="AK1453">
        <v>0</v>
      </c>
      <c r="AU1453" s="3">
        <v>42493</v>
      </c>
      <c r="AV1453" s="3">
        <v>42493</v>
      </c>
      <c r="AW1453" t="s">
        <v>54</v>
      </c>
      <c r="AX1453" t="str">
        <f t="shared" si="190"/>
        <v>FOR</v>
      </c>
      <c r="AY1453" t="s">
        <v>55</v>
      </c>
    </row>
    <row r="1454" spans="1:51" hidden="1">
      <c r="A1454">
        <v>101337</v>
      </c>
      <c r="B1454" t="s">
        <v>228</v>
      </c>
      <c r="C1454" t="str">
        <f t="shared" ref="C1454:D1458" si="191">"05206041211"</f>
        <v>05206041211</v>
      </c>
      <c r="D1454" t="str">
        <f t="shared" si="191"/>
        <v>05206041211</v>
      </c>
      <c r="E1454" t="s">
        <v>52</v>
      </c>
      <c r="F1454">
        <v>2015</v>
      </c>
      <c r="G1454" t="str">
        <f>"                 300"</f>
        <v xml:space="preserve">                 300</v>
      </c>
      <c r="H1454" s="3">
        <v>42153</v>
      </c>
      <c r="I1454" s="3">
        <v>42198</v>
      </c>
      <c r="J1454" s="3">
        <v>42196</v>
      </c>
      <c r="K1454" s="3">
        <v>42256</v>
      </c>
      <c r="L1454"/>
      <c r="N1454"/>
      <c r="O1454">
        <v>652.79999999999995</v>
      </c>
      <c r="P1454">
        <v>197</v>
      </c>
      <c r="Q1454" s="4">
        <v>128601.60000000001</v>
      </c>
      <c r="R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0</v>
      </c>
      <c r="AB1454" s="3">
        <v>42562</v>
      </c>
      <c r="AC1454" t="s">
        <v>53</v>
      </c>
      <c r="AD1454" t="s">
        <v>53</v>
      </c>
      <c r="AK1454">
        <v>0</v>
      </c>
      <c r="AU1454" s="3">
        <v>42453</v>
      </c>
      <c r="AV1454" s="3">
        <v>42453</v>
      </c>
      <c r="AW1454" t="s">
        <v>54</v>
      </c>
      <c r="AX1454" t="str">
        <f t="shared" si="190"/>
        <v>FOR</v>
      </c>
      <c r="AY1454" t="s">
        <v>55</v>
      </c>
    </row>
    <row r="1455" spans="1:51" hidden="1">
      <c r="A1455">
        <v>101337</v>
      </c>
      <c r="B1455" t="s">
        <v>228</v>
      </c>
      <c r="C1455" t="str">
        <f t="shared" si="191"/>
        <v>05206041211</v>
      </c>
      <c r="D1455" t="str">
        <f t="shared" si="191"/>
        <v>05206041211</v>
      </c>
      <c r="E1455" t="s">
        <v>52</v>
      </c>
      <c r="F1455">
        <v>2015</v>
      </c>
      <c r="G1455" t="str">
        <f>"                 301"</f>
        <v xml:space="preserve">                 301</v>
      </c>
      <c r="H1455" s="3">
        <v>42153</v>
      </c>
      <c r="I1455" s="3">
        <v>42198</v>
      </c>
      <c r="J1455" s="3">
        <v>42196</v>
      </c>
      <c r="K1455" s="3">
        <v>42256</v>
      </c>
      <c r="L1455"/>
      <c r="N1455"/>
      <c r="O1455">
        <v>300</v>
      </c>
      <c r="P1455">
        <v>197</v>
      </c>
      <c r="Q1455" s="4">
        <v>59100</v>
      </c>
      <c r="R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 s="3">
        <v>42562</v>
      </c>
      <c r="AC1455" t="s">
        <v>53</v>
      </c>
      <c r="AD1455" t="s">
        <v>53</v>
      </c>
      <c r="AK1455">
        <v>0</v>
      </c>
      <c r="AU1455" s="3">
        <v>42453</v>
      </c>
      <c r="AV1455" s="3">
        <v>42453</v>
      </c>
      <c r="AW1455" t="s">
        <v>54</v>
      </c>
      <c r="AX1455" t="str">
        <f t="shared" si="190"/>
        <v>FOR</v>
      </c>
      <c r="AY1455" t="s">
        <v>55</v>
      </c>
    </row>
    <row r="1456" spans="1:51">
      <c r="A1456">
        <v>101337</v>
      </c>
      <c r="B1456" t="s">
        <v>228</v>
      </c>
      <c r="C1456" t="str">
        <f t="shared" si="191"/>
        <v>05206041211</v>
      </c>
      <c r="D1456" t="str">
        <f t="shared" si="191"/>
        <v>05206041211</v>
      </c>
      <c r="E1456" t="s">
        <v>52</v>
      </c>
      <c r="F1456">
        <v>2015</v>
      </c>
      <c r="G1456" t="str">
        <f>"                 328"</f>
        <v xml:space="preserve">                 328</v>
      </c>
      <c r="H1456" s="3">
        <v>42167</v>
      </c>
      <c r="I1456" s="3">
        <v>42198</v>
      </c>
      <c r="J1456" s="3">
        <v>42196</v>
      </c>
      <c r="K1456" s="3">
        <v>42256</v>
      </c>
      <c r="L1456" s="1">
        <v>847.8</v>
      </c>
      <c r="M1456">
        <v>231</v>
      </c>
      <c r="N1456" s="5">
        <v>195841.8</v>
      </c>
      <c r="O1456">
        <v>847.8</v>
      </c>
      <c r="P1456">
        <v>231</v>
      </c>
      <c r="Q1456" s="4">
        <v>195841.8</v>
      </c>
      <c r="R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 s="3">
        <v>42562</v>
      </c>
      <c r="AC1456" t="s">
        <v>53</v>
      </c>
      <c r="AD1456" t="s">
        <v>53</v>
      </c>
      <c r="AK1456">
        <v>0</v>
      </c>
      <c r="AU1456" s="3">
        <v>42487</v>
      </c>
      <c r="AV1456" s="3">
        <v>42487</v>
      </c>
      <c r="AW1456" t="s">
        <v>54</v>
      </c>
      <c r="AX1456" t="str">
        <f t="shared" si="190"/>
        <v>FOR</v>
      </c>
      <c r="AY1456" t="s">
        <v>55</v>
      </c>
    </row>
    <row r="1457" spans="1:51">
      <c r="A1457">
        <v>101337</v>
      </c>
      <c r="B1457" t="s">
        <v>228</v>
      </c>
      <c r="C1457" t="str">
        <f t="shared" si="191"/>
        <v>05206041211</v>
      </c>
      <c r="D1457" t="str">
        <f t="shared" si="191"/>
        <v>05206041211</v>
      </c>
      <c r="E1457" t="s">
        <v>52</v>
      </c>
      <c r="F1457">
        <v>2015</v>
      </c>
      <c r="G1457" t="str">
        <f>"                 350"</f>
        <v xml:space="preserve">                 350</v>
      </c>
      <c r="H1457" s="3">
        <v>42178</v>
      </c>
      <c r="I1457" s="3">
        <v>42198</v>
      </c>
      <c r="J1457" s="3">
        <v>42196</v>
      </c>
      <c r="K1457" s="3">
        <v>42256</v>
      </c>
      <c r="L1457" s="1">
        <v>824</v>
      </c>
      <c r="M1457">
        <v>231</v>
      </c>
      <c r="N1457" s="5">
        <v>190344</v>
      </c>
      <c r="O1457">
        <v>824</v>
      </c>
      <c r="P1457">
        <v>231</v>
      </c>
      <c r="Q1457" s="4">
        <v>190344</v>
      </c>
      <c r="R1457">
        <v>0</v>
      </c>
      <c r="V1457">
        <v>0</v>
      </c>
      <c r="W1457">
        <v>0</v>
      </c>
      <c r="X1457">
        <v>0</v>
      </c>
      <c r="Y1457">
        <v>0</v>
      </c>
      <c r="Z1457">
        <v>0</v>
      </c>
      <c r="AA1457">
        <v>0</v>
      </c>
      <c r="AB1457" s="3">
        <v>42562</v>
      </c>
      <c r="AC1457" t="s">
        <v>53</v>
      </c>
      <c r="AD1457" t="s">
        <v>53</v>
      </c>
      <c r="AK1457">
        <v>0</v>
      </c>
      <c r="AU1457" s="3">
        <v>42487</v>
      </c>
      <c r="AV1457" s="3">
        <v>42487</v>
      </c>
      <c r="AW1457" t="s">
        <v>54</v>
      </c>
      <c r="AX1457" t="str">
        <f t="shared" si="190"/>
        <v>FOR</v>
      </c>
      <c r="AY1457" t="s">
        <v>55</v>
      </c>
    </row>
    <row r="1458" spans="1:51">
      <c r="A1458">
        <v>101337</v>
      </c>
      <c r="B1458" t="s">
        <v>228</v>
      </c>
      <c r="C1458" t="str">
        <f t="shared" si="191"/>
        <v>05206041211</v>
      </c>
      <c r="D1458" t="str">
        <f t="shared" si="191"/>
        <v>05206041211</v>
      </c>
      <c r="E1458" t="s">
        <v>52</v>
      </c>
      <c r="F1458">
        <v>2015</v>
      </c>
      <c r="G1458" t="str">
        <f>"                 365"</f>
        <v xml:space="preserve">                 365</v>
      </c>
      <c r="H1458" s="3">
        <v>42188</v>
      </c>
      <c r="I1458" s="3">
        <v>42233</v>
      </c>
      <c r="J1458" s="3">
        <v>42209</v>
      </c>
      <c r="K1458" s="3">
        <v>42269</v>
      </c>
      <c r="L1458" s="1">
        <v>245.7</v>
      </c>
      <c r="M1458">
        <v>218</v>
      </c>
      <c r="N1458" s="5">
        <v>53562.6</v>
      </c>
      <c r="O1458">
        <v>245.7</v>
      </c>
      <c r="P1458">
        <v>218</v>
      </c>
      <c r="Q1458" s="4">
        <v>53562.6</v>
      </c>
      <c r="R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0</v>
      </c>
      <c r="AB1458" s="3">
        <v>42562</v>
      </c>
      <c r="AC1458" t="s">
        <v>53</v>
      </c>
      <c r="AD1458" t="s">
        <v>53</v>
      </c>
      <c r="AK1458">
        <v>0</v>
      </c>
      <c r="AU1458" s="3">
        <v>42487</v>
      </c>
      <c r="AV1458" s="3">
        <v>42487</v>
      </c>
      <c r="AW1458" t="s">
        <v>54</v>
      </c>
      <c r="AX1458" t="str">
        <f t="shared" si="190"/>
        <v>FOR</v>
      </c>
      <c r="AY1458" t="s">
        <v>55</v>
      </c>
    </row>
    <row r="1459" spans="1:51" hidden="1">
      <c r="A1459">
        <v>101352</v>
      </c>
      <c r="B1459" t="s">
        <v>229</v>
      </c>
      <c r="C1459" t="str">
        <f>""</f>
        <v/>
      </c>
      <c r="D1459" t="str">
        <f>""</f>
        <v/>
      </c>
      <c r="E1459" t="s">
        <v>52</v>
      </c>
      <c r="F1459">
        <v>2016</v>
      </c>
      <c r="G1459" t="str">
        <f>"             2016/17"</f>
        <v xml:space="preserve">             2016/17</v>
      </c>
      <c r="H1459" s="3">
        <v>42381</v>
      </c>
      <c r="I1459" s="3">
        <v>42402</v>
      </c>
      <c r="J1459" s="3">
        <v>42402</v>
      </c>
      <c r="K1459" s="3">
        <v>42462</v>
      </c>
      <c r="L1459"/>
      <c r="N1459"/>
      <c r="O1459" s="4">
        <v>6000</v>
      </c>
      <c r="P1459">
        <v>-60</v>
      </c>
      <c r="Q1459" s="4">
        <v>-360000</v>
      </c>
      <c r="R1459">
        <v>0</v>
      </c>
      <c r="V1459">
        <v>0</v>
      </c>
      <c r="W1459">
        <v>0</v>
      </c>
      <c r="X1459">
        <v>0</v>
      </c>
      <c r="Y1459">
        <v>0</v>
      </c>
      <c r="Z1459" s="4">
        <v>6000</v>
      </c>
      <c r="AA1459" s="4">
        <v>6000</v>
      </c>
      <c r="AB1459" s="3">
        <v>42562</v>
      </c>
      <c r="AC1459" t="s">
        <v>53</v>
      </c>
      <c r="AD1459" t="s">
        <v>53</v>
      </c>
      <c r="AK1459">
        <v>0</v>
      </c>
      <c r="AU1459" s="3">
        <v>42402</v>
      </c>
      <c r="AV1459" s="3">
        <v>42402</v>
      </c>
      <c r="AW1459" t="s">
        <v>54</v>
      </c>
      <c r="AX1459" t="str">
        <f t="shared" si="190"/>
        <v>FOR</v>
      </c>
      <c r="AY1459" t="s">
        <v>55</v>
      </c>
    </row>
    <row r="1460" spans="1:51">
      <c r="A1460">
        <v>101352</v>
      </c>
      <c r="B1460" t="s">
        <v>229</v>
      </c>
      <c r="C1460" t="str">
        <f>""</f>
        <v/>
      </c>
      <c r="D1460" t="str">
        <f>""</f>
        <v/>
      </c>
      <c r="E1460" t="s">
        <v>52</v>
      </c>
      <c r="F1460">
        <v>2016</v>
      </c>
      <c r="G1460" t="str">
        <f>"            2016/120"</f>
        <v xml:space="preserve">            2016/120</v>
      </c>
      <c r="H1460" s="3">
        <v>42433</v>
      </c>
      <c r="I1460" s="3">
        <v>42460</v>
      </c>
      <c r="J1460" s="3">
        <v>42460</v>
      </c>
      <c r="K1460" s="3">
        <v>42520</v>
      </c>
      <c r="L1460" s="5">
        <v>9000</v>
      </c>
      <c r="M1460">
        <v>-56</v>
      </c>
      <c r="N1460" s="5">
        <v>-504000</v>
      </c>
      <c r="O1460" s="4">
        <v>9000</v>
      </c>
      <c r="P1460">
        <v>-56</v>
      </c>
      <c r="Q1460" s="4">
        <v>-504000</v>
      </c>
      <c r="R1460">
        <v>0</v>
      </c>
      <c r="V1460">
        <v>0</v>
      </c>
      <c r="W1460">
        <v>0</v>
      </c>
      <c r="X1460">
        <v>0</v>
      </c>
      <c r="Y1460" s="4">
        <v>9000</v>
      </c>
      <c r="Z1460" s="4">
        <v>9000</v>
      </c>
      <c r="AA1460" s="4">
        <v>9000</v>
      </c>
      <c r="AB1460" s="3">
        <v>42562</v>
      </c>
      <c r="AC1460" t="s">
        <v>53</v>
      </c>
      <c r="AD1460" t="s">
        <v>53</v>
      </c>
      <c r="AK1460">
        <v>0</v>
      </c>
      <c r="AU1460" s="3">
        <v>42464</v>
      </c>
      <c r="AV1460" s="3">
        <v>42464</v>
      </c>
      <c r="AW1460" t="s">
        <v>54</v>
      </c>
      <c r="AX1460" t="str">
        <f t="shared" si="190"/>
        <v>FOR</v>
      </c>
      <c r="AY1460" t="s">
        <v>55</v>
      </c>
    </row>
    <row r="1461" spans="1:51" hidden="1">
      <c r="A1461">
        <v>101353</v>
      </c>
      <c r="B1461" t="s">
        <v>230</v>
      </c>
      <c r="C1461" t="str">
        <f>"01491140628"</f>
        <v>01491140628</v>
      </c>
      <c r="D1461" t="str">
        <f>"CPBSFN77D27A783Q"</f>
        <v>CPBSFN77D27A783Q</v>
      </c>
      <c r="E1461" t="s">
        <v>52</v>
      </c>
      <c r="F1461">
        <v>2016</v>
      </c>
      <c r="G1461" t="str">
        <f>"                  1E"</f>
        <v xml:space="preserve">                  1E</v>
      </c>
      <c r="H1461" s="3">
        <v>42381</v>
      </c>
      <c r="I1461" s="3">
        <v>42382</v>
      </c>
      <c r="J1461" s="3">
        <v>42381</v>
      </c>
      <c r="K1461" s="3">
        <v>42441</v>
      </c>
      <c r="L1461"/>
      <c r="N1461"/>
      <c r="O1461" s="4">
        <v>1362.83</v>
      </c>
      <c r="P1461">
        <v>-44</v>
      </c>
      <c r="Q1461" s="4">
        <v>-59964.52</v>
      </c>
      <c r="R1461">
        <v>0</v>
      </c>
      <c r="V1461">
        <v>0</v>
      </c>
      <c r="W1461">
        <v>0</v>
      </c>
      <c r="X1461">
        <v>0</v>
      </c>
      <c r="Y1461">
        <v>-340.21</v>
      </c>
      <c r="Z1461" s="4">
        <v>1362.83</v>
      </c>
      <c r="AA1461" s="4">
        <v>1362.83</v>
      </c>
      <c r="AB1461" s="3">
        <v>42562</v>
      </c>
      <c r="AC1461" t="s">
        <v>53</v>
      </c>
      <c r="AD1461" t="s">
        <v>53</v>
      </c>
      <c r="AK1461">
        <v>0</v>
      </c>
      <c r="AU1461" s="3">
        <v>42397</v>
      </c>
      <c r="AV1461" s="3">
        <v>42397</v>
      </c>
      <c r="AW1461" t="s">
        <v>54</v>
      </c>
      <c r="AX1461" t="str">
        <f>"ALTPRO"</f>
        <v>ALTPRO</v>
      </c>
      <c r="AY1461" t="s">
        <v>93</v>
      </c>
    </row>
    <row r="1462" spans="1:51" hidden="1">
      <c r="A1462">
        <v>101356</v>
      </c>
      <c r="B1462" t="s">
        <v>231</v>
      </c>
      <c r="C1462" t="str">
        <f t="shared" ref="C1462:C1468" si="192">"00567650122"</f>
        <v>00567650122</v>
      </c>
      <c r="D1462" t="str">
        <f t="shared" ref="D1462:D1468" si="193">"PNILRA46P47I441K"</f>
        <v>PNILRA46P47I441K</v>
      </c>
      <c r="E1462" t="s">
        <v>52</v>
      </c>
      <c r="F1462">
        <v>2015</v>
      </c>
      <c r="G1462" t="str">
        <f>"             105/E15"</f>
        <v xml:space="preserve">             105/E15</v>
      </c>
      <c r="H1462" s="3">
        <v>42118</v>
      </c>
      <c r="I1462" s="3">
        <v>42124</v>
      </c>
      <c r="J1462" s="3">
        <v>42123</v>
      </c>
      <c r="K1462" s="3">
        <v>42183</v>
      </c>
      <c r="L1462"/>
      <c r="N1462"/>
      <c r="O1462">
        <v>264.10000000000002</v>
      </c>
      <c r="P1462">
        <v>233</v>
      </c>
      <c r="Q1462" s="4">
        <v>61535.3</v>
      </c>
      <c r="R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 s="3">
        <v>42562</v>
      </c>
      <c r="AC1462" t="s">
        <v>53</v>
      </c>
      <c r="AD1462" t="s">
        <v>53</v>
      </c>
      <c r="AK1462">
        <v>0</v>
      </c>
      <c r="AU1462" s="3">
        <v>42416</v>
      </c>
      <c r="AV1462" s="3">
        <v>42416</v>
      </c>
      <c r="AW1462" t="s">
        <v>54</v>
      </c>
      <c r="AX1462" t="str">
        <f t="shared" ref="AX1462:AX1475" si="194">"FOR"</f>
        <v>FOR</v>
      </c>
      <c r="AY1462" t="s">
        <v>55</v>
      </c>
    </row>
    <row r="1463" spans="1:51" hidden="1">
      <c r="A1463">
        <v>101356</v>
      </c>
      <c r="B1463" t="s">
        <v>231</v>
      </c>
      <c r="C1463" t="str">
        <f t="shared" si="192"/>
        <v>00567650122</v>
      </c>
      <c r="D1463" t="str">
        <f t="shared" si="193"/>
        <v>PNILRA46P47I441K</v>
      </c>
      <c r="E1463" t="s">
        <v>52</v>
      </c>
      <c r="F1463">
        <v>2015</v>
      </c>
      <c r="G1463" t="str">
        <f>"             106/E15"</f>
        <v xml:space="preserve">             106/E15</v>
      </c>
      <c r="H1463" s="3">
        <v>42118</v>
      </c>
      <c r="I1463" s="3">
        <v>42124</v>
      </c>
      <c r="J1463" s="3">
        <v>42123</v>
      </c>
      <c r="K1463" s="3">
        <v>42183</v>
      </c>
      <c r="L1463"/>
      <c r="N1463"/>
      <c r="O1463">
        <v>116.75</v>
      </c>
      <c r="P1463">
        <v>233</v>
      </c>
      <c r="Q1463" s="4">
        <v>27202.75</v>
      </c>
      <c r="R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 s="3">
        <v>42562</v>
      </c>
      <c r="AC1463" t="s">
        <v>53</v>
      </c>
      <c r="AD1463" t="s">
        <v>53</v>
      </c>
      <c r="AK1463">
        <v>0</v>
      </c>
      <c r="AU1463" s="3">
        <v>42416</v>
      </c>
      <c r="AV1463" s="3">
        <v>42416</v>
      </c>
      <c r="AW1463" t="s">
        <v>54</v>
      </c>
      <c r="AX1463" t="str">
        <f t="shared" si="194"/>
        <v>FOR</v>
      </c>
      <c r="AY1463" t="s">
        <v>55</v>
      </c>
    </row>
    <row r="1464" spans="1:51" hidden="1">
      <c r="A1464">
        <v>101356</v>
      </c>
      <c r="B1464" t="s">
        <v>231</v>
      </c>
      <c r="C1464" t="str">
        <f t="shared" si="192"/>
        <v>00567650122</v>
      </c>
      <c r="D1464" t="str">
        <f t="shared" si="193"/>
        <v>PNILRA46P47I441K</v>
      </c>
      <c r="E1464" t="s">
        <v>52</v>
      </c>
      <c r="F1464">
        <v>2015</v>
      </c>
      <c r="G1464" t="str">
        <f>"             178/E15"</f>
        <v xml:space="preserve">             178/E15</v>
      </c>
      <c r="H1464" s="3">
        <v>42124</v>
      </c>
      <c r="I1464" s="3">
        <v>42135</v>
      </c>
      <c r="J1464" s="3">
        <v>42133</v>
      </c>
      <c r="K1464" s="3">
        <v>42193</v>
      </c>
      <c r="L1464"/>
      <c r="N1464"/>
      <c r="O1464">
        <v>251.75</v>
      </c>
      <c r="P1464">
        <v>223</v>
      </c>
      <c r="Q1464" s="4">
        <v>56140.25</v>
      </c>
      <c r="R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 s="3">
        <v>42562</v>
      </c>
      <c r="AC1464" t="s">
        <v>53</v>
      </c>
      <c r="AD1464" t="s">
        <v>53</v>
      </c>
      <c r="AK1464">
        <v>0</v>
      </c>
      <c r="AU1464" s="3">
        <v>42416</v>
      </c>
      <c r="AV1464" s="3">
        <v>42416</v>
      </c>
      <c r="AW1464" t="s">
        <v>54</v>
      </c>
      <c r="AX1464" t="str">
        <f t="shared" si="194"/>
        <v>FOR</v>
      </c>
      <c r="AY1464" t="s">
        <v>55</v>
      </c>
    </row>
    <row r="1465" spans="1:51" hidden="1">
      <c r="A1465">
        <v>101356</v>
      </c>
      <c r="B1465" t="s">
        <v>231</v>
      </c>
      <c r="C1465" t="str">
        <f t="shared" si="192"/>
        <v>00567650122</v>
      </c>
      <c r="D1465" t="str">
        <f t="shared" si="193"/>
        <v>PNILRA46P47I441K</v>
      </c>
      <c r="E1465" t="s">
        <v>52</v>
      </c>
      <c r="F1465">
        <v>2015</v>
      </c>
      <c r="G1465" t="str">
        <f>"             290/E15"</f>
        <v xml:space="preserve">             290/E15</v>
      </c>
      <c r="H1465" s="3">
        <v>42153</v>
      </c>
      <c r="I1465" s="3">
        <v>42164</v>
      </c>
      <c r="J1465" s="3">
        <v>42160</v>
      </c>
      <c r="K1465" s="3">
        <v>42220</v>
      </c>
      <c r="L1465"/>
      <c r="N1465"/>
      <c r="O1465">
        <v>251.75</v>
      </c>
      <c r="P1465">
        <v>233</v>
      </c>
      <c r="Q1465" s="4">
        <v>58657.75</v>
      </c>
      <c r="R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 s="3">
        <v>42562</v>
      </c>
      <c r="AC1465" t="s">
        <v>53</v>
      </c>
      <c r="AD1465" t="s">
        <v>53</v>
      </c>
      <c r="AK1465">
        <v>0</v>
      </c>
      <c r="AU1465" s="3">
        <v>42453</v>
      </c>
      <c r="AV1465" s="3">
        <v>42453</v>
      </c>
      <c r="AW1465" t="s">
        <v>54</v>
      </c>
      <c r="AX1465" t="str">
        <f t="shared" si="194"/>
        <v>FOR</v>
      </c>
      <c r="AY1465" t="s">
        <v>55</v>
      </c>
    </row>
    <row r="1466" spans="1:51" hidden="1">
      <c r="A1466">
        <v>101356</v>
      </c>
      <c r="B1466" t="s">
        <v>231</v>
      </c>
      <c r="C1466" t="str">
        <f t="shared" si="192"/>
        <v>00567650122</v>
      </c>
      <c r="D1466" t="str">
        <f t="shared" si="193"/>
        <v>PNILRA46P47I441K</v>
      </c>
      <c r="E1466" t="s">
        <v>52</v>
      </c>
      <c r="F1466">
        <v>2015</v>
      </c>
      <c r="G1466" t="str">
        <f>"             291/E15"</f>
        <v xml:space="preserve">             291/E15</v>
      </c>
      <c r="H1466" s="3">
        <v>42153</v>
      </c>
      <c r="I1466" s="3">
        <v>42164</v>
      </c>
      <c r="J1466" s="3">
        <v>42160</v>
      </c>
      <c r="K1466" s="3">
        <v>42220</v>
      </c>
      <c r="L1466"/>
      <c r="N1466"/>
      <c r="O1466">
        <v>56</v>
      </c>
      <c r="P1466">
        <v>233</v>
      </c>
      <c r="Q1466" s="4">
        <v>13048</v>
      </c>
      <c r="R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0</v>
      </c>
      <c r="AB1466" s="3">
        <v>42562</v>
      </c>
      <c r="AC1466" t="s">
        <v>53</v>
      </c>
      <c r="AD1466" t="s">
        <v>53</v>
      </c>
      <c r="AK1466">
        <v>0</v>
      </c>
      <c r="AU1466" s="3">
        <v>42453</v>
      </c>
      <c r="AV1466" s="3">
        <v>42453</v>
      </c>
      <c r="AW1466" t="s">
        <v>54</v>
      </c>
      <c r="AX1466" t="str">
        <f t="shared" si="194"/>
        <v>FOR</v>
      </c>
      <c r="AY1466" t="s">
        <v>55</v>
      </c>
    </row>
    <row r="1467" spans="1:51" hidden="1">
      <c r="A1467">
        <v>101356</v>
      </c>
      <c r="B1467" t="s">
        <v>231</v>
      </c>
      <c r="C1467" t="str">
        <f t="shared" si="192"/>
        <v>00567650122</v>
      </c>
      <c r="D1467" t="str">
        <f t="shared" si="193"/>
        <v>PNILRA46P47I441K</v>
      </c>
      <c r="E1467" t="s">
        <v>52</v>
      </c>
      <c r="F1467">
        <v>2015</v>
      </c>
      <c r="G1467" t="str">
        <f>"             499/E15"</f>
        <v xml:space="preserve">             499/E15</v>
      </c>
      <c r="H1467" s="3">
        <v>42185</v>
      </c>
      <c r="I1467" s="3">
        <v>42193</v>
      </c>
      <c r="J1467" s="3">
        <v>42192</v>
      </c>
      <c r="K1467" s="3">
        <v>42252</v>
      </c>
      <c r="L1467"/>
      <c r="N1467"/>
      <c r="O1467">
        <v>262.2</v>
      </c>
      <c r="P1467">
        <v>201</v>
      </c>
      <c r="Q1467" s="4">
        <v>52702.2</v>
      </c>
      <c r="R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 s="3">
        <v>42562</v>
      </c>
      <c r="AC1467" t="s">
        <v>53</v>
      </c>
      <c r="AD1467" t="s">
        <v>53</v>
      </c>
      <c r="AK1467">
        <v>0</v>
      </c>
      <c r="AU1467" s="3">
        <v>42453</v>
      </c>
      <c r="AV1467" s="3">
        <v>42453</v>
      </c>
      <c r="AW1467" t="s">
        <v>54</v>
      </c>
      <c r="AX1467" t="str">
        <f t="shared" si="194"/>
        <v>FOR</v>
      </c>
      <c r="AY1467" t="s">
        <v>55</v>
      </c>
    </row>
    <row r="1468" spans="1:51" hidden="1">
      <c r="A1468">
        <v>101356</v>
      </c>
      <c r="B1468" t="s">
        <v>231</v>
      </c>
      <c r="C1468" t="str">
        <f t="shared" si="192"/>
        <v>00567650122</v>
      </c>
      <c r="D1468" t="str">
        <f t="shared" si="193"/>
        <v>PNILRA46P47I441K</v>
      </c>
      <c r="E1468" t="s">
        <v>52</v>
      </c>
      <c r="F1468">
        <v>2015</v>
      </c>
      <c r="G1468" t="str">
        <f>"             500/E15"</f>
        <v xml:space="preserve">             500/E15</v>
      </c>
      <c r="H1468" s="3">
        <v>42185</v>
      </c>
      <c r="I1468" s="3">
        <v>42193</v>
      </c>
      <c r="J1468" s="3">
        <v>42192</v>
      </c>
      <c r="K1468" s="3">
        <v>42252</v>
      </c>
      <c r="L1468"/>
      <c r="N1468"/>
      <c r="O1468">
        <v>116.75</v>
      </c>
      <c r="P1468">
        <v>201</v>
      </c>
      <c r="Q1468" s="4">
        <v>23466.75</v>
      </c>
      <c r="R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 s="3">
        <v>42562</v>
      </c>
      <c r="AC1468" t="s">
        <v>53</v>
      </c>
      <c r="AD1468" t="s">
        <v>53</v>
      </c>
      <c r="AK1468">
        <v>0</v>
      </c>
      <c r="AU1468" s="3">
        <v>42453</v>
      </c>
      <c r="AV1468" s="3">
        <v>42453</v>
      </c>
      <c r="AW1468" t="s">
        <v>54</v>
      </c>
      <c r="AX1468" t="str">
        <f t="shared" si="194"/>
        <v>FOR</v>
      </c>
      <c r="AY1468" t="s">
        <v>55</v>
      </c>
    </row>
    <row r="1469" spans="1:51" hidden="1">
      <c r="A1469">
        <v>101372</v>
      </c>
      <c r="B1469" t="s">
        <v>232</v>
      </c>
      <c r="C1469" t="str">
        <f>"01165870625"</f>
        <v>01165870625</v>
      </c>
      <c r="D1469" t="str">
        <f>"DNCNZR62A18A783S"</f>
        <v>DNCNZR62A18A783S</v>
      </c>
      <c r="E1469" t="s">
        <v>52</v>
      </c>
      <c r="F1469">
        <v>2015</v>
      </c>
      <c r="G1469" t="str">
        <f>"                  62"</f>
        <v xml:space="preserve">                  62</v>
      </c>
      <c r="H1469" s="3">
        <v>42290</v>
      </c>
      <c r="I1469" s="3">
        <v>42293</v>
      </c>
      <c r="J1469" s="3">
        <v>42291</v>
      </c>
      <c r="K1469" s="3">
        <v>42351</v>
      </c>
      <c r="L1469"/>
      <c r="N1469"/>
      <c r="O1469" s="4">
        <v>1000</v>
      </c>
      <c r="P1469">
        <v>52</v>
      </c>
      <c r="Q1469" s="4">
        <v>52000</v>
      </c>
      <c r="R1469">
        <v>220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0</v>
      </c>
      <c r="AB1469" s="3">
        <v>42562</v>
      </c>
      <c r="AC1469" t="s">
        <v>53</v>
      </c>
      <c r="AD1469" t="s">
        <v>53</v>
      </c>
      <c r="AK1469">
        <v>220</v>
      </c>
      <c r="AU1469" s="3">
        <v>42403</v>
      </c>
      <c r="AV1469" s="3">
        <v>42403</v>
      </c>
      <c r="AW1469" t="s">
        <v>54</v>
      </c>
      <c r="AX1469" t="str">
        <f t="shared" si="194"/>
        <v>FOR</v>
      </c>
      <c r="AY1469" t="s">
        <v>55</v>
      </c>
    </row>
    <row r="1470" spans="1:51" hidden="1">
      <c r="A1470">
        <v>101373</v>
      </c>
      <c r="B1470" t="s">
        <v>233</v>
      </c>
      <c r="C1470" t="str">
        <f t="shared" ref="C1470:D1475" si="195">"00228550273"</f>
        <v>00228550273</v>
      </c>
      <c r="D1470" t="str">
        <f t="shared" si="195"/>
        <v>00228550273</v>
      </c>
      <c r="E1470" t="s">
        <v>52</v>
      </c>
      <c r="F1470">
        <v>2015</v>
      </c>
      <c r="G1470" t="str">
        <f>"                3318"</f>
        <v xml:space="preserve">                3318</v>
      </c>
      <c r="H1470" s="3">
        <v>42061</v>
      </c>
      <c r="I1470" s="3">
        <v>42067</v>
      </c>
      <c r="J1470" s="3">
        <v>42067</v>
      </c>
      <c r="K1470" s="3">
        <v>42127</v>
      </c>
      <c r="L1470"/>
      <c r="N1470"/>
      <c r="O1470">
        <v>11.2</v>
      </c>
      <c r="P1470">
        <v>278</v>
      </c>
      <c r="Q1470" s="4">
        <v>3113.6</v>
      </c>
      <c r="R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 s="3">
        <v>42562</v>
      </c>
      <c r="AC1470" t="s">
        <v>53</v>
      </c>
      <c r="AD1470" t="s">
        <v>53</v>
      </c>
      <c r="AK1470">
        <v>0</v>
      </c>
      <c r="AU1470" s="3">
        <v>42405</v>
      </c>
      <c r="AV1470" s="3">
        <v>42405</v>
      </c>
      <c r="AW1470" t="s">
        <v>54</v>
      </c>
      <c r="AX1470" t="str">
        <f t="shared" si="194"/>
        <v>FOR</v>
      </c>
      <c r="AY1470" t="s">
        <v>55</v>
      </c>
    </row>
    <row r="1471" spans="1:51" hidden="1">
      <c r="A1471">
        <v>101373</v>
      </c>
      <c r="B1471" t="s">
        <v>233</v>
      </c>
      <c r="C1471" t="str">
        <f t="shared" si="195"/>
        <v>00228550273</v>
      </c>
      <c r="D1471" t="str">
        <f t="shared" si="195"/>
        <v>00228550273</v>
      </c>
      <c r="E1471" t="s">
        <v>52</v>
      </c>
      <c r="F1471">
        <v>2015</v>
      </c>
      <c r="G1471" t="str">
        <f>"            15502900"</f>
        <v xml:space="preserve">            15502900</v>
      </c>
      <c r="H1471" s="3">
        <v>42143</v>
      </c>
      <c r="I1471" s="3">
        <v>42158</v>
      </c>
      <c r="J1471" s="3">
        <v>42143</v>
      </c>
      <c r="K1471" s="3">
        <v>42203</v>
      </c>
      <c r="L1471"/>
      <c r="N1471"/>
      <c r="O1471">
        <v>324</v>
      </c>
      <c r="P1471">
        <v>202</v>
      </c>
      <c r="Q1471" s="4">
        <v>65448</v>
      </c>
      <c r="R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0</v>
      </c>
      <c r="AB1471" s="3">
        <v>42562</v>
      </c>
      <c r="AC1471" t="s">
        <v>53</v>
      </c>
      <c r="AD1471" t="s">
        <v>53</v>
      </c>
      <c r="AK1471">
        <v>0</v>
      </c>
      <c r="AU1471" s="3">
        <v>42405</v>
      </c>
      <c r="AV1471" s="3">
        <v>42405</v>
      </c>
      <c r="AW1471" t="s">
        <v>54</v>
      </c>
      <c r="AX1471" t="str">
        <f t="shared" si="194"/>
        <v>FOR</v>
      </c>
      <c r="AY1471" t="s">
        <v>55</v>
      </c>
    </row>
    <row r="1472" spans="1:51" hidden="1">
      <c r="A1472">
        <v>101373</v>
      </c>
      <c r="B1472" t="s">
        <v>233</v>
      </c>
      <c r="C1472" t="str">
        <f t="shared" si="195"/>
        <v>00228550273</v>
      </c>
      <c r="D1472" t="str">
        <f t="shared" si="195"/>
        <v>00228550273</v>
      </c>
      <c r="E1472" t="s">
        <v>52</v>
      </c>
      <c r="F1472">
        <v>2015</v>
      </c>
      <c r="G1472" t="str">
        <f>"            15507698"</f>
        <v xml:space="preserve">            15507698</v>
      </c>
      <c r="H1472" s="3">
        <v>42241</v>
      </c>
      <c r="I1472" s="3">
        <v>42255</v>
      </c>
      <c r="J1472" s="3">
        <v>42254</v>
      </c>
      <c r="K1472" s="3">
        <v>42314</v>
      </c>
      <c r="L1472"/>
      <c r="N1472"/>
      <c r="O1472">
        <v>518.4</v>
      </c>
      <c r="P1472">
        <v>91</v>
      </c>
      <c r="Q1472" s="4">
        <v>47174.400000000001</v>
      </c>
      <c r="R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 s="3">
        <v>42562</v>
      </c>
      <c r="AC1472" t="s">
        <v>53</v>
      </c>
      <c r="AD1472" t="s">
        <v>53</v>
      </c>
      <c r="AK1472">
        <v>0</v>
      </c>
      <c r="AU1472" s="3">
        <v>42405</v>
      </c>
      <c r="AV1472" s="3">
        <v>42405</v>
      </c>
      <c r="AW1472" t="s">
        <v>54</v>
      </c>
      <c r="AX1472" t="str">
        <f t="shared" si="194"/>
        <v>FOR</v>
      </c>
      <c r="AY1472" t="s">
        <v>55</v>
      </c>
    </row>
    <row r="1473" spans="1:51" hidden="1">
      <c r="A1473">
        <v>101373</v>
      </c>
      <c r="B1473" t="s">
        <v>233</v>
      </c>
      <c r="C1473" t="str">
        <f t="shared" si="195"/>
        <v>00228550273</v>
      </c>
      <c r="D1473" t="str">
        <f t="shared" si="195"/>
        <v>00228550273</v>
      </c>
      <c r="E1473" t="s">
        <v>52</v>
      </c>
      <c r="F1473">
        <v>2015</v>
      </c>
      <c r="G1473" t="str">
        <f>"            15512363"</f>
        <v xml:space="preserve">            15512363</v>
      </c>
      <c r="H1473" s="3">
        <v>42326</v>
      </c>
      <c r="I1473" s="3">
        <v>42327</v>
      </c>
      <c r="J1473" s="3">
        <v>42326</v>
      </c>
      <c r="K1473" s="3">
        <v>42386</v>
      </c>
      <c r="L1473"/>
      <c r="N1473"/>
      <c r="O1473">
        <v>282</v>
      </c>
      <c r="P1473">
        <v>19</v>
      </c>
      <c r="Q1473" s="4">
        <v>5358</v>
      </c>
      <c r="R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0</v>
      </c>
      <c r="AB1473" s="3">
        <v>42562</v>
      </c>
      <c r="AC1473" t="s">
        <v>53</v>
      </c>
      <c r="AD1473" t="s">
        <v>53</v>
      </c>
      <c r="AK1473">
        <v>0</v>
      </c>
      <c r="AU1473" s="3">
        <v>42405</v>
      </c>
      <c r="AV1473" s="3">
        <v>42405</v>
      </c>
      <c r="AW1473" t="s">
        <v>54</v>
      </c>
      <c r="AX1473" t="str">
        <f t="shared" si="194"/>
        <v>FOR</v>
      </c>
      <c r="AY1473" t="s">
        <v>55</v>
      </c>
    </row>
    <row r="1474" spans="1:51" hidden="1">
      <c r="A1474">
        <v>101373</v>
      </c>
      <c r="B1474" t="s">
        <v>233</v>
      </c>
      <c r="C1474" t="str">
        <f t="shared" si="195"/>
        <v>00228550273</v>
      </c>
      <c r="D1474" t="str">
        <f t="shared" si="195"/>
        <v>00228550273</v>
      </c>
      <c r="E1474" t="s">
        <v>52</v>
      </c>
      <c r="F1474">
        <v>2015</v>
      </c>
      <c r="G1474" t="str">
        <f>"            15512750"</f>
        <v xml:space="preserve">            15512750</v>
      </c>
      <c r="H1474" s="3">
        <v>42334</v>
      </c>
      <c r="I1474" s="3">
        <v>42338</v>
      </c>
      <c r="J1474" s="3">
        <v>42335</v>
      </c>
      <c r="K1474" s="3">
        <v>42395</v>
      </c>
      <c r="L1474"/>
      <c r="N1474"/>
      <c r="O1474">
        <v>388.8</v>
      </c>
      <c r="P1474">
        <v>10</v>
      </c>
      <c r="Q1474" s="4">
        <v>3888</v>
      </c>
      <c r="R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0</v>
      </c>
      <c r="AB1474" s="3">
        <v>42562</v>
      </c>
      <c r="AC1474" t="s">
        <v>53</v>
      </c>
      <c r="AD1474" t="s">
        <v>53</v>
      </c>
      <c r="AK1474">
        <v>0</v>
      </c>
      <c r="AU1474" s="3">
        <v>42405</v>
      </c>
      <c r="AV1474" s="3">
        <v>42405</v>
      </c>
      <c r="AW1474" t="s">
        <v>54</v>
      </c>
      <c r="AX1474" t="str">
        <f t="shared" si="194"/>
        <v>FOR</v>
      </c>
      <c r="AY1474" t="s">
        <v>55</v>
      </c>
    </row>
    <row r="1475" spans="1:51">
      <c r="A1475">
        <v>101373</v>
      </c>
      <c r="B1475" t="s">
        <v>233</v>
      </c>
      <c r="C1475" t="str">
        <f t="shared" si="195"/>
        <v>00228550273</v>
      </c>
      <c r="D1475" t="str">
        <f t="shared" si="195"/>
        <v>00228550273</v>
      </c>
      <c r="E1475" t="s">
        <v>52</v>
      </c>
      <c r="F1475">
        <v>2016</v>
      </c>
      <c r="G1475" t="str">
        <f>"            16505485"</f>
        <v xml:space="preserve">            16505485</v>
      </c>
      <c r="H1475" s="3">
        <v>42467</v>
      </c>
      <c r="I1475" s="3">
        <v>42492</v>
      </c>
      <c r="J1475" s="3">
        <v>42489</v>
      </c>
      <c r="K1475" s="3">
        <v>42549</v>
      </c>
      <c r="L1475" s="1">
        <v>388.8</v>
      </c>
      <c r="M1475">
        <v>-20</v>
      </c>
      <c r="N1475" s="5">
        <v>-7776</v>
      </c>
      <c r="O1475">
        <v>388.8</v>
      </c>
      <c r="P1475">
        <v>-20</v>
      </c>
      <c r="Q1475" s="4">
        <v>-7776</v>
      </c>
      <c r="R1475">
        <v>38.880000000000003</v>
      </c>
      <c r="V1475">
        <v>427.68</v>
      </c>
      <c r="W1475">
        <v>427.68</v>
      </c>
      <c r="X1475">
        <v>427.68</v>
      </c>
      <c r="Y1475">
        <v>427.68</v>
      </c>
      <c r="Z1475">
        <v>427.68</v>
      </c>
      <c r="AA1475">
        <v>427.68</v>
      </c>
      <c r="AB1475" s="3">
        <v>42562</v>
      </c>
      <c r="AC1475" t="s">
        <v>53</v>
      </c>
      <c r="AD1475" t="s">
        <v>53</v>
      </c>
      <c r="AE1475">
        <v>38.880000000000003</v>
      </c>
      <c r="AK1475">
        <v>0</v>
      </c>
      <c r="AU1475" s="3">
        <v>42529</v>
      </c>
      <c r="AV1475" s="3">
        <v>42529</v>
      </c>
      <c r="AW1475" t="s">
        <v>54</v>
      </c>
      <c r="AX1475" t="str">
        <f t="shared" si="194"/>
        <v>FOR</v>
      </c>
      <c r="AY1475" t="s">
        <v>55</v>
      </c>
    </row>
    <row r="1476" spans="1:51" hidden="1">
      <c r="A1476">
        <v>101374</v>
      </c>
      <c r="B1476" t="s">
        <v>234</v>
      </c>
      <c r="C1476" t="str">
        <f t="shared" ref="C1476:C1482" si="196">"06711421211"</f>
        <v>06711421211</v>
      </c>
      <c r="D1476" t="str">
        <f t="shared" ref="D1476:D1482" si="197">"PRILSN78H42F839S"</f>
        <v>PRILSN78H42F839S</v>
      </c>
      <c r="E1476" t="s">
        <v>52</v>
      </c>
      <c r="F1476">
        <v>2016</v>
      </c>
      <c r="G1476" t="str">
        <f>"         FATTPA 1_16"</f>
        <v xml:space="preserve">         FATTPA 1_16</v>
      </c>
      <c r="H1476" s="3">
        <v>42384</v>
      </c>
      <c r="I1476" s="3">
        <v>42389</v>
      </c>
      <c r="J1476" s="3">
        <v>42388</v>
      </c>
      <c r="K1476" s="3">
        <v>42448</v>
      </c>
      <c r="L1476"/>
      <c r="N1476"/>
      <c r="O1476" s="4">
        <v>1097.74</v>
      </c>
      <c r="P1476">
        <v>-51</v>
      </c>
      <c r="Q1476" s="4">
        <v>-55984.74</v>
      </c>
      <c r="R1476">
        <v>0</v>
      </c>
      <c r="V1476">
        <v>0</v>
      </c>
      <c r="W1476">
        <v>0</v>
      </c>
      <c r="X1476">
        <v>0</v>
      </c>
      <c r="Y1476">
        <v>-273.94</v>
      </c>
      <c r="Z1476" s="4">
        <v>1097.74</v>
      </c>
      <c r="AA1476" s="4">
        <v>1097.74</v>
      </c>
      <c r="AB1476" s="3">
        <v>42562</v>
      </c>
      <c r="AC1476" t="s">
        <v>53</v>
      </c>
      <c r="AD1476" t="s">
        <v>53</v>
      </c>
      <c r="AK1476">
        <v>0</v>
      </c>
      <c r="AU1476" s="3">
        <v>42397</v>
      </c>
      <c r="AV1476" s="3">
        <v>42397</v>
      </c>
      <c r="AW1476" t="s">
        <v>54</v>
      </c>
      <c r="AX1476" t="str">
        <f t="shared" ref="AX1476:AX1482" si="198">"ALTPRO"</f>
        <v>ALTPRO</v>
      </c>
      <c r="AY1476" t="s">
        <v>93</v>
      </c>
    </row>
    <row r="1477" spans="1:51" hidden="1">
      <c r="A1477">
        <v>101374</v>
      </c>
      <c r="B1477" t="s">
        <v>234</v>
      </c>
      <c r="C1477" t="str">
        <f t="shared" si="196"/>
        <v>06711421211</v>
      </c>
      <c r="D1477" t="str">
        <f t="shared" si="197"/>
        <v>PRILSN78H42F839S</v>
      </c>
      <c r="E1477" t="s">
        <v>52</v>
      </c>
      <c r="F1477">
        <v>2016</v>
      </c>
      <c r="G1477" t="str">
        <f>"         FATTPA 2_16"</f>
        <v xml:space="preserve">         FATTPA 2_16</v>
      </c>
      <c r="H1477" s="3">
        <v>42411</v>
      </c>
      <c r="I1477" s="3">
        <v>42412</v>
      </c>
      <c r="J1477" s="3">
        <v>42411</v>
      </c>
      <c r="K1477" s="3">
        <v>42471</v>
      </c>
      <c r="L1477"/>
      <c r="N1477"/>
      <c r="O1477">
        <v>852.61</v>
      </c>
      <c r="P1477">
        <v>-45</v>
      </c>
      <c r="Q1477" s="4">
        <v>-38367.449999999997</v>
      </c>
      <c r="R1477">
        <v>0</v>
      </c>
      <c r="V1477">
        <v>0</v>
      </c>
      <c r="W1477">
        <v>0</v>
      </c>
      <c r="X1477">
        <v>0</v>
      </c>
      <c r="Y1477">
        <v>852.61</v>
      </c>
      <c r="Z1477">
        <v>852.61</v>
      </c>
      <c r="AA1477">
        <v>852.61</v>
      </c>
      <c r="AB1477" s="3">
        <v>42562</v>
      </c>
      <c r="AC1477" t="s">
        <v>53</v>
      </c>
      <c r="AD1477" t="s">
        <v>53</v>
      </c>
      <c r="AK1477">
        <v>0</v>
      </c>
      <c r="AU1477" s="3">
        <v>42426</v>
      </c>
      <c r="AV1477" s="3">
        <v>42426</v>
      </c>
      <c r="AW1477" t="s">
        <v>54</v>
      </c>
      <c r="AX1477" t="str">
        <f t="shared" si="198"/>
        <v>ALTPRO</v>
      </c>
      <c r="AY1477" t="s">
        <v>93</v>
      </c>
    </row>
    <row r="1478" spans="1:51" hidden="1">
      <c r="A1478">
        <v>101374</v>
      </c>
      <c r="B1478" t="s">
        <v>234</v>
      </c>
      <c r="C1478" t="str">
        <f t="shared" si="196"/>
        <v>06711421211</v>
      </c>
      <c r="D1478" t="str">
        <f t="shared" si="197"/>
        <v>PRILSN78H42F839S</v>
      </c>
      <c r="E1478" t="s">
        <v>52</v>
      </c>
      <c r="F1478">
        <v>2016</v>
      </c>
      <c r="G1478" t="str">
        <f>"         FATTPA 3_16"</f>
        <v xml:space="preserve">         FATTPA 3_16</v>
      </c>
      <c r="H1478" s="3">
        <v>42411</v>
      </c>
      <c r="I1478" s="3">
        <v>42412</v>
      </c>
      <c r="J1478" s="3">
        <v>42411</v>
      </c>
      <c r="K1478" s="3">
        <v>42471</v>
      </c>
      <c r="L1478"/>
      <c r="N1478"/>
      <c r="O1478">
        <v>167.28</v>
      </c>
      <c r="P1478">
        <v>-45</v>
      </c>
      <c r="Q1478" s="4">
        <v>-7527.6</v>
      </c>
      <c r="R1478">
        <v>0</v>
      </c>
      <c r="V1478">
        <v>0</v>
      </c>
      <c r="W1478">
        <v>0</v>
      </c>
      <c r="X1478">
        <v>0</v>
      </c>
      <c r="Y1478">
        <v>167.28</v>
      </c>
      <c r="Z1478">
        <v>167.28</v>
      </c>
      <c r="AA1478">
        <v>167.28</v>
      </c>
      <c r="AB1478" s="3">
        <v>42562</v>
      </c>
      <c r="AC1478" t="s">
        <v>53</v>
      </c>
      <c r="AD1478" t="s">
        <v>53</v>
      </c>
      <c r="AK1478">
        <v>0</v>
      </c>
      <c r="AU1478" s="3">
        <v>42426</v>
      </c>
      <c r="AV1478" s="3">
        <v>42426</v>
      </c>
      <c r="AW1478" t="s">
        <v>54</v>
      </c>
      <c r="AX1478" t="str">
        <f t="shared" si="198"/>
        <v>ALTPRO</v>
      </c>
      <c r="AY1478" t="s">
        <v>93</v>
      </c>
    </row>
    <row r="1479" spans="1:51" hidden="1">
      <c r="A1479">
        <v>101374</v>
      </c>
      <c r="B1479" t="s">
        <v>234</v>
      </c>
      <c r="C1479" t="str">
        <f t="shared" si="196"/>
        <v>06711421211</v>
      </c>
      <c r="D1479" t="str">
        <f t="shared" si="197"/>
        <v>PRILSN78H42F839S</v>
      </c>
      <c r="E1479" t="s">
        <v>52</v>
      </c>
      <c r="F1479">
        <v>2016</v>
      </c>
      <c r="G1479" t="str">
        <f>"         FATTPA 5_16"</f>
        <v xml:space="preserve">         FATTPA 5_16</v>
      </c>
      <c r="H1479" s="3">
        <v>42432</v>
      </c>
      <c r="I1479" s="3">
        <v>42433</v>
      </c>
      <c r="J1479" s="3">
        <v>42432</v>
      </c>
      <c r="K1479" s="3">
        <v>42492</v>
      </c>
      <c r="L1479"/>
      <c r="N1479"/>
      <c r="O1479" s="4">
        <v>1509.34</v>
      </c>
      <c r="P1479">
        <v>-41</v>
      </c>
      <c r="Q1479" s="4">
        <v>-61882.94</v>
      </c>
      <c r="R1479">
        <v>0</v>
      </c>
      <c r="V1479">
        <v>0</v>
      </c>
      <c r="W1479">
        <v>0</v>
      </c>
      <c r="X1479">
        <v>0</v>
      </c>
      <c r="Y1479" s="4">
        <v>1509.34</v>
      </c>
      <c r="Z1479" s="4">
        <v>1509.34</v>
      </c>
      <c r="AA1479" s="4">
        <v>1509.34</v>
      </c>
      <c r="AB1479" s="3">
        <v>42562</v>
      </c>
      <c r="AC1479" t="s">
        <v>53</v>
      </c>
      <c r="AD1479" t="s">
        <v>53</v>
      </c>
      <c r="AK1479">
        <v>0</v>
      </c>
      <c r="AU1479" s="3">
        <v>42451</v>
      </c>
      <c r="AV1479" s="3">
        <v>42451</v>
      </c>
      <c r="AW1479" t="s">
        <v>54</v>
      </c>
      <c r="AX1479" t="str">
        <f t="shared" si="198"/>
        <v>ALTPRO</v>
      </c>
      <c r="AY1479" t="s">
        <v>93</v>
      </c>
    </row>
    <row r="1480" spans="1:51">
      <c r="A1480">
        <v>101374</v>
      </c>
      <c r="B1480" t="s">
        <v>234</v>
      </c>
      <c r="C1480" t="str">
        <f t="shared" si="196"/>
        <v>06711421211</v>
      </c>
      <c r="D1480" t="str">
        <f t="shared" si="197"/>
        <v>PRILSN78H42F839S</v>
      </c>
      <c r="E1480" t="s">
        <v>52</v>
      </c>
      <c r="F1480">
        <v>2016</v>
      </c>
      <c r="G1480" t="str">
        <f>"         FATTPA 6_16"</f>
        <v xml:space="preserve">         FATTPA 6_16</v>
      </c>
      <c r="H1480" s="3">
        <v>42466</v>
      </c>
      <c r="I1480" s="3">
        <v>42466</v>
      </c>
      <c r="J1480" s="3">
        <v>42466</v>
      </c>
      <c r="K1480" s="3">
        <v>42526</v>
      </c>
      <c r="L1480" s="5">
        <v>1701.81</v>
      </c>
      <c r="M1480">
        <v>-39</v>
      </c>
      <c r="N1480" s="5">
        <v>-66370.59</v>
      </c>
      <c r="O1480" s="4">
        <v>1701.81</v>
      </c>
      <c r="P1480">
        <v>-39</v>
      </c>
      <c r="Q1480" s="4">
        <v>-66370.59</v>
      </c>
      <c r="R1480">
        <v>0</v>
      </c>
      <c r="V1480">
        <v>-424.95</v>
      </c>
      <c r="W1480" s="4">
        <v>1701.81</v>
      </c>
      <c r="X1480" s="4">
        <v>1701.81</v>
      </c>
      <c r="Y1480" s="4">
        <v>1701.81</v>
      </c>
      <c r="Z1480" s="4">
        <v>1701.81</v>
      </c>
      <c r="AA1480" s="4">
        <v>1701.81</v>
      </c>
      <c r="AB1480" s="3">
        <v>42562</v>
      </c>
      <c r="AC1480" t="s">
        <v>53</v>
      </c>
      <c r="AD1480" t="s">
        <v>53</v>
      </c>
      <c r="AK1480">
        <v>0</v>
      </c>
      <c r="AU1480" s="3">
        <v>42487</v>
      </c>
      <c r="AV1480" s="3">
        <v>42487</v>
      </c>
      <c r="AW1480" t="s">
        <v>54</v>
      </c>
      <c r="AX1480" t="str">
        <f t="shared" si="198"/>
        <v>ALTPRO</v>
      </c>
      <c r="AY1480" t="s">
        <v>93</v>
      </c>
    </row>
    <row r="1481" spans="1:51">
      <c r="A1481">
        <v>101374</v>
      </c>
      <c r="B1481" t="s">
        <v>234</v>
      </c>
      <c r="C1481" t="str">
        <f t="shared" si="196"/>
        <v>06711421211</v>
      </c>
      <c r="D1481" t="str">
        <f t="shared" si="197"/>
        <v>PRILSN78H42F839S</v>
      </c>
      <c r="E1481" t="s">
        <v>52</v>
      </c>
      <c r="F1481">
        <v>2016</v>
      </c>
      <c r="G1481" t="str">
        <f>"         FATTPA 7_16"</f>
        <v xml:space="preserve">         FATTPA 7_16</v>
      </c>
      <c r="H1481" s="3">
        <v>42494</v>
      </c>
      <c r="I1481" s="3">
        <v>42495</v>
      </c>
      <c r="J1481" s="3">
        <v>42495</v>
      </c>
      <c r="K1481" s="3">
        <v>42555</v>
      </c>
      <c r="L1481" s="5">
        <v>1485.05</v>
      </c>
      <c r="M1481">
        <v>-39</v>
      </c>
      <c r="N1481" s="5">
        <v>-57916.95</v>
      </c>
      <c r="O1481" s="4">
        <v>1485.05</v>
      </c>
      <c r="P1481">
        <v>-39</v>
      </c>
      <c r="Q1481" s="4">
        <v>-57916.95</v>
      </c>
      <c r="R1481">
        <v>0</v>
      </c>
      <c r="V1481" s="4">
        <v>1485.05</v>
      </c>
      <c r="W1481" s="4">
        <v>1485.05</v>
      </c>
      <c r="X1481" s="4">
        <v>1485.05</v>
      </c>
      <c r="Y1481" s="4">
        <v>1485.05</v>
      </c>
      <c r="Z1481" s="4">
        <v>1485.05</v>
      </c>
      <c r="AA1481" s="4">
        <v>1485.05</v>
      </c>
      <c r="AB1481" s="3">
        <v>42562</v>
      </c>
      <c r="AC1481" t="s">
        <v>53</v>
      </c>
      <c r="AD1481" t="s">
        <v>53</v>
      </c>
      <c r="AK1481">
        <v>0</v>
      </c>
      <c r="AU1481" s="3">
        <v>42516</v>
      </c>
      <c r="AV1481" s="3">
        <v>42516</v>
      </c>
      <c r="AW1481" t="s">
        <v>54</v>
      </c>
      <c r="AX1481" t="str">
        <f t="shared" si="198"/>
        <v>ALTPRO</v>
      </c>
      <c r="AY1481" t="s">
        <v>93</v>
      </c>
    </row>
    <row r="1482" spans="1:51">
      <c r="A1482">
        <v>101374</v>
      </c>
      <c r="B1482" t="s">
        <v>234</v>
      </c>
      <c r="C1482" t="str">
        <f t="shared" si="196"/>
        <v>06711421211</v>
      </c>
      <c r="D1482" t="str">
        <f t="shared" si="197"/>
        <v>PRILSN78H42F839S</v>
      </c>
      <c r="E1482" t="s">
        <v>52</v>
      </c>
      <c r="F1482">
        <v>2016</v>
      </c>
      <c r="G1482" t="str">
        <f>"         FATTPA 8_16"</f>
        <v xml:space="preserve">         FATTPA 8_16</v>
      </c>
      <c r="H1482" s="3">
        <v>42525</v>
      </c>
      <c r="I1482" s="3">
        <v>42527</v>
      </c>
      <c r="J1482" s="3">
        <v>42525</v>
      </c>
      <c r="K1482" s="3">
        <v>42585</v>
      </c>
      <c r="L1482" s="5">
        <v>1758</v>
      </c>
      <c r="M1482">
        <v>-57</v>
      </c>
      <c r="N1482" s="5">
        <v>-100206</v>
      </c>
      <c r="O1482" s="4">
        <v>1758</v>
      </c>
      <c r="P1482">
        <v>-57</v>
      </c>
      <c r="Q1482" s="4">
        <v>-100206</v>
      </c>
      <c r="R1482">
        <v>0</v>
      </c>
      <c r="V1482" s="4">
        <v>1758</v>
      </c>
      <c r="W1482" s="4">
        <v>1758</v>
      </c>
      <c r="X1482" s="4">
        <v>1758</v>
      </c>
      <c r="Y1482" s="4">
        <v>1758</v>
      </c>
      <c r="Z1482" s="4">
        <v>1758</v>
      </c>
      <c r="AA1482" s="4">
        <v>1758</v>
      </c>
      <c r="AB1482" s="3">
        <v>42562</v>
      </c>
      <c r="AC1482" t="s">
        <v>53</v>
      </c>
      <c r="AD1482" t="s">
        <v>53</v>
      </c>
      <c r="AK1482">
        <v>0</v>
      </c>
      <c r="AU1482" s="3">
        <v>42528</v>
      </c>
      <c r="AV1482" s="3">
        <v>42528</v>
      </c>
      <c r="AW1482" t="s">
        <v>54</v>
      </c>
      <c r="AX1482" t="str">
        <f t="shared" si="198"/>
        <v>ALTPRO</v>
      </c>
      <c r="AY1482" t="s">
        <v>93</v>
      </c>
    </row>
    <row r="1483" spans="1:51">
      <c r="A1483">
        <v>101376</v>
      </c>
      <c r="B1483" t="s">
        <v>235</v>
      </c>
      <c r="C1483" t="str">
        <f t="shared" ref="C1483:D1487" si="199">"06655971007"</f>
        <v>06655971007</v>
      </c>
      <c r="D1483" t="str">
        <f t="shared" si="199"/>
        <v>06655971007</v>
      </c>
      <c r="E1483" t="s">
        <v>52</v>
      </c>
      <c r="F1483">
        <v>2015</v>
      </c>
      <c r="G1483" t="str">
        <f>"        004601328394"</f>
        <v xml:space="preserve">        004601328394</v>
      </c>
      <c r="H1483" s="3">
        <v>42347</v>
      </c>
      <c r="I1483" s="3">
        <v>42353</v>
      </c>
      <c r="J1483" s="3">
        <v>42349</v>
      </c>
      <c r="K1483" s="3">
        <v>42409</v>
      </c>
      <c r="L1483" s="5">
        <v>150324.71</v>
      </c>
      <c r="M1483">
        <v>55</v>
      </c>
      <c r="N1483" s="5">
        <v>8267859.0499999998</v>
      </c>
      <c r="O1483" s="4">
        <v>150324.71</v>
      </c>
      <c r="P1483">
        <v>55</v>
      </c>
      <c r="Q1483" s="4">
        <v>8267859.0499999998</v>
      </c>
      <c r="R1483">
        <v>0</v>
      </c>
      <c r="V1483">
        <v>0</v>
      </c>
      <c r="W1483">
        <v>0</v>
      </c>
      <c r="X1483">
        <v>0</v>
      </c>
      <c r="Y1483">
        <v>0</v>
      </c>
      <c r="Z1483">
        <v>0</v>
      </c>
      <c r="AA1483">
        <v>0</v>
      </c>
      <c r="AB1483" s="3">
        <v>42562</v>
      </c>
      <c r="AC1483" t="s">
        <v>53</v>
      </c>
      <c r="AD1483" t="s">
        <v>53</v>
      </c>
      <c r="AK1483">
        <v>0</v>
      </c>
      <c r="AU1483" s="3">
        <v>42464</v>
      </c>
      <c r="AV1483" s="3">
        <v>42464</v>
      </c>
      <c r="AW1483" t="s">
        <v>54</v>
      </c>
      <c r="AX1483" t="str">
        <f>"FOR"</f>
        <v>FOR</v>
      </c>
      <c r="AY1483" t="s">
        <v>55</v>
      </c>
    </row>
    <row r="1484" spans="1:51">
      <c r="A1484">
        <v>101376</v>
      </c>
      <c r="B1484" t="s">
        <v>235</v>
      </c>
      <c r="C1484" t="str">
        <f t="shared" si="199"/>
        <v>06655971007</v>
      </c>
      <c r="D1484" t="str">
        <f t="shared" si="199"/>
        <v>06655971007</v>
      </c>
      <c r="E1484" t="s">
        <v>52</v>
      </c>
      <c r="F1484">
        <v>2015</v>
      </c>
      <c r="G1484" t="str">
        <f>"        004601386550"</f>
        <v xml:space="preserve">        004601386550</v>
      </c>
      <c r="H1484" s="3">
        <v>42348</v>
      </c>
      <c r="I1484" s="3">
        <v>42353</v>
      </c>
      <c r="J1484" s="3">
        <v>42349</v>
      </c>
      <c r="K1484" s="3">
        <v>42409</v>
      </c>
      <c r="L1484" s="5">
        <v>128462.35</v>
      </c>
      <c r="M1484">
        <v>55</v>
      </c>
      <c r="N1484" s="5">
        <v>7065429.25</v>
      </c>
      <c r="O1484" s="4">
        <v>128462.35</v>
      </c>
      <c r="P1484">
        <v>55</v>
      </c>
      <c r="Q1484" s="4">
        <v>7065429.25</v>
      </c>
      <c r="R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 s="3">
        <v>42562</v>
      </c>
      <c r="AC1484" t="s">
        <v>53</v>
      </c>
      <c r="AD1484" t="s">
        <v>53</v>
      </c>
      <c r="AK1484">
        <v>0</v>
      </c>
      <c r="AU1484" s="3">
        <v>42464</v>
      </c>
      <c r="AV1484" s="3">
        <v>42464</v>
      </c>
      <c r="AW1484" t="s">
        <v>54</v>
      </c>
      <c r="AX1484" t="str">
        <f>"FOR"</f>
        <v>FOR</v>
      </c>
      <c r="AY1484" t="s">
        <v>55</v>
      </c>
    </row>
    <row r="1485" spans="1:51">
      <c r="A1485">
        <v>101376</v>
      </c>
      <c r="B1485" t="s">
        <v>235</v>
      </c>
      <c r="C1485" t="str">
        <f t="shared" si="199"/>
        <v>06655971007</v>
      </c>
      <c r="D1485" t="str">
        <f t="shared" si="199"/>
        <v>06655971007</v>
      </c>
      <c r="E1485" t="s">
        <v>52</v>
      </c>
      <c r="F1485">
        <v>2015</v>
      </c>
      <c r="G1485" t="str">
        <f>"        004601388558"</f>
        <v xml:space="preserve">        004601388558</v>
      </c>
      <c r="H1485" s="3">
        <v>42348</v>
      </c>
      <c r="I1485" s="3">
        <v>42353</v>
      </c>
      <c r="J1485" s="3">
        <v>42349</v>
      </c>
      <c r="K1485" s="3">
        <v>42409</v>
      </c>
      <c r="L1485" s="5">
        <v>128066.28</v>
      </c>
      <c r="M1485">
        <v>55</v>
      </c>
      <c r="N1485" s="5">
        <v>7043645.4000000004</v>
      </c>
      <c r="O1485" s="4">
        <v>128066.28</v>
      </c>
      <c r="P1485">
        <v>55</v>
      </c>
      <c r="Q1485" s="4">
        <v>7043645.4000000004</v>
      </c>
      <c r="R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 s="3">
        <v>42562</v>
      </c>
      <c r="AC1485" t="s">
        <v>53</v>
      </c>
      <c r="AD1485" t="s">
        <v>53</v>
      </c>
      <c r="AK1485">
        <v>0</v>
      </c>
      <c r="AU1485" s="3">
        <v>42464</v>
      </c>
      <c r="AV1485" s="3">
        <v>42464</v>
      </c>
      <c r="AW1485" t="s">
        <v>54</v>
      </c>
      <c r="AX1485" t="str">
        <f>"FOR"</f>
        <v>FOR</v>
      </c>
      <c r="AY1485" t="s">
        <v>55</v>
      </c>
    </row>
    <row r="1486" spans="1:51">
      <c r="A1486">
        <v>101376</v>
      </c>
      <c r="B1486" t="s">
        <v>235</v>
      </c>
      <c r="C1486" t="str">
        <f t="shared" si="199"/>
        <v>06655971007</v>
      </c>
      <c r="D1486" t="str">
        <f t="shared" si="199"/>
        <v>06655971007</v>
      </c>
      <c r="E1486" t="s">
        <v>52</v>
      </c>
      <c r="F1486">
        <v>2016</v>
      </c>
      <c r="G1486" t="str">
        <f>"        004700056656"</f>
        <v xml:space="preserve">        004700056656</v>
      </c>
      <c r="H1486" s="3">
        <v>42381</v>
      </c>
      <c r="I1486" s="3">
        <v>42388</v>
      </c>
      <c r="J1486" s="3">
        <v>42384</v>
      </c>
      <c r="K1486" s="3">
        <v>42444</v>
      </c>
      <c r="L1486" s="5">
        <v>136456.35</v>
      </c>
      <c r="M1486">
        <v>49</v>
      </c>
      <c r="N1486" s="5">
        <v>6686361.1500000004</v>
      </c>
      <c r="O1486" s="4">
        <v>136456.35</v>
      </c>
      <c r="P1486">
        <v>49</v>
      </c>
      <c r="Q1486" s="4">
        <v>6686361.1500000004</v>
      </c>
      <c r="R1486">
        <v>0</v>
      </c>
      <c r="V1486">
        <v>0</v>
      </c>
      <c r="W1486">
        <v>0</v>
      </c>
      <c r="X1486">
        <v>0</v>
      </c>
      <c r="Y1486" s="4">
        <v>-30020.400000000001</v>
      </c>
      <c r="Z1486" s="4">
        <v>136456.35</v>
      </c>
      <c r="AA1486" s="4">
        <v>136456.35</v>
      </c>
      <c r="AB1486" s="3">
        <v>42562</v>
      </c>
      <c r="AC1486" t="s">
        <v>53</v>
      </c>
      <c r="AD1486" t="s">
        <v>53</v>
      </c>
      <c r="AK1486">
        <v>0</v>
      </c>
      <c r="AU1486" s="3">
        <v>42493</v>
      </c>
      <c r="AV1486" s="3">
        <v>42493</v>
      </c>
      <c r="AW1486" t="s">
        <v>54</v>
      </c>
      <c r="AX1486" t="str">
        <f>"FOR"</f>
        <v>FOR</v>
      </c>
      <c r="AY1486" t="s">
        <v>55</v>
      </c>
    </row>
    <row r="1487" spans="1:51">
      <c r="A1487">
        <v>101376</v>
      </c>
      <c r="B1487" t="s">
        <v>235</v>
      </c>
      <c r="C1487" t="str">
        <f t="shared" si="199"/>
        <v>06655971007</v>
      </c>
      <c r="D1487" t="str">
        <f t="shared" si="199"/>
        <v>06655971007</v>
      </c>
      <c r="E1487" t="s">
        <v>52</v>
      </c>
      <c r="F1487">
        <v>2016</v>
      </c>
      <c r="G1487" t="str">
        <f>"        004700187449"</f>
        <v xml:space="preserve">        004700187449</v>
      </c>
      <c r="H1487" s="3">
        <v>42414</v>
      </c>
      <c r="I1487" s="3">
        <v>42464</v>
      </c>
      <c r="J1487" s="3">
        <v>42459</v>
      </c>
      <c r="K1487" s="3">
        <v>42519</v>
      </c>
      <c r="L1487" s="5">
        <v>131552.45000000001</v>
      </c>
      <c r="M1487">
        <v>8</v>
      </c>
      <c r="N1487" s="5">
        <v>1052419.6000000001</v>
      </c>
      <c r="O1487" s="4">
        <v>131552.45000000001</v>
      </c>
      <c r="P1487">
        <v>8</v>
      </c>
      <c r="Q1487" s="4">
        <v>1052419.6000000001</v>
      </c>
      <c r="R1487">
        <v>0</v>
      </c>
      <c r="V1487">
        <v>0</v>
      </c>
      <c r="W1487" s="4">
        <v>131552.45000000001</v>
      </c>
      <c r="X1487">
        <v>0</v>
      </c>
      <c r="Y1487" s="4">
        <v>131552.45000000001</v>
      </c>
      <c r="Z1487" s="4">
        <v>131552.45000000001</v>
      </c>
      <c r="AA1487" s="4">
        <v>131552.45000000001</v>
      </c>
      <c r="AB1487" s="3">
        <v>42562</v>
      </c>
      <c r="AC1487" t="s">
        <v>53</v>
      </c>
      <c r="AD1487" t="s">
        <v>53</v>
      </c>
      <c r="AK1487">
        <v>0</v>
      </c>
      <c r="AU1487" s="3">
        <v>42527</v>
      </c>
      <c r="AV1487" s="3">
        <v>42527</v>
      </c>
      <c r="AW1487" t="s">
        <v>54</v>
      </c>
      <c r="AX1487" t="str">
        <f>"FOR"</f>
        <v>FOR</v>
      </c>
      <c r="AY1487" t="s">
        <v>55</v>
      </c>
    </row>
    <row r="1488" spans="1:51" hidden="1">
      <c r="A1488">
        <v>101389</v>
      </c>
      <c r="B1488" t="s">
        <v>236</v>
      </c>
      <c r="C1488" t="str">
        <f>"06484431215"</f>
        <v>06484431215</v>
      </c>
      <c r="D1488" t="str">
        <f>"RSSNTN71R23C129I"</f>
        <v>RSSNTN71R23C129I</v>
      </c>
      <c r="E1488" t="s">
        <v>52</v>
      </c>
      <c r="F1488">
        <v>2016</v>
      </c>
      <c r="G1488" t="str">
        <f>"         FATTPA 1_16"</f>
        <v xml:space="preserve">         FATTPA 1_16</v>
      </c>
      <c r="H1488" s="3">
        <v>42376</v>
      </c>
      <c r="I1488" s="3">
        <v>42377</v>
      </c>
      <c r="J1488" s="3">
        <v>42376</v>
      </c>
      <c r="K1488" s="3">
        <v>42436</v>
      </c>
      <c r="L1488"/>
      <c r="N1488"/>
      <c r="O1488" s="4">
        <v>2024.91</v>
      </c>
      <c r="P1488">
        <v>-39</v>
      </c>
      <c r="Q1488" s="4">
        <v>-78971.490000000005</v>
      </c>
      <c r="R1488">
        <v>0</v>
      </c>
      <c r="V1488">
        <v>0</v>
      </c>
      <c r="W1488">
        <v>0</v>
      </c>
      <c r="X1488">
        <v>0</v>
      </c>
      <c r="Y1488">
        <v>-505.73</v>
      </c>
      <c r="Z1488" s="4">
        <v>2024.91</v>
      </c>
      <c r="AA1488" s="4">
        <v>2024.91</v>
      </c>
      <c r="AB1488" s="3">
        <v>42562</v>
      </c>
      <c r="AC1488" t="s">
        <v>53</v>
      </c>
      <c r="AD1488" t="s">
        <v>53</v>
      </c>
      <c r="AK1488">
        <v>0</v>
      </c>
      <c r="AU1488" s="3">
        <v>42397</v>
      </c>
      <c r="AV1488" s="3">
        <v>42397</v>
      </c>
      <c r="AW1488" t="s">
        <v>54</v>
      </c>
      <c r="AX1488" t="str">
        <f>"ALTPRO"</f>
        <v>ALTPRO</v>
      </c>
      <c r="AY1488" t="s">
        <v>93</v>
      </c>
    </row>
    <row r="1489" spans="1:51" hidden="1">
      <c r="A1489">
        <v>101389</v>
      </c>
      <c r="B1489" t="s">
        <v>236</v>
      </c>
      <c r="C1489" t="str">
        <f>"06484431215"</f>
        <v>06484431215</v>
      </c>
      <c r="D1489" t="str">
        <f>"RSSNTN71R23C129I"</f>
        <v>RSSNTN71R23C129I</v>
      </c>
      <c r="E1489" t="s">
        <v>52</v>
      </c>
      <c r="F1489">
        <v>2016</v>
      </c>
      <c r="G1489" t="str">
        <f>"         FATTPA 2_16"</f>
        <v xml:space="preserve">         FATTPA 2_16</v>
      </c>
      <c r="H1489" s="3">
        <v>42401</v>
      </c>
      <c r="I1489" s="3">
        <v>42402</v>
      </c>
      <c r="J1489" s="3">
        <v>42401</v>
      </c>
      <c r="K1489" s="3">
        <v>42461</v>
      </c>
      <c r="L1489"/>
      <c r="N1489"/>
      <c r="O1489" s="4">
        <v>2024.91</v>
      </c>
      <c r="P1489">
        <v>-35</v>
      </c>
      <c r="Q1489" s="4">
        <v>-70871.850000000006</v>
      </c>
      <c r="R1489">
        <v>0</v>
      </c>
      <c r="V1489">
        <v>0</v>
      </c>
      <c r="W1489">
        <v>0</v>
      </c>
      <c r="X1489">
        <v>0</v>
      </c>
      <c r="Y1489" s="4">
        <v>2024.91</v>
      </c>
      <c r="Z1489" s="4">
        <v>2024.91</v>
      </c>
      <c r="AA1489" s="4">
        <v>2024.91</v>
      </c>
      <c r="AB1489" s="3">
        <v>42562</v>
      </c>
      <c r="AC1489" t="s">
        <v>53</v>
      </c>
      <c r="AD1489" t="s">
        <v>53</v>
      </c>
      <c r="AK1489">
        <v>0</v>
      </c>
      <c r="AU1489" s="3">
        <v>42426</v>
      </c>
      <c r="AV1489" s="3">
        <v>42426</v>
      </c>
      <c r="AW1489" t="s">
        <v>54</v>
      </c>
      <c r="AX1489" t="str">
        <f>"ALTPRO"</f>
        <v>ALTPRO</v>
      </c>
      <c r="AY1489" t="s">
        <v>93</v>
      </c>
    </row>
    <row r="1490" spans="1:51" hidden="1">
      <c r="A1490">
        <v>101389</v>
      </c>
      <c r="B1490" t="s">
        <v>236</v>
      </c>
      <c r="C1490" t="str">
        <f>"06484431215"</f>
        <v>06484431215</v>
      </c>
      <c r="D1490" t="str">
        <f>"RSSNTN71R23C129I"</f>
        <v>RSSNTN71R23C129I</v>
      </c>
      <c r="E1490" t="s">
        <v>52</v>
      </c>
      <c r="F1490">
        <v>2016</v>
      </c>
      <c r="G1490" t="str">
        <f>"         FATTPA 3_16"</f>
        <v xml:space="preserve">         FATTPA 3_16</v>
      </c>
      <c r="H1490" s="3">
        <v>42431</v>
      </c>
      <c r="I1490" s="3">
        <v>42433</v>
      </c>
      <c r="J1490" s="3">
        <v>42431</v>
      </c>
      <c r="K1490" s="3">
        <v>42491</v>
      </c>
      <c r="L1490"/>
      <c r="N1490"/>
      <c r="O1490" s="4">
        <v>2067.62</v>
      </c>
      <c r="P1490">
        <v>-40</v>
      </c>
      <c r="Q1490" s="4">
        <v>-82704.800000000003</v>
      </c>
      <c r="R1490">
        <v>0</v>
      </c>
      <c r="V1490">
        <v>0</v>
      </c>
      <c r="W1490">
        <v>0</v>
      </c>
      <c r="X1490">
        <v>0</v>
      </c>
      <c r="Y1490" s="4">
        <v>2067.62</v>
      </c>
      <c r="Z1490" s="4">
        <v>2067.62</v>
      </c>
      <c r="AA1490" s="4">
        <v>2067.62</v>
      </c>
      <c r="AB1490" s="3">
        <v>42562</v>
      </c>
      <c r="AC1490" t="s">
        <v>53</v>
      </c>
      <c r="AD1490" t="s">
        <v>53</v>
      </c>
      <c r="AK1490">
        <v>0</v>
      </c>
      <c r="AU1490" s="3">
        <v>42451</v>
      </c>
      <c r="AV1490" s="3">
        <v>42451</v>
      </c>
      <c r="AW1490" t="s">
        <v>54</v>
      </c>
      <c r="AX1490" t="str">
        <f>"ALTPRO"</f>
        <v>ALTPRO</v>
      </c>
      <c r="AY1490" t="s">
        <v>93</v>
      </c>
    </row>
    <row r="1491" spans="1:51">
      <c r="A1491">
        <v>101389</v>
      </c>
      <c r="B1491" t="s">
        <v>236</v>
      </c>
      <c r="C1491" t="str">
        <f>"06484431215"</f>
        <v>06484431215</v>
      </c>
      <c r="D1491" t="str">
        <f>"RSSNTN71R23C129I"</f>
        <v>RSSNTN71R23C129I</v>
      </c>
      <c r="E1491" t="s">
        <v>52</v>
      </c>
      <c r="F1491">
        <v>2016</v>
      </c>
      <c r="G1491" t="str">
        <f>"         FATTPA 4_16"</f>
        <v xml:space="preserve">         FATTPA 4_16</v>
      </c>
      <c r="H1491" s="3">
        <v>42464</v>
      </c>
      <c r="I1491" s="3">
        <v>42465</v>
      </c>
      <c r="J1491" s="3">
        <v>42464</v>
      </c>
      <c r="K1491" s="3">
        <v>42524</v>
      </c>
      <c r="L1491" s="5">
        <v>2193.4899999999998</v>
      </c>
      <c r="M1491">
        <v>-37</v>
      </c>
      <c r="N1491" s="5">
        <v>-81159.13</v>
      </c>
      <c r="O1491" s="4">
        <v>2193.4899999999998</v>
      </c>
      <c r="P1491">
        <v>-37</v>
      </c>
      <c r="Q1491" s="4">
        <v>-81159.13</v>
      </c>
      <c r="R1491">
        <v>0</v>
      </c>
      <c r="V1491">
        <v>-547.87</v>
      </c>
      <c r="W1491" s="4">
        <v>2193.4899999999998</v>
      </c>
      <c r="X1491" s="4">
        <v>2193.4899999999998</v>
      </c>
      <c r="Y1491" s="4">
        <v>2193.4899999999998</v>
      </c>
      <c r="Z1491" s="4">
        <v>2193.4899999999998</v>
      </c>
      <c r="AA1491" s="4">
        <v>2193.4899999999998</v>
      </c>
      <c r="AB1491" s="3">
        <v>42562</v>
      </c>
      <c r="AC1491" t="s">
        <v>53</v>
      </c>
      <c r="AD1491" t="s">
        <v>53</v>
      </c>
      <c r="AK1491">
        <v>0</v>
      </c>
      <c r="AU1491" s="3">
        <v>42487</v>
      </c>
      <c r="AV1491" s="3">
        <v>42487</v>
      </c>
      <c r="AW1491" t="s">
        <v>54</v>
      </c>
      <c r="AX1491" t="str">
        <f>"ALTPRO"</f>
        <v>ALTPRO</v>
      </c>
      <c r="AY1491" t="s">
        <v>93</v>
      </c>
    </row>
    <row r="1492" spans="1:51">
      <c r="A1492">
        <v>101389</v>
      </c>
      <c r="B1492" t="s">
        <v>236</v>
      </c>
      <c r="C1492" t="str">
        <f>"06484431215"</f>
        <v>06484431215</v>
      </c>
      <c r="D1492" t="str">
        <f>"RSSNTN71R23C129I"</f>
        <v>RSSNTN71R23C129I</v>
      </c>
      <c r="E1492" t="s">
        <v>52</v>
      </c>
      <c r="F1492">
        <v>2016</v>
      </c>
      <c r="G1492" t="str">
        <f>"         FATTPA 5_16"</f>
        <v xml:space="preserve">         FATTPA 5_16</v>
      </c>
      <c r="H1492" s="3">
        <v>42492</v>
      </c>
      <c r="I1492" s="3">
        <v>42493</v>
      </c>
      <c r="J1492" s="3">
        <v>42492</v>
      </c>
      <c r="K1492" s="3">
        <v>42552</v>
      </c>
      <c r="L1492" s="5">
        <v>2109.1999999999998</v>
      </c>
      <c r="M1492">
        <v>-36</v>
      </c>
      <c r="N1492" s="5">
        <v>-75931.199999999997</v>
      </c>
      <c r="O1492" s="4">
        <v>2109.1999999999998</v>
      </c>
      <c r="P1492">
        <v>-36</v>
      </c>
      <c r="Q1492" s="4">
        <v>-75931.199999999997</v>
      </c>
      <c r="R1492">
        <v>0</v>
      </c>
      <c r="V1492" s="4">
        <v>2109.1999999999998</v>
      </c>
      <c r="W1492" s="4">
        <v>2109.1999999999998</v>
      </c>
      <c r="X1492" s="4">
        <v>2109.1999999999998</v>
      </c>
      <c r="Y1492" s="4">
        <v>2109.1999999999998</v>
      </c>
      <c r="Z1492" s="4">
        <v>2109.1999999999998</v>
      </c>
      <c r="AA1492" s="4">
        <v>2109.1999999999998</v>
      </c>
      <c r="AB1492" s="3">
        <v>42562</v>
      </c>
      <c r="AC1492" t="s">
        <v>53</v>
      </c>
      <c r="AD1492" t="s">
        <v>53</v>
      </c>
      <c r="AK1492">
        <v>0</v>
      </c>
      <c r="AU1492" s="3">
        <v>42516</v>
      </c>
      <c r="AV1492" s="3">
        <v>42516</v>
      </c>
      <c r="AW1492" t="s">
        <v>54</v>
      </c>
      <c r="AX1492" t="str">
        <f>"ALTPRO"</f>
        <v>ALTPRO</v>
      </c>
      <c r="AY1492" t="s">
        <v>93</v>
      </c>
    </row>
    <row r="1493" spans="1:51" hidden="1">
      <c r="A1493">
        <v>101391</v>
      </c>
      <c r="B1493" t="s">
        <v>237</v>
      </c>
      <c r="C1493" t="str">
        <f t="shared" ref="C1493:D1496" si="200">"06349620960"</f>
        <v>06349620960</v>
      </c>
      <c r="D1493" t="str">
        <f t="shared" si="200"/>
        <v>06349620960</v>
      </c>
      <c r="E1493" t="s">
        <v>52</v>
      </c>
      <c r="F1493">
        <v>2013</v>
      </c>
      <c r="G1493" t="str">
        <f>"            E1300448"</f>
        <v xml:space="preserve">            E1300448</v>
      </c>
      <c r="H1493" s="3">
        <v>41361</v>
      </c>
      <c r="I1493" s="3">
        <v>41373</v>
      </c>
      <c r="J1493" s="3">
        <v>41373</v>
      </c>
      <c r="K1493" s="3">
        <v>41463</v>
      </c>
      <c r="L1493"/>
      <c r="N1493"/>
      <c r="O1493">
        <v>113.44</v>
      </c>
      <c r="P1493">
        <v>940</v>
      </c>
      <c r="Q1493" s="4">
        <v>106633.60000000001</v>
      </c>
      <c r="R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0</v>
      </c>
      <c r="AB1493" s="3">
        <v>42562</v>
      </c>
      <c r="AC1493" t="s">
        <v>53</v>
      </c>
      <c r="AD1493" t="s">
        <v>53</v>
      </c>
      <c r="AK1493">
        <v>0</v>
      </c>
      <c r="AU1493" s="3">
        <v>42403</v>
      </c>
      <c r="AV1493" s="3">
        <v>42403</v>
      </c>
      <c r="AW1493" t="s">
        <v>54</v>
      </c>
      <c r="AX1493" t="str">
        <f>"FOR"</f>
        <v>FOR</v>
      </c>
      <c r="AY1493" t="s">
        <v>55</v>
      </c>
    </row>
    <row r="1494" spans="1:51" hidden="1">
      <c r="A1494">
        <v>101391</v>
      </c>
      <c r="B1494" t="s">
        <v>237</v>
      </c>
      <c r="C1494" t="str">
        <f t="shared" si="200"/>
        <v>06349620960</v>
      </c>
      <c r="D1494" t="str">
        <f t="shared" si="200"/>
        <v>06349620960</v>
      </c>
      <c r="E1494" t="s">
        <v>52</v>
      </c>
      <c r="F1494">
        <v>2013</v>
      </c>
      <c r="G1494" t="str">
        <f>"            E1300449"</f>
        <v xml:space="preserve">            E1300449</v>
      </c>
      <c r="H1494" s="3">
        <v>41361</v>
      </c>
      <c r="I1494" s="3">
        <v>41373</v>
      </c>
      <c r="J1494" s="3">
        <v>41373</v>
      </c>
      <c r="K1494" s="3">
        <v>41463</v>
      </c>
      <c r="L1494"/>
      <c r="N1494"/>
      <c r="O1494">
        <v>226.88</v>
      </c>
      <c r="P1494">
        <v>940</v>
      </c>
      <c r="Q1494" s="4">
        <v>213267.20000000001</v>
      </c>
      <c r="R1494">
        <v>0</v>
      </c>
      <c r="V1494">
        <v>0</v>
      </c>
      <c r="W1494">
        <v>0</v>
      </c>
      <c r="X1494">
        <v>0</v>
      </c>
      <c r="Y1494">
        <v>0</v>
      </c>
      <c r="Z1494">
        <v>0</v>
      </c>
      <c r="AA1494">
        <v>0</v>
      </c>
      <c r="AB1494" s="3">
        <v>42562</v>
      </c>
      <c r="AC1494" t="s">
        <v>53</v>
      </c>
      <c r="AD1494" t="s">
        <v>53</v>
      </c>
      <c r="AK1494">
        <v>0</v>
      </c>
      <c r="AU1494" s="3">
        <v>42403</v>
      </c>
      <c r="AV1494" s="3">
        <v>42403</v>
      </c>
      <c r="AW1494" t="s">
        <v>54</v>
      </c>
      <c r="AX1494" t="str">
        <f>"FOR"</f>
        <v>FOR</v>
      </c>
      <c r="AY1494" t="s">
        <v>55</v>
      </c>
    </row>
    <row r="1495" spans="1:51">
      <c r="A1495">
        <v>101391</v>
      </c>
      <c r="B1495" t="s">
        <v>237</v>
      </c>
      <c r="C1495" t="str">
        <f t="shared" si="200"/>
        <v>06349620960</v>
      </c>
      <c r="D1495" t="str">
        <f t="shared" si="200"/>
        <v>06349620960</v>
      </c>
      <c r="E1495" t="s">
        <v>52</v>
      </c>
      <c r="F1495">
        <v>2015</v>
      </c>
      <c r="G1495" t="str">
        <f>"          EIVH150535"</f>
        <v xml:space="preserve">          EIVH150535</v>
      </c>
      <c r="H1495" s="3">
        <v>42185</v>
      </c>
      <c r="I1495" s="3">
        <v>42369</v>
      </c>
      <c r="J1495" s="3">
        <v>42369</v>
      </c>
      <c r="K1495" s="3">
        <v>42429</v>
      </c>
      <c r="L1495" s="5">
        <v>3150</v>
      </c>
      <c r="M1495">
        <v>98</v>
      </c>
      <c r="N1495" s="5">
        <v>308700</v>
      </c>
      <c r="O1495" s="4">
        <v>3150</v>
      </c>
      <c r="P1495">
        <v>98</v>
      </c>
      <c r="Q1495" s="4">
        <v>308700</v>
      </c>
      <c r="R1495">
        <v>693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0</v>
      </c>
      <c r="AB1495" s="3">
        <v>42562</v>
      </c>
      <c r="AC1495" t="s">
        <v>53</v>
      </c>
      <c r="AD1495" t="s">
        <v>53</v>
      </c>
      <c r="AI1495">
        <v>693</v>
      </c>
      <c r="AK1495">
        <v>0</v>
      </c>
      <c r="AU1495" s="3">
        <v>42527</v>
      </c>
      <c r="AV1495" s="3">
        <v>42527</v>
      </c>
      <c r="AW1495" t="s">
        <v>54</v>
      </c>
      <c r="AX1495" t="str">
        <f>"FOR"</f>
        <v>FOR</v>
      </c>
      <c r="AY1495" t="s">
        <v>55</v>
      </c>
    </row>
    <row r="1496" spans="1:51">
      <c r="A1496">
        <v>101391</v>
      </c>
      <c r="B1496" t="s">
        <v>237</v>
      </c>
      <c r="C1496" t="str">
        <f t="shared" si="200"/>
        <v>06349620960</v>
      </c>
      <c r="D1496" t="str">
        <f t="shared" si="200"/>
        <v>06349620960</v>
      </c>
      <c r="E1496" t="s">
        <v>52</v>
      </c>
      <c r="F1496">
        <v>2015</v>
      </c>
      <c r="G1496" t="str">
        <f>"          EIVH150795"</f>
        <v xml:space="preserve">          EIVH150795</v>
      </c>
      <c r="H1496" s="3">
        <v>42247</v>
      </c>
      <c r="I1496" s="3">
        <v>42369</v>
      </c>
      <c r="J1496" s="3">
        <v>42368</v>
      </c>
      <c r="K1496" s="3">
        <v>42428</v>
      </c>
      <c r="L1496" s="1">
        <v>265</v>
      </c>
      <c r="M1496">
        <v>99</v>
      </c>
      <c r="N1496" s="5">
        <v>26235</v>
      </c>
      <c r="O1496">
        <v>265</v>
      </c>
      <c r="P1496">
        <v>99</v>
      </c>
      <c r="Q1496" s="4">
        <v>26235</v>
      </c>
      <c r="R1496">
        <v>58.3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0</v>
      </c>
      <c r="AB1496" s="3">
        <v>42562</v>
      </c>
      <c r="AC1496" t="s">
        <v>53</v>
      </c>
      <c r="AD1496" t="s">
        <v>53</v>
      </c>
      <c r="AI1496">
        <v>58.3</v>
      </c>
      <c r="AK1496">
        <v>0</v>
      </c>
      <c r="AU1496" s="3">
        <v>42527</v>
      </c>
      <c r="AV1496" s="3">
        <v>42527</v>
      </c>
      <c r="AW1496" t="s">
        <v>54</v>
      </c>
      <c r="AX1496" t="str">
        <f>"FOR"</f>
        <v>FOR</v>
      </c>
      <c r="AY1496" t="s">
        <v>55</v>
      </c>
    </row>
    <row r="1497" spans="1:51" hidden="1">
      <c r="A1497">
        <v>101397</v>
      </c>
      <c r="B1497" t="s">
        <v>238</v>
      </c>
      <c r="C1497" t="str">
        <f>"05859251216"</f>
        <v>05859251216</v>
      </c>
      <c r="D1497" t="str">
        <f>"TRVNGL75P69G812H"</f>
        <v>TRVNGL75P69G812H</v>
      </c>
      <c r="E1497" t="s">
        <v>52</v>
      </c>
      <c r="F1497">
        <v>2016</v>
      </c>
      <c r="G1497" t="str">
        <f>"         FATTPA 1_16"</f>
        <v xml:space="preserve">         FATTPA 1_16</v>
      </c>
      <c r="H1497" s="3">
        <v>42376</v>
      </c>
      <c r="I1497" s="3">
        <v>42389</v>
      </c>
      <c r="J1497" s="3">
        <v>42388</v>
      </c>
      <c r="K1497" s="3">
        <v>42448</v>
      </c>
      <c r="L1497"/>
      <c r="N1497"/>
      <c r="O1497" s="4">
        <v>2022.91</v>
      </c>
      <c r="P1497">
        <v>-51</v>
      </c>
      <c r="Q1497" s="4">
        <v>-103168.41</v>
      </c>
      <c r="R1497">
        <v>0</v>
      </c>
      <c r="V1497">
        <v>0</v>
      </c>
      <c r="W1497">
        <v>0</v>
      </c>
      <c r="X1497">
        <v>0</v>
      </c>
      <c r="Y1497">
        <v>-505.73</v>
      </c>
      <c r="Z1497" s="4">
        <v>2022.91</v>
      </c>
      <c r="AA1497" s="4">
        <v>2022.91</v>
      </c>
      <c r="AB1497" s="3">
        <v>42562</v>
      </c>
      <c r="AC1497" t="s">
        <v>53</v>
      </c>
      <c r="AD1497" t="s">
        <v>53</v>
      </c>
      <c r="AK1497">
        <v>0</v>
      </c>
      <c r="AU1497" s="3">
        <v>42397</v>
      </c>
      <c r="AV1497" s="3">
        <v>42397</v>
      </c>
      <c r="AW1497" t="s">
        <v>54</v>
      </c>
      <c r="AX1497" t="str">
        <f>"ALTPRO"</f>
        <v>ALTPRO</v>
      </c>
      <c r="AY1497" t="s">
        <v>93</v>
      </c>
    </row>
    <row r="1498" spans="1:51" hidden="1">
      <c r="A1498">
        <v>101397</v>
      </c>
      <c r="B1498" t="s">
        <v>238</v>
      </c>
      <c r="C1498" t="str">
        <f>"05859251216"</f>
        <v>05859251216</v>
      </c>
      <c r="D1498" t="str">
        <f>"TRVNGL75P69G812H"</f>
        <v>TRVNGL75P69G812H</v>
      </c>
      <c r="E1498" t="s">
        <v>52</v>
      </c>
      <c r="F1498">
        <v>2016</v>
      </c>
      <c r="G1498" t="str">
        <f>"         FATTPA 2_16"</f>
        <v xml:space="preserve">         FATTPA 2_16</v>
      </c>
      <c r="H1498" s="3">
        <v>42403</v>
      </c>
      <c r="I1498" s="3">
        <v>42404</v>
      </c>
      <c r="J1498" s="3">
        <v>42403</v>
      </c>
      <c r="K1498" s="3">
        <v>42463</v>
      </c>
      <c r="L1498"/>
      <c r="N1498"/>
      <c r="O1498" s="4">
        <v>1972.06</v>
      </c>
      <c r="P1498">
        <v>-37</v>
      </c>
      <c r="Q1498" s="4">
        <v>-72966.22</v>
      </c>
      <c r="R1498">
        <v>0</v>
      </c>
      <c r="V1498">
        <v>0</v>
      </c>
      <c r="W1498">
        <v>0</v>
      </c>
      <c r="X1498">
        <v>0</v>
      </c>
      <c r="Y1498" s="4">
        <v>1972.06</v>
      </c>
      <c r="Z1498" s="4">
        <v>1972.06</v>
      </c>
      <c r="AA1498" s="4">
        <v>1972.06</v>
      </c>
      <c r="AB1498" s="3">
        <v>42562</v>
      </c>
      <c r="AC1498" t="s">
        <v>53</v>
      </c>
      <c r="AD1498" t="s">
        <v>53</v>
      </c>
      <c r="AK1498">
        <v>0</v>
      </c>
      <c r="AU1498" s="3">
        <v>42426</v>
      </c>
      <c r="AV1498" s="3">
        <v>42426</v>
      </c>
      <c r="AW1498" t="s">
        <v>54</v>
      </c>
      <c r="AX1498" t="str">
        <f>"ALTPRO"</f>
        <v>ALTPRO</v>
      </c>
      <c r="AY1498" t="s">
        <v>93</v>
      </c>
    </row>
    <row r="1499" spans="1:51" hidden="1">
      <c r="A1499">
        <v>101397</v>
      </c>
      <c r="B1499" t="s">
        <v>238</v>
      </c>
      <c r="C1499" t="str">
        <f>"05859251216"</f>
        <v>05859251216</v>
      </c>
      <c r="D1499" t="str">
        <f>"TRVNGL75P69G812H"</f>
        <v>TRVNGL75P69G812H</v>
      </c>
      <c r="E1499" t="s">
        <v>52</v>
      </c>
      <c r="F1499">
        <v>2016</v>
      </c>
      <c r="G1499" t="str">
        <f>"         FATTPA 3_16"</f>
        <v xml:space="preserve">         FATTPA 3_16</v>
      </c>
      <c r="H1499" s="3">
        <v>42432</v>
      </c>
      <c r="I1499" s="3">
        <v>42433</v>
      </c>
      <c r="J1499" s="3">
        <v>42432</v>
      </c>
      <c r="K1499" s="3">
        <v>42492</v>
      </c>
      <c r="L1499"/>
      <c r="N1499"/>
      <c r="O1499" s="4">
        <v>2107.1999999999998</v>
      </c>
      <c r="P1499">
        <v>-41</v>
      </c>
      <c r="Q1499" s="4">
        <v>-86395.199999999997</v>
      </c>
      <c r="R1499">
        <v>0</v>
      </c>
      <c r="V1499">
        <v>0</v>
      </c>
      <c r="W1499">
        <v>0</v>
      </c>
      <c r="X1499">
        <v>0</v>
      </c>
      <c r="Y1499" s="4">
        <v>2107.1999999999998</v>
      </c>
      <c r="Z1499" s="4">
        <v>2107.1999999999998</v>
      </c>
      <c r="AA1499" s="4">
        <v>2107.1999999999998</v>
      </c>
      <c r="AB1499" s="3">
        <v>42562</v>
      </c>
      <c r="AC1499" t="s">
        <v>53</v>
      </c>
      <c r="AD1499" t="s">
        <v>53</v>
      </c>
      <c r="AK1499">
        <v>0</v>
      </c>
      <c r="AU1499" s="3">
        <v>42451</v>
      </c>
      <c r="AV1499" s="3">
        <v>42451</v>
      </c>
      <c r="AW1499" t="s">
        <v>54</v>
      </c>
      <c r="AX1499" t="str">
        <f>"ALTPRO"</f>
        <v>ALTPRO</v>
      </c>
      <c r="AY1499" t="s">
        <v>93</v>
      </c>
    </row>
    <row r="1500" spans="1:51">
      <c r="A1500">
        <v>101397</v>
      </c>
      <c r="B1500" t="s">
        <v>238</v>
      </c>
      <c r="C1500" t="str">
        <f>"05859251216"</f>
        <v>05859251216</v>
      </c>
      <c r="D1500" t="str">
        <f>"TRVNGL75P69G812H"</f>
        <v>TRVNGL75P69G812H</v>
      </c>
      <c r="E1500" t="s">
        <v>52</v>
      </c>
      <c r="F1500">
        <v>2016</v>
      </c>
      <c r="G1500" t="str">
        <f>"         FATTPA 4_16"</f>
        <v xml:space="preserve">         FATTPA 4_16</v>
      </c>
      <c r="H1500" s="3">
        <v>42465</v>
      </c>
      <c r="I1500" s="3">
        <v>42466</v>
      </c>
      <c r="J1500" s="3">
        <v>42465</v>
      </c>
      <c r="K1500" s="3">
        <v>42525</v>
      </c>
      <c r="L1500" s="5">
        <v>1962.22</v>
      </c>
      <c r="M1500">
        <v>-38</v>
      </c>
      <c r="N1500" s="5">
        <v>-74564.36</v>
      </c>
      <c r="O1500" s="4">
        <v>1962.22</v>
      </c>
      <c r="P1500">
        <v>-38</v>
      </c>
      <c r="Q1500" s="4">
        <v>-74564.36</v>
      </c>
      <c r="R1500">
        <v>0</v>
      </c>
      <c r="V1500">
        <v>-490.56</v>
      </c>
      <c r="W1500" s="4">
        <v>1962.22</v>
      </c>
      <c r="X1500" s="4">
        <v>1962.22</v>
      </c>
      <c r="Y1500" s="4">
        <v>1962.22</v>
      </c>
      <c r="Z1500" s="4">
        <v>1962.22</v>
      </c>
      <c r="AA1500" s="4">
        <v>1962.22</v>
      </c>
      <c r="AB1500" s="3">
        <v>42562</v>
      </c>
      <c r="AC1500" t="s">
        <v>53</v>
      </c>
      <c r="AD1500" t="s">
        <v>53</v>
      </c>
      <c r="AK1500">
        <v>0</v>
      </c>
      <c r="AU1500" s="3">
        <v>42487</v>
      </c>
      <c r="AV1500" s="3">
        <v>42487</v>
      </c>
      <c r="AW1500" t="s">
        <v>54</v>
      </c>
      <c r="AX1500" t="str">
        <f>"ALTPRO"</f>
        <v>ALTPRO</v>
      </c>
      <c r="AY1500" t="s">
        <v>93</v>
      </c>
    </row>
    <row r="1501" spans="1:51">
      <c r="A1501">
        <v>101397</v>
      </c>
      <c r="B1501" t="s">
        <v>238</v>
      </c>
      <c r="C1501" t="str">
        <f>"05859251216"</f>
        <v>05859251216</v>
      </c>
      <c r="D1501" t="str">
        <f>"TRVNGL75P69G812H"</f>
        <v>TRVNGL75P69G812H</v>
      </c>
      <c r="E1501" t="s">
        <v>52</v>
      </c>
      <c r="F1501">
        <v>2016</v>
      </c>
      <c r="G1501" t="str">
        <f>"         FATTPA 5_16"</f>
        <v xml:space="preserve">         FATTPA 5_16</v>
      </c>
      <c r="H1501" s="3">
        <v>42493</v>
      </c>
      <c r="I1501" s="3">
        <v>42495</v>
      </c>
      <c r="J1501" s="3">
        <v>42493</v>
      </c>
      <c r="K1501" s="3">
        <v>42553</v>
      </c>
      <c r="L1501" s="5">
        <v>2107.1999999999998</v>
      </c>
      <c r="M1501">
        <v>-37</v>
      </c>
      <c r="N1501" s="5">
        <v>-77966.399999999994</v>
      </c>
      <c r="O1501" s="4">
        <v>2107.1999999999998</v>
      </c>
      <c r="P1501">
        <v>-37</v>
      </c>
      <c r="Q1501" s="4">
        <v>-77966.399999999994</v>
      </c>
      <c r="R1501">
        <v>0</v>
      </c>
      <c r="V1501" s="4">
        <v>2107.1999999999998</v>
      </c>
      <c r="W1501" s="4">
        <v>2107.1999999999998</v>
      </c>
      <c r="X1501" s="4">
        <v>2107.1999999999998</v>
      </c>
      <c r="Y1501" s="4">
        <v>2107.1999999999998</v>
      </c>
      <c r="Z1501" s="4">
        <v>2107.1999999999998</v>
      </c>
      <c r="AA1501" s="4">
        <v>2107.1999999999998</v>
      </c>
      <c r="AB1501" s="3">
        <v>42562</v>
      </c>
      <c r="AC1501" t="s">
        <v>53</v>
      </c>
      <c r="AD1501" t="s">
        <v>53</v>
      </c>
      <c r="AK1501">
        <v>0</v>
      </c>
      <c r="AU1501" s="3">
        <v>42516</v>
      </c>
      <c r="AV1501" s="3">
        <v>42516</v>
      </c>
      <c r="AW1501" t="s">
        <v>54</v>
      </c>
      <c r="AX1501" t="str">
        <f>"ALTPRO"</f>
        <v>ALTPRO</v>
      </c>
      <c r="AY1501" t="s">
        <v>93</v>
      </c>
    </row>
    <row r="1502" spans="1:51" hidden="1">
      <c r="A1502">
        <v>101398</v>
      </c>
      <c r="B1502" t="s">
        <v>239</v>
      </c>
      <c r="C1502" t="str">
        <f>"05815611008"</f>
        <v>05815611008</v>
      </c>
      <c r="D1502" t="str">
        <f>"05815611008"</f>
        <v>05815611008</v>
      </c>
      <c r="E1502" t="s">
        <v>52</v>
      </c>
      <c r="F1502">
        <v>2015</v>
      </c>
      <c r="G1502" t="str">
        <f>"          0000018897"</f>
        <v xml:space="preserve">          0000018897</v>
      </c>
      <c r="H1502" s="3">
        <v>42345</v>
      </c>
      <c r="I1502" s="3">
        <v>42352</v>
      </c>
      <c r="J1502" s="3">
        <v>42347</v>
      </c>
      <c r="K1502" s="3">
        <v>42407</v>
      </c>
      <c r="L1502"/>
      <c r="N1502"/>
      <c r="O1502" s="4">
        <v>1624.6</v>
      </c>
      <c r="P1502">
        <v>8</v>
      </c>
      <c r="Q1502" s="4">
        <v>12996.8</v>
      </c>
      <c r="R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 s="3">
        <v>42562</v>
      </c>
      <c r="AC1502" t="s">
        <v>53</v>
      </c>
      <c r="AD1502" t="s">
        <v>53</v>
      </c>
      <c r="AK1502">
        <v>0</v>
      </c>
      <c r="AU1502" s="3">
        <v>42415</v>
      </c>
      <c r="AV1502" s="3">
        <v>42415</v>
      </c>
      <c r="AW1502" t="s">
        <v>54</v>
      </c>
      <c r="AX1502" t="str">
        <f t="shared" ref="AX1502:AX1513" si="201">"FOR"</f>
        <v>FOR</v>
      </c>
      <c r="AY1502" t="s">
        <v>55</v>
      </c>
    </row>
    <row r="1503" spans="1:51">
      <c r="A1503">
        <v>101408</v>
      </c>
      <c r="B1503" t="s">
        <v>240</v>
      </c>
      <c r="C1503" t="str">
        <f t="shared" ref="C1503:D1507" si="202">"02571210349"</f>
        <v>02571210349</v>
      </c>
      <c r="D1503" t="str">
        <f t="shared" si="202"/>
        <v>02571210349</v>
      </c>
      <c r="E1503" t="s">
        <v>52</v>
      </c>
      <c r="F1503">
        <v>2015</v>
      </c>
      <c r="G1503" t="str">
        <f>"            29E-2015"</f>
        <v xml:space="preserve">            29E-2015</v>
      </c>
      <c r="H1503" s="3">
        <v>42277</v>
      </c>
      <c r="I1503" s="3">
        <v>42286</v>
      </c>
      <c r="J1503" s="3">
        <v>42283</v>
      </c>
      <c r="K1503" s="3">
        <v>42343</v>
      </c>
      <c r="L1503" s="5">
        <v>2362.6</v>
      </c>
      <c r="M1503">
        <v>177</v>
      </c>
      <c r="N1503" s="5">
        <v>418180.2</v>
      </c>
      <c r="O1503" s="4">
        <v>2362.6</v>
      </c>
      <c r="P1503">
        <v>177</v>
      </c>
      <c r="Q1503" s="4">
        <v>418180.2</v>
      </c>
      <c r="R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0</v>
      </c>
      <c r="AB1503" s="3">
        <v>42562</v>
      </c>
      <c r="AC1503" t="s">
        <v>53</v>
      </c>
      <c r="AD1503" t="s">
        <v>53</v>
      </c>
      <c r="AK1503">
        <v>0</v>
      </c>
      <c r="AU1503" s="3">
        <v>42520</v>
      </c>
      <c r="AV1503" s="3">
        <v>42520</v>
      </c>
      <c r="AW1503" t="s">
        <v>54</v>
      </c>
      <c r="AX1503" t="str">
        <f t="shared" si="201"/>
        <v>FOR</v>
      </c>
      <c r="AY1503" t="s">
        <v>55</v>
      </c>
    </row>
    <row r="1504" spans="1:51" hidden="1">
      <c r="A1504">
        <v>101408</v>
      </c>
      <c r="B1504" t="s">
        <v>240</v>
      </c>
      <c r="C1504" t="str">
        <f t="shared" si="202"/>
        <v>02571210349</v>
      </c>
      <c r="D1504" t="str">
        <f t="shared" si="202"/>
        <v>02571210349</v>
      </c>
      <c r="E1504" t="s">
        <v>52</v>
      </c>
      <c r="F1504">
        <v>2015</v>
      </c>
      <c r="G1504" t="str">
        <f>"            30E-2015"</f>
        <v xml:space="preserve">            30E-2015</v>
      </c>
      <c r="H1504" s="3">
        <v>42277</v>
      </c>
      <c r="I1504" s="3">
        <v>42286</v>
      </c>
      <c r="J1504" s="3">
        <v>42283</v>
      </c>
      <c r="K1504" s="3">
        <v>42343</v>
      </c>
      <c r="L1504"/>
      <c r="N1504"/>
      <c r="O1504" s="4">
        <v>4029.68</v>
      </c>
      <c r="P1504">
        <v>73</v>
      </c>
      <c r="Q1504" s="4">
        <v>294166.64</v>
      </c>
      <c r="R1504">
        <v>0</v>
      </c>
      <c r="V1504">
        <v>0</v>
      </c>
      <c r="W1504">
        <v>0</v>
      </c>
      <c r="X1504">
        <v>0</v>
      </c>
      <c r="Y1504">
        <v>0</v>
      </c>
      <c r="Z1504">
        <v>0</v>
      </c>
      <c r="AA1504">
        <v>0</v>
      </c>
      <c r="AB1504" s="3">
        <v>42562</v>
      </c>
      <c r="AC1504" t="s">
        <v>53</v>
      </c>
      <c r="AD1504" t="s">
        <v>53</v>
      </c>
      <c r="AK1504">
        <v>0</v>
      </c>
      <c r="AU1504" s="3">
        <v>42416</v>
      </c>
      <c r="AV1504" s="3">
        <v>42416</v>
      </c>
      <c r="AW1504" t="s">
        <v>54</v>
      </c>
      <c r="AX1504" t="str">
        <f t="shared" si="201"/>
        <v>FOR</v>
      </c>
      <c r="AY1504" t="s">
        <v>55</v>
      </c>
    </row>
    <row r="1505" spans="1:51" hidden="1">
      <c r="A1505">
        <v>101408</v>
      </c>
      <c r="B1505" t="s">
        <v>240</v>
      </c>
      <c r="C1505" t="str">
        <f t="shared" si="202"/>
        <v>02571210349</v>
      </c>
      <c r="D1505" t="str">
        <f t="shared" si="202"/>
        <v>02571210349</v>
      </c>
      <c r="E1505" t="s">
        <v>52</v>
      </c>
      <c r="F1505">
        <v>2015</v>
      </c>
      <c r="G1505" t="str">
        <f>"            32E-2015"</f>
        <v xml:space="preserve">            32E-2015</v>
      </c>
      <c r="H1505" s="3">
        <v>42286</v>
      </c>
      <c r="I1505" s="3">
        <v>42296</v>
      </c>
      <c r="J1505" s="3">
        <v>42293</v>
      </c>
      <c r="K1505" s="3">
        <v>42353</v>
      </c>
      <c r="L1505"/>
      <c r="N1505"/>
      <c r="O1505" s="4">
        <v>3397</v>
      </c>
      <c r="P1505">
        <v>63</v>
      </c>
      <c r="Q1505" s="4">
        <v>214011</v>
      </c>
      <c r="R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0</v>
      </c>
      <c r="AB1505" s="3">
        <v>42562</v>
      </c>
      <c r="AC1505" t="s">
        <v>53</v>
      </c>
      <c r="AD1505" t="s">
        <v>53</v>
      </c>
      <c r="AK1505">
        <v>0</v>
      </c>
      <c r="AU1505" s="3">
        <v>42416</v>
      </c>
      <c r="AV1505" s="3">
        <v>42416</v>
      </c>
      <c r="AW1505" t="s">
        <v>54</v>
      </c>
      <c r="AX1505" t="str">
        <f t="shared" si="201"/>
        <v>FOR</v>
      </c>
      <c r="AY1505" t="s">
        <v>55</v>
      </c>
    </row>
    <row r="1506" spans="1:51">
      <c r="A1506">
        <v>101408</v>
      </c>
      <c r="B1506" t="s">
        <v>240</v>
      </c>
      <c r="C1506" t="str">
        <f t="shared" si="202"/>
        <v>02571210349</v>
      </c>
      <c r="D1506" t="str">
        <f t="shared" si="202"/>
        <v>02571210349</v>
      </c>
      <c r="E1506" t="s">
        <v>52</v>
      </c>
      <c r="F1506">
        <v>2015</v>
      </c>
      <c r="G1506" t="str">
        <f>"            41E/2015"</f>
        <v xml:space="preserve">            41E/2015</v>
      </c>
      <c r="H1506" s="3">
        <v>42369</v>
      </c>
      <c r="I1506" s="3">
        <v>42369</v>
      </c>
      <c r="J1506" s="3">
        <v>42369</v>
      </c>
      <c r="K1506" s="3">
        <v>42429</v>
      </c>
      <c r="L1506" s="5">
        <v>4290</v>
      </c>
      <c r="M1506">
        <v>91</v>
      </c>
      <c r="N1506" s="5">
        <v>390390</v>
      </c>
      <c r="O1506" s="4">
        <v>4290</v>
      </c>
      <c r="P1506">
        <v>91</v>
      </c>
      <c r="Q1506" s="4">
        <v>390390</v>
      </c>
      <c r="R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0</v>
      </c>
      <c r="AB1506" s="3">
        <v>42562</v>
      </c>
      <c r="AC1506" t="s">
        <v>53</v>
      </c>
      <c r="AD1506" t="s">
        <v>53</v>
      </c>
      <c r="AK1506">
        <v>0</v>
      </c>
      <c r="AU1506" s="3">
        <v>42520</v>
      </c>
      <c r="AV1506" s="3">
        <v>42520</v>
      </c>
      <c r="AW1506" t="s">
        <v>54</v>
      </c>
      <c r="AX1506" t="str">
        <f t="shared" si="201"/>
        <v>FOR</v>
      </c>
      <c r="AY1506" t="s">
        <v>55</v>
      </c>
    </row>
    <row r="1507" spans="1:51">
      <c r="A1507">
        <v>101408</v>
      </c>
      <c r="B1507" t="s">
        <v>240</v>
      </c>
      <c r="C1507" t="str">
        <f t="shared" si="202"/>
        <v>02571210349</v>
      </c>
      <c r="D1507" t="str">
        <f t="shared" si="202"/>
        <v>02571210349</v>
      </c>
      <c r="E1507" t="s">
        <v>52</v>
      </c>
      <c r="F1507">
        <v>2015</v>
      </c>
      <c r="G1507" t="str">
        <f>"            44E/2015"</f>
        <v xml:space="preserve">            44E/2015</v>
      </c>
      <c r="H1507" s="3">
        <v>42369</v>
      </c>
      <c r="I1507" s="3">
        <v>42447</v>
      </c>
      <c r="J1507" s="3">
        <v>42446</v>
      </c>
      <c r="K1507" s="3">
        <v>42506</v>
      </c>
      <c r="L1507" s="5">
        <v>3560.4</v>
      </c>
      <c r="M1507">
        <v>14</v>
      </c>
      <c r="N1507" s="5">
        <v>49845.599999999999</v>
      </c>
      <c r="O1507" s="4">
        <v>3560.4</v>
      </c>
      <c r="P1507">
        <v>14</v>
      </c>
      <c r="Q1507" s="4">
        <v>49845.599999999999</v>
      </c>
      <c r="R1507">
        <v>0</v>
      </c>
      <c r="V1507">
        <v>0</v>
      </c>
      <c r="W1507">
        <v>0</v>
      </c>
      <c r="X1507">
        <v>0</v>
      </c>
      <c r="Y1507">
        <v>0</v>
      </c>
      <c r="Z1507" s="4">
        <v>4343.6899999999996</v>
      </c>
      <c r="AA1507">
        <v>0</v>
      </c>
      <c r="AB1507" s="3">
        <v>42562</v>
      </c>
      <c r="AC1507" t="s">
        <v>53</v>
      </c>
      <c r="AD1507" t="s">
        <v>53</v>
      </c>
      <c r="AK1507">
        <v>0</v>
      </c>
      <c r="AU1507" s="3">
        <v>42520</v>
      </c>
      <c r="AV1507" s="3">
        <v>42520</v>
      </c>
      <c r="AW1507" t="s">
        <v>54</v>
      </c>
      <c r="AX1507" t="str">
        <f t="shared" si="201"/>
        <v>FOR</v>
      </c>
      <c r="AY1507" t="s">
        <v>55</v>
      </c>
    </row>
    <row r="1508" spans="1:51">
      <c r="A1508">
        <v>101421</v>
      </c>
      <c r="B1508" t="s">
        <v>241</v>
      </c>
      <c r="C1508" t="str">
        <f>"06516000962"</f>
        <v>06516000962</v>
      </c>
      <c r="D1508" t="str">
        <f>"06516000962"</f>
        <v>06516000962</v>
      </c>
      <c r="E1508" t="s">
        <v>52</v>
      </c>
      <c r="F1508">
        <v>2015</v>
      </c>
      <c r="G1508" t="str">
        <f>"          8500019099"</f>
        <v xml:space="preserve">          8500019099</v>
      </c>
      <c r="H1508" s="3">
        <v>42116</v>
      </c>
      <c r="I1508" s="3">
        <v>42124</v>
      </c>
      <c r="J1508" s="3">
        <v>42123</v>
      </c>
      <c r="K1508" s="3">
        <v>42183</v>
      </c>
      <c r="L1508" s="1">
        <v>30.4</v>
      </c>
      <c r="M1508">
        <v>304</v>
      </c>
      <c r="N1508" s="5">
        <v>9241.6</v>
      </c>
      <c r="O1508">
        <v>30.4</v>
      </c>
      <c r="P1508">
        <v>304</v>
      </c>
      <c r="Q1508" s="4">
        <v>9241.6</v>
      </c>
      <c r="R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 s="3">
        <v>42562</v>
      </c>
      <c r="AC1508" t="s">
        <v>53</v>
      </c>
      <c r="AD1508" t="s">
        <v>53</v>
      </c>
      <c r="AK1508">
        <v>0</v>
      </c>
      <c r="AU1508" s="3">
        <v>42487</v>
      </c>
      <c r="AV1508" s="3">
        <v>42487</v>
      </c>
      <c r="AW1508" t="s">
        <v>54</v>
      </c>
      <c r="AX1508" t="str">
        <f t="shared" si="201"/>
        <v>FOR</v>
      </c>
      <c r="AY1508" t="s">
        <v>55</v>
      </c>
    </row>
    <row r="1509" spans="1:51">
      <c r="A1509">
        <v>101425</v>
      </c>
      <c r="B1509" t="s">
        <v>242</v>
      </c>
      <c r="C1509" t="str">
        <f>"01330160555"</f>
        <v>01330160555</v>
      </c>
      <c r="D1509" t="str">
        <f>"01330160555"</f>
        <v>01330160555</v>
      </c>
      <c r="E1509" t="s">
        <v>52</v>
      </c>
      <c r="F1509">
        <v>2015</v>
      </c>
      <c r="G1509" t="str">
        <f>"        GN15-458044E"</f>
        <v xml:space="preserve">        GN15-458044E</v>
      </c>
      <c r="H1509" s="3">
        <v>42304</v>
      </c>
      <c r="I1509" s="3">
        <v>42431</v>
      </c>
      <c r="J1509" s="3">
        <v>42431</v>
      </c>
      <c r="K1509" s="3">
        <v>42491</v>
      </c>
      <c r="L1509" s="5">
        <v>-27018</v>
      </c>
      <c r="M1509">
        <v>-23</v>
      </c>
      <c r="N1509" s="5">
        <v>621414</v>
      </c>
      <c r="O1509" s="4">
        <v>-27018</v>
      </c>
      <c r="P1509">
        <v>-23</v>
      </c>
      <c r="Q1509" s="4">
        <v>621414</v>
      </c>
      <c r="R1509">
        <v>0</v>
      </c>
      <c r="V1509">
        <v>0</v>
      </c>
      <c r="W1509">
        <v>0</v>
      </c>
      <c r="X1509">
        <v>0</v>
      </c>
      <c r="Y1509">
        <v>0</v>
      </c>
      <c r="Z1509" s="4">
        <v>-27018</v>
      </c>
      <c r="AA1509">
        <v>0</v>
      </c>
      <c r="AB1509" s="3">
        <v>42562</v>
      </c>
      <c r="AC1509" t="s">
        <v>53</v>
      </c>
      <c r="AD1509" t="s">
        <v>53</v>
      </c>
      <c r="AK1509">
        <v>0</v>
      </c>
      <c r="AU1509" s="3">
        <v>42468</v>
      </c>
      <c r="AV1509" s="3">
        <v>42468</v>
      </c>
      <c r="AW1509" t="s">
        <v>54</v>
      </c>
      <c r="AX1509" t="str">
        <f t="shared" si="201"/>
        <v>FOR</v>
      </c>
      <c r="AY1509" t="s">
        <v>55</v>
      </c>
    </row>
    <row r="1510" spans="1:51">
      <c r="A1510">
        <v>101425</v>
      </c>
      <c r="B1510" t="s">
        <v>242</v>
      </c>
      <c r="C1510" t="str">
        <f>"01330160555"</f>
        <v>01330160555</v>
      </c>
      <c r="D1510" t="str">
        <f>"01330160555"</f>
        <v>01330160555</v>
      </c>
      <c r="E1510" t="s">
        <v>52</v>
      </c>
      <c r="F1510">
        <v>2015</v>
      </c>
      <c r="G1510" t="str">
        <f>"        GN15-529163E"</f>
        <v xml:space="preserve">        GN15-529163E</v>
      </c>
      <c r="H1510" s="3">
        <v>42321</v>
      </c>
      <c r="I1510" s="3">
        <v>42431</v>
      </c>
      <c r="J1510" s="3">
        <v>42431</v>
      </c>
      <c r="K1510" s="3">
        <v>42491</v>
      </c>
      <c r="L1510" s="5">
        <v>-2628.01</v>
      </c>
      <c r="M1510">
        <v>-23</v>
      </c>
      <c r="N1510" s="5">
        <v>60444.23</v>
      </c>
      <c r="O1510" s="4">
        <v>-2628.01</v>
      </c>
      <c r="P1510">
        <v>-23</v>
      </c>
      <c r="Q1510" s="4">
        <v>60444.23</v>
      </c>
      <c r="R1510">
        <v>0</v>
      </c>
      <c r="V1510">
        <v>0</v>
      </c>
      <c r="W1510">
        <v>0</v>
      </c>
      <c r="X1510">
        <v>0</v>
      </c>
      <c r="Y1510">
        <v>0</v>
      </c>
      <c r="Z1510" s="4">
        <v>-2628.01</v>
      </c>
      <c r="AA1510">
        <v>0</v>
      </c>
      <c r="AB1510" s="3">
        <v>42562</v>
      </c>
      <c r="AC1510" t="s">
        <v>53</v>
      </c>
      <c r="AD1510" t="s">
        <v>53</v>
      </c>
      <c r="AK1510">
        <v>0</v>
      </c>
      <c r="AU1510" s="3">
        <v>42468</v>
      </c>
      <c r="AV1510" s="3">
        <v>42468</v>
      </c>
      <c r="AW1510" t="s">
        <v>54</v>
      </c>
      <c r="AX1510" t="str">
        <f t="shared" si="201"/>
        <v>FOR</v>
      </c>
      <c r="AY1510" t="s">
        <v>55</v>
      </c>
    </row>
    <row r="1511" spans="1:51" hidden="1">
      <c r="A1511">
        <v>101465</v>
      </c>
      <c r="B1511" t="s">
        <v>243</v>
      </c>
      <c r="C1511" t="str">
        <f>"01706280540"</f>
        <v>01706280540</v>
      </c>
      <c r="D1511" t="str">
        <f>"MTTMPT62C17I585L"</f>
        <v>MTTMPT62C17I585L</v>
      </c>
      <c r="E1511" t="s">
        <v>52</v>
      </c>
      <c r="F1511">
        <v>2015</v>
      </c>
      <c r="G1511" t="str">
        <f>"        FATTPA 16_15"</f>
        <v xml:space="preserve">        FATTPA 16_15</v>
      </c>
      <c r="H1511" s="3">
        <v>42369</v>
      </c>
      <c r="I1511" s="3">
        <v>42422</v>
      </c>
      <c r="J1511" s="3">
        <v>42419</v>
      </c>
      <c r="K1511" s="3">
        <v>42479</v>
      </c>
      <c r="L1511"/>
      <c r="N1511"/>
      <c r="O1511">
        <v>690</v>
      </c>
      <c r="P1511">
        <v>-20</v>
      </c>
      <c r="Q1511" s="4">
        <v>-13800</v>
      </c>
      <c r="R1511">
        <v>0</v>
      </c>
      <c r="V1511">
        <v>0</v>
      </c>
      <c r="W1511">
        <v>0</v>
      </c>
      <c r="X1511">
        <v>0</v>
      </c>
      <c r="Y1511">
        <v>0</v>
      </c>
      <c r="Z1511">
        <v>690</v>
      </c>
      <c r="AA1511">
        <v>0</v>
      </c>
      <c r="AB1511" s="3">
        <v>42562</v>
      </c>
      <c r="AC1511" t="s">
        <v>53</v>
      </c>
      <c r="AD1511" t="s">
        <v>53</v>
      </c>
      <c r="AK1511">
        <v>0</v>
      </c>
      <c r="AU1511" s="3">
        <v>42459</v>
      </c>
      <c r="AV1511" s="3">
        <v>42459</v>
      </c>
      <c r="AW1511" t="s">
        <v>54</v>
      </c>
      <c r="AX1511" t="str">
        <f t="shared" si="201"/>
        <v>FOR</v>
      </c>
      <c r="AY1511" t="s">
        <v>55</v>
      </c>
    </row>
    <row r="1512" spans="1:51" hidden="1">
      <c r="A1512">
        <v>101474</v>
      </c>
      <c r="B1512" t="s">
        <v>244</v>
      </c>
      <c r="C1512" t="str">
        <f>"09971540159"</f>
        <v>09971540159</v>
      </c>
      <c r="D1512" t="str">
        <f>"09971540159"</f>
        <v>09971540159</v>
      </c>
      <c r="E1512" t="s">
        <v>52</v>
      </c>
      <c r="F1512">
        <v>2015</v>
      </c>
      <c r="G1512" t="str">
        <f>"              3080/T"</f>
        <v xml:space="preserve">              3080/T</v>
      </c>
      <c r="H1512" s="3">
        <v>42258</v>
      </c>
      <c r="I1512" s="3">
        <v>42261</v>
      </c>
      <c r="J1512" s="3">
        <v>42258</v>
      </c>
      <c r="K1512" s="3">
        <v>42318</v>
      </c>
      <c r="L1512"/>
      <c r="N1512"/>
      <c r="O1512">
        <v>640</v>
      </c>
      <c r="P1512">
        <v>92</v>
      </c>
      <c r="Q1512" s="4">
        <v>58880</v>
      </c>
      <c r="R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 s="3">
        <v>42562</v>
      </c>
      <c r="AC1512" t="s">
        <v>53</v>
      </c>
      <c r="AD1512" t="s">
        <v>53</v>
      </c>
      <c r="AK1512">
        <v>0</v>
      </c>
      <c r="AU1512" s="3">
        <v>42410</v>
      </c>
      <c r="AV1512" s="3">
        <v>42410</v>
      </c>
      <c r="AW1512" t="s">
        <v>54</v>
      </c>
      <c r="AX1512" t="str">
        <f t="shared" si="201"/>
        <v>FOR</v>
      </c>
      <c r="AY1512" t="s">
        <v>55</v>
      </c>
    </row>
    <row r="1513" spans="1:51" hidden="1">
      <c r="A1513">
        <v>101474</v>
      </c>
      <c r="B1513" t="s">
        <v>244</v>
      </c>
      <c r="C1513" t="str">
        <f>"09971540159"</f>
        <v>09971540159</v>
      </c>
      <c r="D1513" t="str">
        <f>"09971540159"</f>
        <v>09971540159</v>
      </c>
      <c r="E1513" t="s">
        <v>52</v>
      </c>
      <c r="F1513">
        <v>2015</v>
      </c>
      <c r="G1513" t="str">
        <f>"              3636/T"</f>
        <v xml:space="preserve">              3636/T</v>
      </c>
      <c r="H1513" s="3">
        <v>42314</v>
      </c>
      <c r="I1513" s="3">
        <v>42320</v>
      </c>
      <c r="J1513" s="3">
        <v>42319</v>
      </c>
      <c r="K1513" s="3">
        <v>42379</v>
      </c>
      <c r="L1513"/>
      <c r="N1513"/>
      <c r="O1513">
        <v>800</v>
      </c>
      <c r="P1513">
        <v>31</v>
      </c>
      <c r="Q1513" s="4">
        <v>24800</v>
      </c>
      <c r="R1513">
        <v>0</v>
      </c>
      <c r="V1513">
        <v>0</v>
      </c>
      <c r="W1513">
        <v>0</v>
      </c>
      <c r="X1513">
        <v>0</v>
      </c>
      <c r="Y1513">
        <v>0</v>
      </c>
      <c r="Z1513">
        <v>0</v>
      </c>
      <c r="AA1513">
        <v>0</v>
      </c>
      <c r="AB1513" s="3">
        <v>42562</v>
      </c>
      <c r="AC1513" t="s">
        <v>53</v>
      </c>
      <c r="AD1513" t="s">
        <v>53</v>
      </c>
      <c r="AK1513">
        <v>0</v>
      </c>
      <c r="AU1513" s="3">
        <v>42410</v>
      </c>
      <c r="AV1513" s="3">
        <v>42410</v>
      </c>
      <c r="AW1513" t="s">
        <v>54</v>
      </c>
      <c r="AX1513" t="str">
        <f t="shared" si="201"/>
        <v>FOR</v>
      </c>
      <c r="AY1513" t="s">
        <v>55</v>
      </c>
    </row>
    <row r="1514" spans="1:51" hidden="1">
      <c r="A1514">
        <v>101476</v>
      </c>
      <c r="B1514" t="s">
        <v>245</v>
      </c>
      <c r="C1514" t="str">
        <f t="shared" ref="C1514:D1523" si="203">"06363391001"</f>
        <v>06363391001</v>
      </c>
      <c r="D1514" t="str">
        <f t="shared" si="203"/>
        <v>06363391001</v>
      </c>
      <c r="E1514" t="s">
        <v>52</v>
      </c>
      <c r="F1514">
        <v>2016</v>
      </c>
      <c r="G1514" t="str">
        <f>"                   2"</f>
        <v xml:space="preserve">                   2</v>
      </c>
      <c r="H1514" s="3">
        <v>42389</v>
      </c>
      <c r="I1514" s="3">
        <v>42389</v>
      </c>
      <c r="J1514" s="3">
        <v>42389</v>
      </c>
      <c r="K1514" s="3">
        <v>42449</v>
      </c>
      <c r="L1514"/>
      <c r="N1514"/>
      <c r="O1514" s="4">
        <v>2272.96</v>
      </c>
      <c r="P1514">
        <v>-60</v>
      </c>
      <c r="Q1514" s="4">
        <v>-136377.60000000001</v>
      </c>
      <c r="R1514">
        <v>0</v>
      </c>
      <c r="V1514">
        <v>0</v>
      </c>
      <c r="W1514">
        <v>0</v>
      </c>
      <c r="X1514">
        <v>0</v>
      </c>
      <c r="Y1514" s="4">
        <v>2272.96</v>
      </c>
      <c r="Z1514" s="4">
        <v>2272.96</v>
      </c>
      <c r="AA1514" s="4">
        <v>2272.96</v>
      </c>
      <c r="AB1514" s="3">
        <v>42562</v>
      </c>
      <c r="AC1514" t="s">
        <v>53</v>
      </c>
      <c r="AD1514" t="s">
        <v>53</v>
      </c>
      <c r="AK1514">
        <v>0</v>
      </c>
      <c r="AU1514" s="3">
        <v>42389</v>
      </c>
      <c r="AV1514" s="3">
        <v>42389</v>
      </c>
      <c r="AW1514" t="s">
        <v>54</v>
      </c>
      <c r="AX1514" t="str">
        <f t="shared" ref="AX1514:AX1523" si="204">"ALT"</f>
        <v>ALT</v>
      </c>
      <c r="AY1514" t="s">
        <v>72</v>
      </c>
    </row>
    <row r="1515" spans="1:51" hidden="1">
      <c r="A1515">
        <v>101476</v>
      </c>
      <c r="B1515" t="s">
        <v>245</v>
      </c>
      <c r="C1515" t="str">
        <f t="shared" si="203"/>
        <v>06363391001</v>
      </c>
      <c r="D1515" t="str">
        <f t="shared" si="203"/>
        <v>06363391001</v>
      </c>
      <c r="E1515" t="s">
        <v>52</v>
      </c>
      <c r="F1515">
        <v>2016</v>
      </c>
      <c r="G1515" t="str">
        <f>"                   7"</f>
        <v xml:space="preserve">                   7</v>
      </c>
      <c r="H1515" s="3">
        <v>42394</v>
      </c>
      <c r="I1515" s="3">
        <v>42394</v>
      </c>
      <c r="J1515" s="3">
        <v>42394</v>
      </c>
      <c r="K1515" s="3">
        <v>42454</v>
      </c>
      <c r="L1515"/>
      <c r="N1515"/>
      <c r="O1515" s="4">
        <v>2847.69</v>
      </c>
      <c r="P1515">
        <v>-59</v>
      </c>
      <c r="Q1515" s="4">
        <v>-168013.71</v>
      </c>
      <c r="R1515">
        <v>0</v>
      </c>
      <c r="V1515">
        <v>0</v>
      </c>
      <c r="W1515">
        <v>0</v>
      </c>
      <c r="X1515">
        <v>0</v>
      </c>
      <c r="Y1515" s="4">
        <v>2847.69</v>
      </c>
      <c r="Z1515" s="4">
        <v>2847.69</v>
      </c>
      <c r="AA1515" s="4">
        <v>2847.69</v>
      </c>
      <c r="AB1515" s="3">
        <v>42562</v>
      </c>
      <c r="AC1515" t="s">
        <v>53</v>
      </c>
      <c r="AD1515" t="s">
        <v>53</v>
      </c>
      <c r="AK1515">
        <v>0</v>
      </c>
      <c r="AU1515" s="3">
        <v>42395</v>
      </c>
      <c r="AV1515" s="3">
        <v>42395</v>
      </c>
      <c r="AW1515" t="s">
        <v>54</v>
      </c>
      <c r="AX1515" t="str">
        <f t="shared" si="204"/>
        <v>ALT</v>
      </c>
      <c r="AY1515" t="s">
        <v>72</v>
      </c>
    </row>
    <row r="1516" spans="1:51" hidden="1">
      <c r="A1516">
        <v>101476</v>
      </c>
      <c r="B1516" t="s">
        <v>245</v>
      </c>
      <c r="C1516" t="str">
        <f t="shared" si="203"/>
        <v>06363391001</v>
      </c>
      <c r="D1516" t="str">
        <f t="shared" si="203"/>
        <v>06363391001</v>
      </c>
      <c r="E1516" t="s">
        <v>52</v>
      </c>
      <c r="F1516">
        <v>2016</v>
      </c>
      <c r="G1516" t="str">
        <f>"                  62"</f>
        <v xml:space="preserve">                  62</v>
      </c>
      <c r="H1516" s="3">
        <v>42443</v>
      </c>
      <c r="I1516" s="3">
        <v>42443</v>
      </c>
      <c r="J1516" s="3">
        <v>42443</v>
      </c>
      <c r="K1516" s="3">
        <v>42503</v>
      </c>
      <c r="L1516"/>
      <c r="N1516"/>
      <c r="O1516" s="4">
        <v>6702.66</v>
      </c>
      <c r="P1516">
        <v>-60</v>
      </c>
      <c r="Q1516" s="4">
        <v>-402159.6</v>
      </c>
      <c r="R1516">
        <v>0</v>
      </c>
      <c r="V1516">
        <v>0</v>
      </c>
      <c r="W1516">
        <v>0</v>
      </c>
      <c r="X1516">
        <v>0</v>
      </c>
      <c r="Y1516" s="4">
        <v>6702.66</v>
      </c>
      <c r="Z1516" s="4">
        <v>6702.66</v>
      </c>
      <c r="AA1516" s="4">
        <v>6702.66</v>
      </c>
      <c r="AB1516" s="3">
        <v>42562</v>
      </c>
      <c r="AC1516" t="s">
        <v>53</v>
      </c>
      <c r="AD1516" t="s">
        <v>53</v>
      </c>
      <c r="AK1516">
        <v>0</v>
      </c>
      <c r="AU1516" s="3">
        <v>42443</v>
      </c>
      <c r="AV1516" s="3">
        <v>42443</v>
      </c>
      <c r="AW1516" t="s">
        <v>54</v>
      </c>
      <c r="AX1516" t="str">
        <f t="shared" si="204"/>
        <v>ALT</v>
      </c>
      <c r="AY1516" t="s">
        <v>72</v>
      </c>
    </row>
    <row r="1517" spans="1:51" hidden="1">
      <c r="A1517">
        <v>101476</v>
      </c>
      <c r="B1517" t="s">
        <v>245</v>
      </c>
      <c r="C1517" t="str">
        <f t="shared" si="203"/>
        <v>06363391001</v>
      </c>
      <c r="D1517" t="str">
        <f t="shared" si="203"/>
        <v>06363391001</v>
      </c>
      <c r="E1517" t="s">
        <v>52</v>
      </c>
      <c r="F1517">
        <v>2016</v>
      </c>
      <c r="G1517" t="str">
        <f>"                  65"</f>
        <v xml:space="preserve">                  65</v>
      </c>
      <c r="H1517" s="3">
        <v>42459</v>
      </c>
      <c r="I1517" s="3">
        <v>42459</v>
      </c>
      <c r="J1517" s="3">
        <v>42459</v>
      </c>
      <c r="K1517" s="3">
        <v>42519</v>
      </c>
      <c r="L1517"/>
      <c r="N1517"/>
      <c r="O1517">
        <v>200</v>
      </c>
      <c r="P1517">
        <v>-60</v>
      </c>
      <c r="Q1517" s="4">
        <v>-12000</v>
      </c>
      <c r="R1517">
        <v>0</v>
      </c>
      <c r="V1517">
        <v>0</v>
      </c>
      <c r="W1517">
        <v>0</v>
      </c>
      <c r="X1517">
        <v>0</v>
      </c>
      <c r="Y1517">
        <v>200</v>
      </c>
      <c r="Z1517">
        <v>200</v>
      </c>
      <c r="AA1517">
        <v>200</v>
      </c>
      <c r="AB1517" s="3">
        <v>42562</v>
      </c>
      <c r="AC1517" t="s">
        <v>53</v>
      </c>
      <c r="AD1517" t="s">
        <v>53</v>
      </c>
      <c r="AK1517">
        <v>0</v>
      </c>
      <c r="AU1517" s="3">
        <v>42459</v>
      </c>
      <c r="AV1517" s="3">
        <v>42459</v>
      </c>
      <c r="AW1517" t="s">
        <v>54</v>
      </c>
      <c r="AX1517" t="str">
        <f t="shared" si="204"/>
        <v>ALT</v>
      </c>
      <c r="AY1517" t="s">
        <v>72</v>
      </c>
    </row>
    <row r="1518" spans="1:51" hidden="1">
      <c r="A1518">
        <v>101476</v>
      </c>
      <c r="B1518" t="s">
        <v>245</v>
      </c>
      <c r="C1518" t="str">
        <f t="shared" si="203"/>
        <v>06363391001</v>
      </c>
      <c r="D1518" t="str">
        <f t="shared" si="203"/>
        <v>06363391001</v>
      </c>
      <c r="E1518" t="s">
        <v>52</v>
      </c>
      <c r="F1518">
        <v>2016</v>
      </c>
      <c r="G1518" t="str">
        <f>"                  86"</f>
        <v xml:space="preserve">                  86</v>
      </c>
      <c r="H1518" s="3">
        <v>42479</v>
      </c>
      <c r="I1518" s="3">
        <v>42479</v>
      </c>
      <c r="J1518" s="3">
        <v>42479</v>
      </c>
      <c r="K1518" s="3">
        <v>42539</v>
      </c>
      <c r="L1518" s="4">
        <v>1318.48</v>
      </c>
      <c r="M1518">
        <v>-60</v>
      </c>
      <c r="N1518" s="4">
        <v>-79108.800000000003</v>
      </c>
      <c r="O1518" s="4">
        <v>1318.48</v>
      </c>
      <c r="P1518">
        <v>-60</v>
      </c>
      <c r="Q1518" s="4">
        <v>-79108.800000000003</v>
      </c>
      <c r="R1518">
        <v>0</v>
      </c>
      <c r="V1518" s="4">
        <v>1318.48</v>
      </c>
      <c r="W1518" s="4">
        <v>1318.48</v>
      </c>
      <c r="X1518" s="4">
        <v>1318.48</v>
      </c>
      <c r="Y1518" s="4">
        <v>1318.48</v>
      </c>
      <c r="Z1518" s="4">
        <v>1318.48</v>
      </c>
      <c r="AA1518" s="4">
        <v>1318.48</v>
      </c>
      <c r="AB1518" s="3">
        <v>42562</v>
      </c>
      <c r="AC1518" t="s">
        <v>53</v>
      </c>
      <c r="AD1518" t="s">
        <v>53</v>
      </c>
      <c r="AK1518">
        <v>0</v>
      </c>
      <c r="AU1518" s="3">
        <v>42479</v>
      </c>
      <c r="AV1518" s="3">
        <v>42479</v>
      </c>
      <c r="AW1518" t="s">
        <v>54</v>
      </c>
      <c r="AX1518" t="str">
        <f t="shared" si="204"/>
        <v>ALT</v>
      </c>
      <c r="AY1518" t="s">
        <v>72</v>
      </c>
    </row>
    <row r="1519" spans="1:51" hidden="1">
      <c r="A1519">
        <v>101476</v>
      </c>
      <c r="B1519" t="s">
        <v>245</v>
      </c>
      <c r="C1519" t="str">
        <f t="shared" si="203"/>
        <v>06363391001</v>
      </c>
      <c r="D1519" t="str">
        <f t="shared" si="203"/>
        <v>06363391001</v>
      </c>
      <c r="E1519" t="s">
        <v>52</v>
      </c>
      <c r="F1519">
        <v>2016</v>
      </c>
      <c r="G1519" t="str">
        <f>"                 109"</f>
        <v xml:space="preserve">                 109</v>
      </c>
      <c r="H1519" s="3">
        <v>42494</v>
      </c>
      <c r="I1519" s="3">
        <v>42494</v>
      </c>
      <c r="J1519" s="3">
        <v>42494</v>
      </c>
      <c r="K1519" s="3">
        <v>42554</v>
      </c>
      <c r="L1519" s="4">
        <v>3814.66</v>
      </c>
      <c r="M1519">
        <v>-60</v>
      </c>
      <c r="N1519" s="4">
        <v>-228879.6</v>
      </c>
      <c r="O1519" s="4">
        <v>3814.66</v>
      </c>
      <c r="P1519">
        <v>-60</v>
      </c>
      <c r="Q1519" s="4">
        <v>-228879.6</v>
      </c>
      <c r="R1519">
        <v>0</v>
      </c>
      <c r="V1519" s="4">
        <v>3814.66</v>
      </c>
      <c r="W1519" s="4">
        <v>3814.66</v>
      </c>
      <c r="X1519" s="4">
        <v>3814.66</v>
      </c>
      <c r="Y1519" s="4">
        <v>3814.66</v>
      </c>
      <c r="Z1519" s="4">
        <v>3814.66</v>
      </c>
      <c r="AA1519" s="4">
        <v>3814.66</v>
      </c>
      <c r="AB1519" s="3">
        <v>42562</v>
      </c>
      <c r="AC1519" t="s">
        <v>53</v>
      </c>
      <c r="AD1519" t="s">
        <v>53</v>
      </c>
      <c r="AK1519">
        <v>0</v>
      </c>
      <c r="AU1519" s="3">
        <v>42494</v>
      </c>
      <c r="AV1519" s="3">
        <v>42494</v>
      </c>
      <c r="AW1519" t="s">
        <v>54</v>
      </c>
      <c r="AX1519" t="str">
        <f t="shared" si="204"/>
        <v>ALT</v>
      </c>
      <c r="AY1519" t="s">
        <v>72</v>
      </c>
    </row>
    <row r="1520" spans="1:51" hidden="1">
      <c r="A1520">
        <v>101476</v>
      </c>
      <c r="B1520" t="s">
        <v>245</v>
      </c>
      <c r="C1520" t="str">
        <f t="shared" si="203"/>
        <v>06363391001</v>
      </c>
      <c r="D1520" t="str">
        <f t="shared" si="203"/>
        <v>06363391001</v>
      </c>
      <c r="E1520" t="s">
        <v>52</v>
      </c>
      <c r="F1520">
        <v>2016</v>
      </c>
      <c r="G1520" t="str">
        <f>"                 112"</f>
        <v xml:space="preserve">                 112</v>
      </c>
      <c r="H1520" s="3">
        <v>42506</v>
      </c>
      <c r="I1520" s="3">
        <v>42506</v>
      </c>
      <c r="J1520" s="3">
        <v>42506</v>
      </c>
      <c r="K1520" s="3">
        <v>42566</v>
      </c>
      <c r="L1520">
        <v>631.16</v>
      </c>
      <c r="M1520">
        <v>-46</v>
      </c>
      <c r="N1520" s="4">
        <v>-29033.360000000001</v>
      </c>
      <c r="O1520">
        <v>631.16</v>
      </c>
      <c r="P1520">
        <v>-46</v>
      </c>
      <c r="Q1520" s="4">
        <v>-29033.360000000001</v>
      </c>
      <c r="R1520">
        <v>0</v>
      </c>
      <c r="V1520">
        <v>631.16</v>
      </c>
      <c r="W1520">
        <v>631.16</v>
      </c>
      <c r="X1520">
        <v>631.16</v>
      </c>
      <c r="Y1520">
        <v>631.16</v>
      </c>
      <c r="Z1520">
        <v>631.16</v>
      </c>
      <c r="AA1520">
        <v>631.16</v>
      </c>
      <c r="AB1520" s="3">
        <v>42562</v>
      </c>
      <c r="AC1520" t="s">
        <v>53</v>
      </c>
      <c r="AD1520" t="s">
        <v>53</v>
      </c>
      <c r="AK1520">
        <v>0</v>
      </c>
      <c r="AU1520" s="3">
        <v>42520</v>
      </c>
      <c r="AV1520" s="3">
        <v>42520</v>
      </c>
      <c r="AW1520" t="s">
        <v>54</v>
      </c>
      <c r="AX1520" t="str">
        <f t="shared" si="204"/>
        <v>ALT</v>
      </c>
      <c r="AY1520" t="s">
        <v>72</v>
      </c>
    </row>
    <row r="1521" spans="1:51" hidden="1">
      <c r="A1521">
        <v>101476</v>
      </c>
      <c r="B1521" t="s">
        <v>245</v>
      </c>
      <c r="C1521" t="str">
        <f t="shared" si="203"/>
        <v>06363391001</v>
      </c>
      <c r="D1521" t="str">
        <f t="shared" si="203"/>
        <v>06363391001</v>
      </c>
      <c r="E1521" t="s">
        <v>52</v>
      </c>
      <c r="F1521">
        <v>2016</v>
      </c>
      <c r="G1521" t="str">
        <f>"                 132"</f>
        <v xml:space="preserve">                 132</v>
      </c>
      <c r="H1521" s="3">
        <v>42516</v>
      </c>
      <c r="I1521" s="3">
        <v>42516</v>
      </c>
      <c r="J1521" s="3">
        <v>42516</v>
      </c>
      <c r="K1521" s="3">
        <v>42576</v>
      </c>
      <c r="L1521" s="4">
        <v>2193.0300000000002</v>
      </c>
      <c r="M1521">
        <v>-49</v>
      </c>
      <c r="N1521" s="4">
        <v>-107458.47</v>
      </c>
      <c r="O1521" s="4">
        <v>2193.0300000000002</v>
      </c>
      <c r="P1521">
        <v>-49</v>
      </c>
      <c r="Q1521" s="4">
        <v>-107458.47</v>
      </c>
      <c r="R1521">
        <v>0</v>
      </c>
      <c r="V1521" s="4">
        <v>2193.0300000000002</v>
      </c>
      <c r="W1521" s="4">
        <v>2193.0300000000002</v>
      </c>
      <c r="X1521" s="4">
        <v>2193.0300000000002</v>
      </c>
      <c r="Y1521" s="4">
        <v>2193.0300000000002</v>
      </c>
      <c r="Z1521" s="4">
        <v>2193.0300000000002</v>
      </c>
      <c r="AA1521" s="4">
        <v>2193.0300000000002</v>
      </c>
      <c r="AB1521" s="3">
        <v>42562</v>
      </c>
      <c r="AC1521" t="s">
        <v>53</v>
      </c>
      <c r="AD1521" t="s">
        <v>53</v>
      </c>
      <c r="AK1521">
        <v>0</v>
      </c>
      <c r="AU1521" s="3">
        <v>42527</v>
      </c>
      <c r="AV1521" s="3">
        <v>42527</v>
      </c>
      <c r="AW1521" t="s">
        <v>54</v>
      </c>
      <c r="AX1521" t="str">
        <f t="shared" si="204"/>
        <v>ALT</v>
      </c>
      <c r="AY1521" t="s">
        <v>72</v>
      </c>
    </row>
    <row r="1522" spans="1:51" hidden="1">
      <c r="A1522">
        <v>101476</v>
      </c>
      <c r="B1522" t="s">
        <v>245</v>
      </c>
      <c r="C1522" t="str">
        <f t="shared" si="203"/>
        <v>06363391001</v>
      </c>
      <c r="D1522" t="str">
        <f t="shared" si="203"/>
        <v>06363391001</v>
      </c>
      <c r="E1522" t="s">
        <v>52</v>
      </c>
      <c r="F1522">
        <v>2016</v>
      </c>
      <c r="G1522" t="str">
        <f>"                 144"</f>
        <v xml:space="preserve">                 144</v>
      </c>
      <c r="H1522" s="3">
        <v>42542</v>
      </c>
      <c r="I1522" s="3">
        <v>42542</v>
      </c>
      <c r="J1522" s="3">
        <v>42542</v>
      </c>
      <c r="K1522" s="3">
        <v>42602</v>
      </c>
      <c r="L1522">
        <v>13.53</v>
      </c>
      <c r="M1522">
        <v>-60</v>
      </c>
      <c r="N1522">
        <v>-811.8</v>
      </c>
      <c r="O1522">
        <v>13.53</v>
      </c>
      <c r="P1522">
        <v>-60</v>
      </c>
      <c r="Q1522">
        <v>-811.8</v>
      </c>
      <c r="R1522">
        <v>0</v>
      </c>
      <c r="V1522">
        <v>13.53</v>
      </c>
      <c r="W1522">
        <v>13.53</v>
      </c>
      <c r="X1522">
        <v>13.53</v>
      </c>
      <c r="Y1522">
        <v>13.53</v>
      </c>
      <c r="Z1522">
        <v>13.53</v>
      </c>
      <c r="AA1522">
        <v>13.53</v>
      </c>
      <c r="AB1522" s="3">
        <v>42562</v>
      </c>
      <c r="AC1522" t="s">
        <v>53</v>
      </c>
      <c r="AD1522" t="s">
        <v>53</v>
      </c>
      <c r="AK1522">
        <v>0</v>
      </c>
      <c r="AU1522" s="3">
        <v>42542</v>
      </c>
      <c r="AV1522" s="3">
        <v>42542</v>
      </c>
      <c r="AW1522" t="s">
        <v>54</v>
      </c>
      <c r="AX1522" t="str">
        <f t="shared" si="204"/>
        <v>ALT</v>
      </c>
      <c r="AY1522" t="s">
        <v>72</v>
      </c>
    </row>
    <row r="1523" spans="1:51" hidden="1">
      <c r="A1523">
        <v>101476</v>
      </c>
      <c r="B1523" t="s">
        <v>245</v>
      </c>
      <c r="C1523" t="str">
        <f t="shared" si="203"/>
        <v>06363391001</v>
      </c>
      <c r="D1523" t="str">
        <f t="shared" si="203"/>
        <v>06363391001</v>
      </c>
      <c r="E1523" t="s">
        <v>52</v>
      </c>
      <c r="F1523">
        <v>2016</v>
      </c>
      <c r="G1523" t="str">
        <f>"                 145"</f>
        <v xml:space="preserve">                 145</v>
      </c>
      <c r="H1523" s="3">
        <v>42542</v>
      </c>
      <c r="I1523" s="3">
        <v>42542</v>
      </c>
      <c r="J1523" s="3">
        <v>42542</v>
      </c>
      <c r="K1523" s="3">
        <v>42602</v>
      </c>
      <c r="L1523">
        <v>5.79</v>
      </c>
      <c r="M1523">
        <v>-60</v>
      </c>
      <c r="N1523">
        <v>-347.4</v>
      </c>
      <c r="O1523">
        <v>5.79</v>
      </c>
      <c r="P1523">
        <v>-60</v>
      </c>
      <c r="Q1523">
        <v>-347.4</v>
      </c>
      <c r="R1523">
        <v>0</v>
      </c>
      <c r="V1523">
        <v>5.79</v>
      </c>
      <c r="W1523">
        <v>5.79</v>
      </c>
      <c r="X1523">
        <v>5.79</v>
      </c>
      <c r="Y1523">
        <v>5.79</v>
      </c>
      <c r="Z1523">
        <v>5.79</v>
      </c>
      <c r="AA1523">
        <v>5.79</v>
      </c>
      <c r="AB1523" s="3">
        <v>42562</v>
      </c>
      <c r="AC1523" t="s">
        <v>53</v>
      </c>
      <c r="AD1523" t="s">
        <v>53</v>
      </c>
      <c r="AK1523">
        <v>0</v>
      </c>
      <c r="AU1523" s="3">
        <v>42542</v>
      </c>
      <c r="AV1523" s="3">
        <v>42542</v>
      </c>
      <c r="AW1523" t="s">
        <v>54</v>
      </c>
      <c r="AX1523" t="str">
        <f t="shared" si="204"/>
        <v>ALT</v>
      </c>
      <c r="AY1523" t="s">
        <v>72</v>
      </c>
    </row>
    <row r="1524" spans="1:51" hidden="1">
      <c r="A1524">
        <v>101482</v>
      </c>
      <c r="B1524" t="s">
        <v>246</v>
      </c>
      <c r="C1524" t="str">
        <f>"02666110644"</f>
        <v>02666110644</v>
      </c>
      <c r="D1524" t="str">
        <f>"LBRMLS79A71A489P"</f>
        <v>LBRMLS79A71A489P</v>
      </c>
      <c r="E1524" t="s">
        <v>52</v>
      </c>
      <c r="F1524">
        <v>2016</v>
      </c>
      <c r="G1524" t="str">
        <f>"      000001-2016-01"</f>
        <v xml:space="preserve">      000001-2016-01</v>
      </c>
      <c r="H1524" s="3">
        <v>42393</v>
      </c>
      <c r="I1524" s="3">
        <v>42394</v>
      </c>
      <c r="J1524" s="3">
        <v>42393</v>
      </c>
      <c r="K1524" s="3">
        <v>42453</v>
      </c>
      <c r="L1524"/>
      <c r="N1524"/>
      <c r="O1524" s="4">
        <v>1896.24</v>
      </c>
      <c r="P1524">
        <v>-56</v>
      </c>
      <c r="Q1524" s="4">
        <v>-106189.44</v>
      </c>
      <c r="R1524">
        <v>0</v>
      </c>
      <c r="V1524">
        <v>0</v>
      </c>
      <c r="W1524">
        <v>0</v>
      </c>
      <c r="X1524">
        <v>0</v>
      </c>
      <c r="Y1524">
        <v>-473.56</v>
      </c>
      <c r="Z1524" s="4">
        <v>1896.24</v>
      </c>
      <c r="AA1524" s="4">
        <v>1896.24</v>
      </c>
      <c r="AB1524" s="3">
        <v>42562</v>
      </c>
      <c r="AC1524" t="s">
        <v>53</v>
      </c>
      <c r="AD1524" t="s">
        <v>53</v>
      </c>
      <c r="AK1524">
        <v>0</v>
      </c>
      <c r="AU1524" s="3">
        <v>42397</v>
      </c>
      <c r="AV1524" s="3">
        <v>42397</v>
      </c>
      <c r="AW1524" t="s">
        <v>54</v>
      </c>
      <c r="AX1524" t="str">
        <f t="shared" ref="AX1524:AX1531" si="205">"ALTPRO"</f>
        <v>ALTPRO</v>
      </c>
      <c r="AY1524" t="s">
        <v>93</v>
      </c>
    </row>
    <row r="1525" spans="1:51" hidden="1">
      <c r="A1525">
        <v>101482</v>
      </c>
      <c r="B1525" t="s">
        <v>246</v>
      </c>
      <c r="C1525" t="str">
        <f>"02666110644"</f>
        <v>02666110644</v>
      </c>
      <c r="D1525" t="str">
        <f>"LBRMLS79A71A489P"</f>
        <v>LBRMLS79A71A489P</v>
      </c>
      <c r="E1525" t="s">
        <v>52</v>
      </c>
      <c r="F1525">
        <v>2016</v>
      </c>
      <c r="G1525" t="str">
        <f>"      000002-2016-01"</f>
        <v xml:space="preserve">      000002-2016-01</v>
      </c>
      <c r="H1525" s="3">
        <v>42393</v>
      </c>
      <c r="I1525" s="3">
        <v>42394</v>
      </c>
      <c r="J1525" s="3">
        <v>42393</v>
      </c>
      <c r="K1525" s="3">
        <v>42453</v>
      </c>
      <c r="L1525"/>
      <c r="N1525"/>
      <c r="O1525" s="4">
        <v>2603.1999999999998</v>
      </c>
      <c r="P1525">
        <v>-56</v>
      </c>
      <c r="Q1525" s="4">
        <v>-145779.20000000001</v>
      </c>
      <c r="R1525">
        <v>0</v>
      </c>
      <c r="V1525">
        <v>0</v>
      </c>
      <c r="W1525">
        <v>0</v>
      </c>
      <c r="X1525">
        <v>0</v>
      </c>
      <c r="Y1525">
        <v>-650.29999999999995</v>
      </c>
      <c r="Z1525" s="4">
        <v>2603.1999999999998</v>
      </c>
      <c r="AA1525" s="4">
        <v>2603.1999999999998</v>
      </c>
      <c r="AB1525" s="3">
        <v>42562</v>
      </c>
      <c r="AC1525" t="s">
        <v>53</v>
      </c>
      <c r="AD1525" t="s">
        <v>53</v>
      </c>
      <c r="AK1525">
        <v>0</v>
      </c>
      <c r="AU1525" s="3">
        <v>42397</v>
      </c>
      <c r="AV1525" s="3">
        <v>42397</v>
      </c>
      <c r="AW1525" t="s">
        <v>54</v>
      </c>
      <c r="AX1525" t="str">
        <f t="shared" si="205"/>
        <v>ALTPRO</v>
      </c>
      <c r="AY1525" t="s">
        <v>93</v>
      </c>
    </row>
    <row r="1526" spans="1:51" hidden="1">
      <c r="A1526">
        <v>101483</v>
      </c>
      <c r="B1526" t="s">
        <v>247</v>
      </c>
      <c r="C1526" t="str">
        <f t="shared" ref="C1526:C1531" si="206">"04360741211"</f>
        <v>04360741211</v>
      </c>
      <c r="D1526" t="str">
        <f t="shared" ref="D1526:D1531" si="207">"LNDGLM73C31A024I"</f>
        <v>LNDGLM73C31A024I</v>
      </c>
      <c r="E1526" t="s">
        <v>52</v>
      </c>
      <c r="F1526">
        <v>2016</v>
      </c>
      <c r="G1526" t="str">
        <f>"         FATTPA 1_16"</f>
        <v xml:space="preserve">         FATTPA 1_16</v>
      </c>
      <c r="H1526" s="3">
        <v>42378</v>
      </c>
      <c r="I1526" s="3">
        <v>42382</v>
      </c>
      <c r="J1526" s="3">
        <v>42379</v>
      </c>
      <c r="K1526" s="3">
        <v>42439</v>
      </c>
      <c r="L1526"/>
      <c r="N1526"/>
      <c r="O1526">
        <v>700.47</v>
      </c>
      <c r="P1526">
        <v>-42</v>
      </c>
      <c r="Q1526" s="4">
        <v>-29419.74</v>
      </c>
      <c r="R1526">
        <v>0</v>
      </c>
      <c r="V1526">
        <v>0</v>
      </c>
      <c r="W1526">
        <v>0</v>
      </c>
      <c r="X1526">
        <v>0</v>
      </c>
      <c r="Y1526">
        <v>-174.62</v>
      </c>
      <c r="Z1526">
        <v>700.47</v>
      </c>
      <c r="AA1526">
        <v>700.47</v>
      </c>
      <c r="AB1526" s="3">
        <v>42562</v>
      </c>
      <c r="AC1526" t="s">
        <v>53</v>
      </c>
      <c r="AD1526" t="s">
        <v>53</v>
      </c>
      <c r="AK1526">
        <v>0</v>
      </c>
      <c r="AU1526" s="3">
        <v>42397</v>
      </c>
      <c r="AV1526" s="3">
        <v>42397</v>
      </c>
      <c r="AW1526" t="s">
        <v>54</v>
      </c>
      <c r="AX1526" t="str">
        <f t="shared" si="205"/>
        <v>ALTPRO</v>
      </c>
      <c r="AY1526" t="s">
        <v>93</v>
      </c>
    </row>
    <row r="1527" spans="1:51" hidden="1">
      <c r="A1527">
        <v>101483</v>
      </c>
      <c r="B1527" t="s">
        <v>247</v>
      </c>
      <c r="C1527" t="str">
        <f t="shared" si="206"/>
        <v>04360741211</v>
      </c>
      <c r="D1527" t="str">
        <f t="shared" si="207"/>
        <v>LNDGLM73C31A024I</v>
      </c>
      <c r="E1527" t="s">
        <v>52</v>
      </c>
      <c r="F1527">
        <v>2016</v>
      </c>
      <c r="G1527" t="str">
        <f>"         FATTPA 2_16"</f>
        <v xml:space="preserve">         FATTPA 2_16</v>
      </c>
      <c r="H1527" s="3">
        <v>42401</v>
      </c>
      <c r="I1527" s="3">
        <v>42402</v>
      </c>
      <c r="J1527" s="3">
        <v>42401</v>
      </c>
      <c r="K1527" s="3">
        <v>42461</v>
      </c>
      <c r="L1527"/>
      <c r="N1527"/>
      <c r="O1527">
        <v>903.46</v>
      </c>
      <c r="P1527">
        <v>-35</v>
      </c>
      <c r="Q1527" s="4">
        <v>-31621.1</v>
      </c>
      <c r="R1527">
        <v>0</v>
      </c>
      <c r="V1527">
        <v>0</v>
      </c>
      <c r="W1527">
        <v>0</v>
      </c>
      <c r="X1527">
        <v>0</v>
      </c>
      <c r="Y1527">
        <v>903.46</v>
      </c>
      <c r="Z1527">
        <v>903.46</v>
      </c>
      <c r="AA1527">
        <v>903.46</v>
      </c>
      <c r="AB1527" s="3">
        <v>42562</v>
      </c>
      <c r="AC1527" t="s">
        <v>53</v>
      </c>
      <c r="AD1527" t="s">
        <v>53</v>
      </c>
      <c r="AK1527">
        <v>0</v>
      </c>
      <c r="AU1527" s="3">
        <v>42426</v>
      </c>
      <c r="AV1527" s="3">
        <v>42426</v>
      </c>
      <c r="AW1527" t="s">
        <v>54</v>
      </c>
      <c r="AX1527" t="str">
        <f t="shared" si="205"/>
        <v>ALTPRO</v>
      </c>
      <c r="AY1527" t="s">
        <v>93</v>
      </c>
    </row>
    <row r="1528" spans="1:51" hidden="1">
      <c r="A1528">
        <v>101483</v>
      </c>
      <c r="B1528" t="s">
        <v>247</v>
      </c>
      <c r="C1528" t="str">
        <f t="shared" si="206"/>
        <v>04360741211</v>
      </c>
      <c r="D1528" t="str">
        <f t="shared" si="207"/>
        <v>LNDGLM73C31A024I</v>
      </c>
      <c r="E1528" t="s">
        <v>52</v>
      </c>
      <c r="F1528">
        <v>2016</v>
      </c>
      <c r="G1528" t="str">
        <f>"         FATTPA 3_16"</f>
        <v xml:space="preserve">         FATTPA 3_16</v>
      </c>
      <c r="H1528" s="3">
        <v>42435</v>
      </c>
      <c r="I1528" s="3">
        <v>42436</v>
      </c>
      <c r="J1528" s="3">
        <v>42435</v>
      </c>
      <c r="K1528" s="3">
        <v>42495</v>
      </c>
      <c r="L1528"/>
      <c r="N1528"/>
      <c r="O1528">
        <v>756.94</v>
      </c>
      <c r="P1528">
        <v>-44</v>
      </c>
      <c r="Q1528" s="4">
        <v>-33305.360000000001</v>
      </c>
      <c r="R1528">
        <v>0</v>
      </c>
      <c r="V1528">
        <v>0</v>
      </c>
      <c r="W1528">
        <v>0</v>
      </c>
      <c r="X1528">
        <v>0</v>
      </c>
      <c r="Y1528">
        <v>756.94</v>
      </c>
      <c r="Z1528">
        <v>756.94</v>
      </c>
      <c r="AA1528">
        <v>756.94</v>
      </c>
      <c r="AB1528" s="3">
        <v>42562</v>
      </c>
      <c r="AC1528" t="s">
        <v>53</v>
      </c>
      <c r="AD1528" t="s">
        <v>53</v>
      </c>
      <c r="AK1528">
        <v>0</v>
      </c>
      <c r="AU1528" s="3">
        <v>42451</v>
      </c>
      <c r="AV1528" s="3">
        <v>42451</v>
      </c>
      <c r="AW1528" t="s">
        <v>54</v>
      </c>
      <c r="AX1528" t="str">
        <f t="shared" si="205"/>
        <v>ALTPRO</v>
      </c>
      <c r="AY1528" t="s">
        <v>93</v>
      </c>
    </row>
    <row r="1529" spans="1:51">
      <c r="A1529">
        <v>101483</v>
      </c>
      <c r="B1529" t="s">
        <v>247</v>
      </c>
      <c r="C1529" t="str">
        <f t="shared" si="206"/>
        <v>04360741211</v>
      </c>
      <c r="D1529" t="str">
        <f t="shared" si="207"/>
        <v>LNDGLM73C31A024I</v>
      </c>
      <c r="E1529" t="s">
        <v>52</v>
      </c>
      <c r="F1529">
        <v>2016</v>
      </c>
      <c r="G1529" t="str">
        <f>"         FATTPA 4_16"</f>
        <v xml:space="preserve">         FATTPA 4_16</v>
      </c>
      <c r="H1529" s="3">
        <v>42462</v>
      </c>
      <c r="I1529" s="3">
        <v>42464</v>
      </c>
      <c r="J1529" s="3">
        <v>42462</v>
      </c>
      <c r="K1529" s="3">
        <v>42522</v>
      </c>
      <c r="L1529" s="5">
        <v>1062.9100000000001</v>
      </c>
      <c r="M1529">
        <v>-35</v>
      </c>
      <c r="N1529" s="5">
        <v>-37201.85</v>
      </c>
      <c r="O1529" s="4">
        <v>1062.9100000000001</v>
      </c>
      <c r="P1529">
        <v>-35</v>
      </c>
      <c r="Q1529" s="4">
        <v>-37201.85</v>
      </c>
      <c r="R1529">
        <v>0</v>
      </c>
      <c r="V1529">
        <v>-265.23</v>
      </c>
      <c r="W1529" s="4">
        <v>1062.9100000000001</v>
      </c>
      <c r="X1529" s="4">
        <v>1062.9100000000001</v>
      </c>
      <c r="Y1529" s="4">
        <v>1062.9100000000001</v>
      </c>
      <c r="Z1529" s="4">
        <v>1062.9100000000001</v>
      </c>
      <c r="AA1529" s="4">
        <v>1062.9100000000001</v>
      </c>
      <c r="AB1529" s="3">
        <v>42562</v>
      </c>
      <c r="AC1529" t="s">
        <v>53</v>
      </c>
      <c r="AD1529" t="s">
        <v>53</v>
      </c>
      <c r="AK1529">
        <v>0</v>
      </c>
      <c r="AU1529" s="3">
        <v>42487</v>
      </c>
      <c r="AV1529" s="3">
        <v>42487</v>
      </c>
      <c r="AW1529" t="s">
        <v>54</v>
      </c>
      <c r="AX1529" t="str">
        <f t="shared" si="205"/>
        <v>ALTPRO</v>
      </c>
      <c r="AY1529" t="s">
        <v>93</v>
      </c>
    </row>
    <row r="1530" spans="1:51">
      <c r="A1530">
        <v>101483</v>
      </c>
      <c r="B1530" t="s">
        <v>247</v>
      </c>
      <c r="C1530" t="str">
        <f t="shared" si="206"/>
        <v>04360741211</v>
      </c>
      <c r="D1530" t="str">
        <f t="shared" si="207"/>
        <v>LNDGLM73C31A024I</v>
      </c>
      <c r="E1530" t="s">
        <v>52</v>
      </c>
      <c r="F1530">
        <v>2016</v>
      </c>
      <c r="G1530" t="str">
        <f>"         FATTPA 5_16"</f>
        <v xml:space="preserve">         FATTPA 5_16</v>
      </c>
      <c r="H1530" s="3">
        <v>42495</v>
      </c>
      <c r="I1530" s="3">
        <v>42495</v>
      </c>
      <c r="J1530" s="3">
        <v>42495</v>
      </c>
      <c r="K1530" s="3">
        <v>42555</v>
      </c>
      <c r="L1530" s="1">
        <v>698.36</v>
      </c>
      <c r="M1530">
        <v>-39</v>
      </c>
      <c r="N1530" s="5">
        <v>-27236.04</v>
      </c>
      <c r="O1530">
        <v>698.36</v>
      </c>
      <c r="P1530">
        <v>-39</v>
      </c>
      <c r="Q1530" s="4">
        <v>-27236.04</v>
      </c>
      <c r="R1530">
        <v>0</v>
      </c>
      <c r="V1530">
        <v>698.36</v>
      </c>
      <c r="W1530">
        <v>698.36</v>
      </c>
      <c r="X1530">
        <v>698.36</v>
      </c>
      <c r="Y1530">
        <v>698.36</v>
      </c>
      <c r="Z1530">
        <v>698.36</v>
      </c>
      <c r="AA1530">
        <v>698.36</v>
      </c>
      <c r="AB1530" s="3">
        <v>42562</v>
      </c>
      <c r="AC1530" t="s">
        <v>53</v>
      </c>
      <c r="AD1530" t="s">
        <v>53</v>
      </c>
      <c r="AK1530">
        <v>0</v>
      </c>
      <c r="AU1530" s="3">
        <v>42516</v>
      </c>
      <c r="AV1530" s="3">
        <v>42516</v>
      </c>
      <c r="AW1530" t="s">
        <v>54</v>
      </c>
      <c r="AX1530" t="str">
        <f t="shared" si="205"/>
        <v>ALTPRO</v>
      </c>
      <c r="AY1530" t="s">
        <v>93</v>
      </c>
    </row>
    <row r="1531" spans="1:51">
      <c r="A1531">
        <v>101483</v>
      </c>
      <c r="B1531" t="s">
        <v>247</v>
      </c>
      <c r="C1531" t="str">
        <f t="shared" si="206"/>
        <v>04360741211</v>
      </c>
      <c r="D1531" t="str">
        <f t="shared" si="207"/>
        <v>LNDGLM73C31A024I</v>
      </c>
      <c r="E1531" t="s">
        <v>52</v>
      </c>
      <c r="F1531">
        <v>2016</v>
      </c>
      <c r="G1531" t="str">
        <f>"         FATTPA 6_16"</f>
        <v xml:space="preserve">         FATTPA 6_16</v>
      </c>
      <c r="H1531" s="3">
        <v>42527</v>
      </c>
      <c r="I1531" s="3">
        <v>42528</v>
      </c>
      <c r="J1531" s="3">
        <v>42528</v>
      </c>
      <c r="K1531" s="3">
        <v>42588</v>
      </c>
      <c r="L1531" s="1">
        <v>884.08</v>
      </c>
      <c r="M1531">
        <v>-60</v>
      </c>
      <c r="N1531" s="5">
        <v>-53044.800000000003</v>
      </c>
      <c r="O1531">
        <v>884.08</v>
      </c>
      <c r="P1531">
        <v>-60</v>
      </c>
      <c r="Q1531" s="4">
        <v>-53044.800000000003</v>
      </c>
      <c r="R1531">
        <v>0</v>
      </c>
      <c r="V1531">
        <v>884.08</v>
      </c>
      <c r="W1531">
        <v>884.08</v>
      </c>
      <c r="X1531">
        <v>884.08</v>
      </c>
      <c r="Y1531">
        <v>884.08</v>
      </c>
      <c r="Z1531">
        <v>884.08</v>
      </c>
      <c r="AA1531">
        <v>884.08</v>
      </c>
      <c r="AB1531" s="3">
        <v>42562</v>
      </c>
      <c r="AC1531" t="s">
        <v>53</v>
      </c>
      <c r="AD1531" t="s">
        <v>53</v>
      </c>
      <c r="AK1531">
        <v>0</v>
      </c>
      <c r="AU1531" s="3">
        <v>42528</v>
      </c>
      <c r="AV1531" s="3">
        <v>42528</v>
      </c>
      <c r="AW1531" t="s">
        <v>54</v>
      </c>
      <c r="AX1531" t="str">
        <f t="shared" si="205"/>
        <v>ALTPRO</v>
      </c>
      <c r="AY1531" t="s">
        <v>93</v>
      </c>
    </row>
    <row r="1532" spans="1:51" hidden="1">
      <c r="A1532">
        <v>101484</v>
      </c>
      <c r="B1532" t="s">
        <v>248</v>
      </c>
      <c r="C1532" t="str">
        <f>"01372690626"</f>
        <v>01372690626</v>
      </c>
      <c r="D1532" t="str">
        <f>""</f>
        <v/>
      </c>
      <c r="E1532" t="s">
        <v>52</v>
      </c>
      <c r="F1532">
        <v>2016</v>
      </c>
      <c r="G1532" t="str">
        <f>"                0120"</f>
        <v xml:space="preserve">                0120</v>
      </c>
      <c r="H1532" s="3">
        <v>42389</v>
      </c>
      <c r="I1532" s="3">
        <v>42390</v>
      </c>
      <c r="J1532" s="3">
        <v>42390</v>
      </c>
      <c r="K1532" s="3">
        <v>42450</v>
      </c>
      <c r="L1532"/>
      <c r="N1532"/>
      <c r="O1532" s="4">
        <v>3208.61</v>
      </c>
      <c r="P1532">
        <v>-60</v>
      </c>
      <c r="Q1532" s="4">
        <v>-192516.6</v>
      </c>
      <c r="R1532">
        <v>0</v>
      </c>
      <c r="V1532">
        <v>0</v>
      </c>
      <c r="W1532">
        <v>0</v>
      </c>
      <c r="X1532">
        <v>0</v>
      </c>
      <c r="Y1532" s="4">
        <v>3208.61</v>
      </c>
      <c r="Z1532" s="4">
        <v>3208.61</v>
      </c>
      <c r="AA1532" s="4">
        <v>3208.61</v>
      </c>
      <c r="AB1532" s="3">
        <v>42562</v>
      </c>
      <c r="AC1532" t="s">
        <v>53</v>
      </c>
      <c r="AD1532" t="s">
        <v>53</v>
      </c>
      <c r="AK1532">
        <v>0</v>
      </c>
      <c r="AU1532" s="3">
        <v>42390</v>
      </c>
      <c r="AV1532" s="3">
        <v>42390</v>
      </c>
      <c r="AW1532" t="s">
        <v>54</v>
      </c>
      <c r="AX1532" t="str">
        <f>"FOR"</f>
        <v>FOR</v>
      </c>
      <c r="AY1532" t="s">
        <v>55</v>
      </c>
    </row>
    <row r="1533" spans="1:51" hidden="1">
      <c r="A1533">
        <v>101484</v>
      </c>
      <c r="B1533" t="s">
        <v>248</v>
      </c>
      <c r="C1533" t="str">
        <f>"01372690626"</f>
        <v>01372690626</v>
      </c>
      <c r="D1533" t="str">
        <f>""</f>
        <v/>
      </c>
      <c r="E1533" t="s">
        <v>52</v>
      </c>
      <c r="F1533">
        <v>2016</v>
      </c>
      <c r="G1533" t="str">
        <f>"                0222"</f>
        <v xml:space="preserve">                0222</v>
      </c>
      <c r="H1533" s="3">
        <v>42422</v>
      </c>
      <c r="I1533" s="3">
        <v>42422</v>
      </c>
      <c r="J1533" s="3">
        <v>42422</v>
      </c>
      <c r="K1533" s="3">
        <v>42482</v>
      </c>
      <c r="L1533"/>
      <c r="N1533"/>
      <c r="O1533" s="4">
        <v>3278.05</v>
      </c>
      <c r="P1533">
        <v>-58</v>
      </c>
      <c r="Q1533" s="4">
        <v>-190126.9</v>
      </c>
      <c r="R1533">
        <v>0</v>
      </c>
      <c r="V1533">
        <v>0</v>
      </c>
      <c r="W1533">
        <v>0</v>
      </c>
      <c r="X1533">
        <v>0</v>
      </c>
      <c r="Y1533" s="4">
        <v>3278.05</v>
      </c>
      <c r="Z1533" s="4">
        <v>3278.05</v>
      </c>
      <c r="AA1533" s="4">
        <v>3278.05</v>
      </c>
      <c r="AB1533" s="3">
        <v>42562</v>
      </c>
      <c r="AC1533" t="s">
        <v>53</v>
      </c>
      <c r="AD1533" t="s">
        <v>53</v>
      </c>
      <c r="AK1533">
        <v>0</v>
      </c>
      <c r="AU1533" s="3">
        <v>42424</v>
      </c>
      <c r="AV1533" s="3">
        <v>42424</v>
      </c>
      <c r="AW1533" t="s">
        <v>54</v>
      </c>
      <c r="AX1533" t="str">
        <f>"FOR"</f>
        <v>FOR</v>
      </c>
      <c r="AY1533" t="s">
        <v>55</v>
      </c>
    </row>
    <row r="1534" spans="1:51" hidden="1">
      <c r="A1534">
        <v>101484</v>
      </c>
      <c r="B1534" t="s">
        <v>248</v>
      </c>
      <c r="C1534" t="str">
        <f>"01372690626"</f>
        <v>01372690626</v>
      </c>
      <c r="D1534" t="str">
        <f>""</f>
        <v/>
      </c>
      <c r="E1534" t="s">
        <v>52</v>
      </c>
      <c r="F1534">
        <v>2016</v>
      </c>
      <c r="G1534" t="str">
        <f>"                0321"</f>
        <v xml:space="preserve">                0321</v>
      </c>
      <c r="H1534" s="3">
        <v>42450</v>
      </c>
      <c r="I1534" s="3">
        <v>42450</v>
      </c>
      <c r="J1534" s="3">
        <v>42450</v>
      </c>
      <c r="K1534" s="3">
        <v>42510</v>
      </c>
      <c r="L1534"/>
      <c r="N1534"/>
      <c r="O1534" s="4">
        <v>3365.3</v>
      </c>
      <c r="P1534">
        <v>-57</v>
      </c>
      <c r="Q1534" s="4">
        <v>-191822.1</v>
      </c>
      <c r="R1534">
        <v>0</v>
      </c>
      <c r="V1534">
        <v>0</v>
      </c>
      <c r="W1534">
        <v>0</v>
      </c>
      <c r="X1534">
        <v>0</v>
      </c>
      <c r="Y1534" s="4">
        <v>3365.3</v>
      </c>
      <c r="Z1534" s="4">
        <v>3365.3</v>
      </c>
      <c r="AA1534" s="4">
        <v>3365.3</v>
      </c>
      <c r="AB1534" s="3">
        <v>42562</v>
      </c>
      <c r="AC1534" t="s">
        <v>53</v>
      </c>
      <c r="AD1534" t="s">
        <v>53</v>
      </c>
      <c r="AK1534">
        <v>0</v>
      </c>
      <c r="AU1534" s="3">
        <v>42453</v>
      </c>
      <c r="AV1534" s="3">
        <v>42453</v>
      </c>
      <c r="AW1534" t="s">
        <v>54</v>
      </c>
      <c r="AX1534" t="str">
        <f>"FOR"</f>
        <v>FOR</v>
      </c>
      <c r="AY1534" t="s">
        <v>55</v>
      </c>
    </row>
    <row r="1535" spans="1:51" hidden="1">
      <c r="A1535">
        <v>101484</v>
      </c>
      <c r="B1535" t="s">
        <v>248</v>
      </c>
      <c r="C1535" t="str">
        <f>"01372690626"</f>
        <v>01372690626</v>
      </c>
      <c r="D1535" t="str">
        <f>""</f>
        <v/>
      </c>
      <c r="E1535" t="s">
        <v>52</v>
      </c>
      <c r="F1535">
        <v>2016</v>
      </c>
      <c r="G1535" t="str">
        <f>"                0421"</f>
        <v xml:space="preserve">                0421</v>
      </c>
      <c r="H1535" s="3">
        <v>42481</v>
      </c>
      <c r="I1535" s="3">
        <v>42481</v>
      </c>
      <c r="J1535" s="3">
        <v>42481</v>
      </c>
      <c r="K1535" s="3">
        <v>42541</v>
      </c>
      <c r="L1535" s="4">
        <v>3365.3</v>
      </c>
      <c r="M1535">
        <v>-60</v>
      </c>
      <c r="N1535" s="4">
        <v>-201918</v>
      </c>
      <c r="O1535" s="4">
        <v>3365.3</v>
      </c>
      <c r="P1535">
        <v>-60</v>
      </c>
      <c r="Q1535" s="4">
        <v>-201918</v>
      </c>
      <c r="R1535">
        <v>0</v>
      </c>
      <c r="V1535" s="4">
        <v>3365.3</v>
      </c>
      <c r="W1535" s="4">
        <v>3365.3</v>
      </c>
      <c r="X1535" s="4">
        <v>3365.3</v>
      </c>
      <c r="Y1535" s="4">
        <v>3365.3</v>
      </c>
      <c r="Z1535" s="4">
        <v>3365.3</v>
      </c>
      <c r="AA1535" s="4">
        <v>3365.3</v>
      </c>
      <c r="AB1535" s="3">
        <v>42562</v>
      </c>
      <c r="AC1535" t="s">
        <v>53</v>
      </c>
      <c r="AD1535" t="s">
        <v>53</v>
      </c>
      <c r="AK1535">
        <v>0</v>
      </c>
      <c r="AU1535" s="3">
        <v>42481</v>
      </c>
      <c r="AV1535" s="3">
        <v>42481</v>
      </c>
      <c r="AW1535" t="s">
        <v>54</v>
      </c>
      <c r="AX1535" t="str">
        <f>"FOR"</f>
        <v>FOR</v>
      </c>
      <c r="AY1535" t="s">
        <v>55</v>
      </c>
    </row>
    <row r="1536" spans="1:51" hidden="1">
      <c r="A1536">
        <v>101484</v>
      </c>
      <c r="B1536" t="s">
        <v>248</v>
      </c>
      <c r="C1536" t="str">
        <f>"01372690626"</f>
        <v>01372690626</v>
      </c>
      <c r="D1536" t="str">
        <f>""</f>
        <v/>
      </c>
      <c r="E1536" t="s">
        <v>52</v>
      </c>
      <c r="F1536">
        <v>2016</v>
      </c>
      <c r="G1536" t="str">
        <f>"                0518"</f>
        <v xml:space="preserve">                0518</v>
      </c>
      <c r="H1536" s="3">
        <v>42508</v>
      </c>
      <c r="I1536" s="3">
        <v>42510</v>
      </c>
      <c r="J1536" s="3">
        <v>42510</v>
      </c>
      <c r="K1536" s="3">
        <v>42570</v>
      </c>
      <c r="L1536" s="4">
        <v>3185.3</v>
      </c>
      <c r="M1536">
        <v>-57</v>
      </c>
      <c r="N1536" s="4">
        <v>-181562.1</v>
      </c>
      <c r="O1536" s="4">
        <v>3185.3</v>
      </c>
      <c r="P1536">
        <v>-57</v>
      </c>
      <c r="Q1536" s="4">
        <v>-181562.1</v>
      </c>
      <c r="R1536">
        <v>0</v>
      </c>
      <c r="V1536" s="4">
        <v>3185.3</v>
      </c>
      <c r="W1536" s="4">
        <v>3185.3</v>
      </c>
      <c r="X1536" s="4">
        <v>3185.3</v>
      </c>
      <c r="Y1536" s="4">
        <v>3185.3</v>
      </c>
      <c r="Z1536" s="4">
        <v>3185.3</v>
      </c>
      <c r="AA1536" s="4">
        <v>3185.3</v>
      </c>
      <c r="AB1536" s="3">
        <v>42562</v>
      </c>
      <c r="AC1536" t="s">
        <v>53</v>
      </c>
      <c r="AD1536" t="s">
        <v>53</v>
      </c>
      <c r="AK1536">
        <v>0</v>
      </c>
      <c r="AU1536" s="3">
        <v>42513</v>
      </c>
      <c r="AV1536" s="3">
        <v>42513</v>
      </c>
      <c r="AW1536" t="s">
        <v>54</v>
      </c>
      <c r="AX1536" t="str">
        <f>"FOR"</f>
        <v>FOR</v>
      </c>
      <c r="AY1536" t="s">
        <v>55</v>
      </c>
    </row>
    <row r="1537" spans="1:51" hidden="1">
      <c r="A1537">
        <v>101485</v>
      </c>
      <c r="B1537" t="s">
        <v>249</v>
      </c>
      <c r="C1537" t="str">
        <f>""</f>
        <v/>
      </c>
      <c r="D1537" t="str">
        <f>""</f>
        <v/>
      </c>
      <c r="E1537" t="s">
        <v>52</v>
      </c>
      <c r="F1537">
        <v>2016</v>
      </c>
      <c r="G1537" t="str">
        <f>"                0120"</f>
        <v xml:space="preserve">                0120</v>
      </c>
      <c r="H1537" s="3">
        <v>42389</v>
      </c>
      <c r="I1537" s="3">
        <v>42390</v>
      </c>
      <c r="J1537" s="3">
        <v>42390</v>
      </c>
      <c r="K1537" s="3">
        <v>42450</v>
      </c>
      <c r="L1537"/>
      <c r="N1537"/>
      <c r="O1537">
        <v>458.75</v>
      </c>
      <c r="P1537">
        <v>-60</v>
      </c>
      <c r="Q1537" s="4">
        <v>-27525</v>
      </c>
      <c r="R1537">
        <v>0</v>
      </c>
      <c r="V1537">
        <v>0</v>
      </c>
      <c r="W1537">
        <v>0</v>
      </c>
      <c r="X1537">
        <v>0</v>
      </c>
      <c r="Y1537">
        <v>458.75</v>
      </c>
      <c r="Z1537">
        <v>458.75</v>
      </c>
      <c r="AA1537">
        <v>458.75</v>
      </c>
      <c r="AB1537" s="3">
        <v>42562</v>
      </c>
      <c r="AC1537" t="s">
        <v>53</v>
      </c>
      <c r="AD1537" t="s">
        <v>53</v>
      </c>
      <c r="AK1537">
        <v>0</v>
      </c>
      <c r="AU1537" s="3">
        <v>42390</v>
      </c>
      <c r="AV1537" s="3">
        <v>42390</v>
      </c>
      <c r="AW1537" t="s">
        <v>54</v>
      </c>
      <c r="AX1537" t="str">
        <f>"ALT"</f>
        <v>ALT</v>
      </c>
      <c r="AY1537" t="s">
        <v>72</v>
      </c>
    </row>
    <row r="1538" spans="1:51" hidden="1">
      <c r="A1538">
        <v>101485</v>
      </c>
      <c r="B1538" t="s">
        <v>249</v>
      </c>
      <c r="C1538" t="str">
        <f>""</f>
        <v/>
      </c>
      <c r="D1538" t="str">
        <f>""</f>
        <v/>
      </c>
      <c r="E1538" t="s">
        <v>52</v>
      </c>
      <c r="F1538">
        <v>2016</v>
      </c>
      <c r="G1538" t="str">
        <f>"                0222"</f>
        <v xml:space="preserve">                0222</v>
      </c>
      <c r="H1538" s="3">
        <v>42422</v>
      </c>
      <c r="I1538" s="3">
        <v>42422</v>
      </c>
      <c r="J1538" s="3">
        <v>42422</v>
      </c>
      <c r="K1538" s="3">
        <v>42482</v>
      </c>
      <c r="L1538"/>
      <c r="N1538"/>
      <c r="O1538">
        <v>458.75</v>
      </c>
      <c r="P1538">
        <v>-58</v>
      </c>
      <c r="Q1538" s="4">
        <v>-26607.5</v>
      </c>
      <c r="R1538">
        <v>0</v>
      </c>
      <c r="V1538">
        <v>0</v>
      </c>
      <c r="W1538">
        <v>0</v>
      </c>
      <c r="X1538">
        <v>0</v>
      </c>
      <c r="Y1538">
        <v>458.75</v>
      </c>
      <c r="Z1538">
        <v>458.75</v>
      </c>
      <c r="AA1538">
        <v>458.75</v>
      </c>
      <c r="AB1538" s="3">
        <v>42562</v>
      </c>
      <c r="AC1538" t="s">
        <v>53</v>
      </c>
      <c r="AD1538" t="s">
        <v>53</v>
      </c>
      <c r="AK1538">
        <v>0</v>
      </c>
      <c r="AU1538" s="3">
        <v>42424</v>
      </c>
      <c r="AV1538" s="3">
        <v>42424</v>
      </c>
      <c r="AW1538" t="s">
        <v>54</v>
      </c>
      <c r="AX1538" t="str">
        <f>"ALT"</f>
        <v>ALT</v>
      </c>
      <c r="AY1538" t="s">
        <v>72</v>
      </c>
    </row>
    <row r="1539" spans="1:51" hidden="1">
      <c r="A1539">
        <v>101485</v>
      </c>
      <c r="B1539" t="s">
        <v>249</v>
      </c>
      <c r="C1539" t="str">
        <f>""</f>
        <v/>
      </c>
      <c r="D1539" t="str">
        <f>""</f>
        <v/>
      </c>
      <c r="E1539" t="s">
        <v>52</v>
      </c>
      <c r="F1539">
        <v>2016</v>
      </c>
      <c r="G1539" t="str">
        <f>"                0321"</f>
        <v xml:space="preserve">                0321</v>
      </c>
      <c r="H1539" s="3">
        <v>42450</v>
      </c>
      <c r="I1539" s="3">
        <v>42450</v>
      </c>
      <c r="J1539" s="3">
        <v>42450</v>
      </c>
      <c r="K1539" s="3">
        <v>42510</v>
      </c>
      <c r="L1539"/>
      <c r="N1539"/>
      <c r="O1539">
        <v>458.75</v>
      </c>
      <c r="P1539">
        <v>-57</v>
      </c>
      <c r="Q1539" s="4">
        <v>-26148.75</v>
      </c>
      <c r="R1539">
        <v>0</v>
      </c>
      <c r="V1539">
        <v>0</v>
      </c>
      <c r="W1539">
        <v>0</v>
      </c>
      <c r="X1539">
        <v>0</v>
      </c>
      <c r="Y1539">
        <v>458.75</v>
      </c>
      <c r="Z1539">
        <v>458.75</v>
      </c>
      <c r="AA1539">
        <v>458.75</v>
      </c>
      <c r="AB1539" s="3">
        <v>42562</v>
      </c>
      <c r="AC1539" t="s">
        <v>53</v>
      </c>
      <c r="AD1539" t="s">
        <v>53</v>
      </c>
      <c r="AK1539">
        <v>0</v>
      </c>
      <c r="AU1539" s="3">
        <v>42453</v>
      </c>
      <c r="AV1539" s="3">
        <v>42453</v>
      </c>
      <c r="AW1539" t="s">
        <v>54</v>
      </c>
      <c r="AX1539" t="str">
        <f>"ALT"</f>
        <v>ALT</v>
      </c>
      <c r="AY1539" t="s">
        <v>72</v>
      </c>
    </row>
    <row r="1540" spans="1:51" hidden="1">
      <c r="A1540">
        <v>101485</v>
      </c>
      <c r="B1540" t="s">
        <v>249</v>
      </c>
      <c r="C1540" t="str">
        <f>""</f>
        <v/>
      </c>
      <c r="D1540" t="str">
        <f>""</f>
        <v/>
      </c>
      <c r="E1540" t="s">
        <v>52</v>
      </c>
      <c r="F1540">
        <v>2016</v>
      </c>
      <c r="G1540" t="str">
        <f>"                0421"</f>
        <v xml:space="preserve">                0421</v>
      </c>
      <c r="H1540" s="3">
        <v>42481</v>
      </c>
      <c r="I1540" s="3">
        <v>42481</v>
      </c>
      <c r="J1540" s="3">
        <v>42481</v>
      </c>
      <c r="K1540" s="3">
        <v>42541</v>
      </c>
      <c r="L1540">
        <v>458.75</v>
      </c>
      <c r="M1540">
        <v>-60</v>
      </c>
      <c r="N1540" s="4">
        <v>-27525</v>
      </c>
      <c r="O1540">
        <v>458.75</v>
      </c>
      <c r="P1540">
        <v>-60</v>
      </c>
      <c r="Q1540" s="4">
        <v>-27525</v>
      </c>
      <c r="R1540">
        <v>0</v>
      </c>
      <c r="V1540">
        <v>458.75</v>
      </c>
      <c r="W1540">
        <v>458.75</v>
      </c>
      <c r="X1540">
        <v>458.75</v>
      </c>
      <c r="Y1540">
        <v>458.75</v>
      </c>
      <c r="Z1540">
        <v>458.75</v>
      </c>
      <c r="AA1540">
        <v>458.75</v>
      </c>
      <c r="AB1540" s="3">
        <v>42562</v>
      </c>
      <c r="AC1540" t="s">
        <v>53</v>
      </c>
      <c r="AD1540" t="s">
        <v>53</v>
      </c>
      <c r="AK1540">
        <v>0</v>
      </c>
      <c r="AU1540" s="3">
        <v>42481</v>
      </c>
      <c r="AV1540" s="3">
        <v>42481</v>
      </c>
      <c r="AW1540" t="s">
        <v>54</v>
      </c>
      <c r="AX1540" t="str">
        <f>"ALT"</f>
        <v>ALT</v>
      </c>
      <c r="AY1540" t="s">
        <v>72</v>
      </c>
    </row>
    <row r="1541" spans="1:51" hidden="1">
      <c r="A1541">
        <v>101485</v>
      </c>
      <c r="B1541" t="s">
        <v>249</v>
      </c>
      <c r="C1541" t="str">
        <f>""</f>
        <v/>
      </c>
      <c r="D1541" t="str">
        <f>""</f>
        <v/>
      </c>
      <c r="E1541" t="s">
        <v>52</v>
      </c>
      <c r="F1541">
        <v>2016</v>
      </c>
      <c r="G1541" t="str">
        <f>"                0518"</f>
        <v xml:space="preserve">                0518</v>
      </c>
      <c r="H1541" s="3">
        <v>42508</v>
      </c>
      <c r="I1541" s="3">
        <v>42510</v>
      </c>
      <c r="J1541" s="3">
        <v>42510</v>
      </c>
      <c r="K1541" s="3">
        <v>42570</v>
      </c>
      <c r="L1541">
        <v>458.75</v>
      </c>
      <c r="M1541">
        <v>-57</v>
      </c>
      <c r="N1541" s="4">
        <v>-26148.75</v>
      </c>
      <c r="O1541">
        <v>458.75</v>
      </c>
      <c r="P1541">
        <v>-57</v>
      </c>
      <c r="Q1541" s="4">
        <v>-26148.75</v>
      </c>
      <c r="R1541">
        <v>0</v>
      </c>
      <c r="V1541">
        <v>458.75</v>
      </c>
      <c r="W1541">
        <v>458.75</v>
      </c>
      <c r="X1541">
        <v>458.75</v>
      </c>
      <c r="Y1541">
        <v>458.75</v>
      </c>
      <c r="Z1541">
        <v>458.75</v>
      </c>
      <c r="AA1541">
        <v>458.75</v>
      </c>
      <c r="AB1541" s="3">
        <v>42562</v>
      </c>
      <c r="AC1541" t="s">
        <v>53</v>
      </c>
      <c r="AD1541" t="s">
        <v>53</v>
      </c>
      <c r="AK1541">
        <v>0</v>
      </c>
      <c r="AU1541" s="3">
        <v>42513</v>
      </c>
      <c r="AV1541" s="3">
        <v>42513</v>
      </c>
      <c r="AW1541" t="s">
        <v>54</v>
      </c>
      <c r="AX1541" t="str">
        <f>"ALT"</f>
        <v>ALT</v>
      </c>
      <c r="AY1541" t="s">
        <v>72</v>
      </c>
    </row>
    <row r="1542" spans="1:51" hidden="1">
      <c r="A1542">
        <v>101498</v>
      </c>
      <c r="B1542" t="s">
        <v>250</v>
      </c>
      <c r="C1542" t="str">
        <f>"04789720655"</f>
        <v>04789720655</v>
      </c>
      <c r="D1542" t="str">
        <f>"QGLFMN77P65A128P"</f>
        <v>QGLFMN77P65A128P</v>
      </c>
      <c r="E1542" t="s">
        <v>52</v>
      </c>
      <c r="F1542">
        <v>2016</v>
      </c>
      <c r="G1542" t="str">
        <f>"      000001-2016-FE"</f>
        <v xml:space="preserve">      000001-2016-FE</v>
      </c>
      <c r="H1542" s="3">
        <v>42384</v>
      </c>
      <c r="I1542" s="3">
        <v>42388</v>
      </c>
      <c r="J1542" s="3">
        <v>42384</v>
      </c>
      <c r="K1542" s="3">
        <v>42444</v>
      </c>
      <c r="L1542"/>
      <c r="N1542"/>
      <c r="O1542" s="4">
        <v>1788.91</v>
      </c>
      <c r="P1542">
        <v>-47</v>
      </c>
      <c r="Q1542" s="4">
        <v>-84078.77</v>
      </c>
      <c r="R1542">
        <v>0</v>
      </c>
      <c r="V1542">
        <v>0</v>
      </c>
      <c r="W1542">
        <v>0</v>
      </c>
      <c r="X1542">
        <v>0</v>
      </c>
      <c r="Y1542">
        <v>-446.73</v>
      </c>
      <c r="Z1542" s="4">
        <v>1788.91</v>
      </c>
      <c r="AA1542" s="4">
        <v>1788.91</v>
      </c>
      <c r="AB1542" s="3">
        <v>42562</v>
      </c>
      <c r="AC1542" t="s">
        <v>53</v>
      </c>
      <c r="AD1542" t="s">
        <v>53</v>
      </c>
      <c r="AK1542">
        <v>0</v>
      </c>
      <c r="AU1542" s="3">
        <v>42397</v>
      </c>
      <c r="AV1542" s="3">
        <v>42397</v>
      </c>
      <c r="AW1542" t="s">
        <v>54</v>
      </c>
      <c r="AX1542" t="str">
        <f>"ALTPRO"</f>
        <v>ALTPRO</v>
      </c>
      <c r="AY1542" t="s">
        <v>93</v>
      </c>
    </row>
    <row r="1543" spans="1:51" hidden="1">
      <c r="A1543">
        <v>101498</v>
      </c>
      <c r="B1543" t="s">
        <v>250</v>
      </c>
      <c r="C1543" t="str">
        <f>"04789720655"</f>
        <v>04789720655</v>
      </c>
      <c r="D1543" t="str">
        <f>"QGLFMN77P65A128P"</f>
        <v>QGLFMN77P65A128P</v>
      </c>
      <c r="E1543" t="s">
        <v>52</v>
      </c>
      <c r="F1543">
        <v>2016</v>
      </c>
      <c r="G1543" t="str">
        <f>"      000002-2016-FE"</f>
        <v xml:space="preserve">      000002-2016-FE</v>
      </c>
      <c r="H1543" s="3">
        <v>42411</v>
      </c>
      <c r="I1543" s="3">
        <v>42412</v>
      </c>
      <c r="J1543" s="3">
        <v>42411</v>
      </c>
      <c r="K1543" s="3">
        <v>42471</v>
      </c>
      <c r="L1543"/>
      <c r="N1543"/>
      <c r="O1543" s="4">
        <v>1826.14</v>
      </c>
      <c r="P1543">
        <v>-45</v>
      </c>
      <c r="Q1543" s="4">
        <v>-82176.3</v>
      </c>
      <c r="R1543">
        <v>0</v>
      </c>
      <c r="V1543">
        <v>0</v>
      </c>
      <c r="W1543">
        <v>0</v>
      </c>
      <c r="X1543">
        <v>0</v>
      </c>
      <c r="Y1543" s="4">
        <v>1826.14</v>
      </c>
      <c r="Z1543" s="4">
        <v>1826.14</v>
      </c>
      <c r="AA1543" s="4">
        <v>1826.14</v>
      </c>
      <c r="AB1543" s="3">
        <v>42562</v>
      </c>
      <c r="AC1543" t="s">
        <v>53</v>
      </c>
      <c r="AD1543" t="s">
        <v>53</v>
      </c>
      <c r="AK1543">
        <v>0</v>
      </c>
      <c r="AU1543" s="3">
        <v>42426</v>
      </c>
      <c r="AV1543" s="3">
        <v>42426</v>
      </c>
      <c r="AW1543" t="s">
        <v>54</v>
      </c>
      <c r="AX1543" t="str">
        <f>"ALTPRO"</f>
        <v>ALTPRO</v>
      </c>
      <c r="AY1543" t="s">
        <v>93</v>
      </c>
    </row>
    <row r="1544" spans="1:51" hidden="1">
      <c r="A1544">
        <v>101498</v>
      </c>
      <c r="B1544" t="s">
        <v>250</v>
      </c>
      <c r="C1544" t="str">
        <f>"04789720655"</f>
        <v>04789720655</v>
      </c>
      <c r="D1544" t="str">
        <f>"QGLFMN77P65A128P"</f>
        <v>QGLFMN77P65A128P</v>
      </c>
      <c r="E1544" t="s">
        <v>52</v>
      </c>
      <c r="F1544">
        <v>2016</v>
      </c>
      <c r="G1544" t="str">
        <f>"      000003-2016-FE"</f>
        <v xml:space="preserve">      000003-2016-FE</v>
      </c>
      <c r="H1544" s="3">
        <v>42440</v>
      </c>
      <c r="I1544" s="3">
        <v>42443</v>
      </c>
      <c r="J1544" s="3">
        <v>42441</v>
      </c>
      <c r="K1544" s="3">
        <v>42501</v>
      </c>
      <c r="L1544"/>
      <c r="N1544"/>
      <c r="O1544" s="4">
        <v>2082.38</v>
      </c>
      <c r="P1544">
        <v>-50</v>
      </c>
      <c r="Q1544" s="4">
        <v>-104119</v>
      </c>
      <c r="R1544">
        <v>0</v>
      </c>
      <c r="V1544">
        <v>0</v>
      </c>
      <c r="W1544">
        <v>0</v>
      </c>
      <c r="X1544">
        <v>0</v>
      </c>
      <c r="Y1544" s="4">
        <v>2082.38</v>
      </c>
      <c r="Z1544" s="4">
        <v>2082.38</v>
      </c>
      <c r="AA1544" s="4">
        <v>2082.38</v>
      </c>
      <c r="AB1544" s="3">
        <v>42562</v>
      </c>
      <c r="AC1544" t="s">
        <v>53</v>
      </c>
      <c r="AD1544" t="s">
        <v>53</v>
      </c>
      <c r="AK1544">
        <v>0</v>
      </c>
      <c r="AU1544" s="3">
        <v>42451</v>
      </c>
      <c r="AV1544" s="3">
        <v>42451</v>
      </c>
      <c r="AW1544" t="s">
        <v>54</v>
      </c>
      <c r="AX1544" t="str">
        <f>"ALTPRO"</f>
        <v>ALTPRO</v>
      </c>
      <c r="AY1544" t="s">
        <v>93</v>
      </c>
    </row>
    <row r="1545" spans="1:51">
      <c r="A1545">
        <v>101498</v>
      </c>
      <c r="B1545" t="s">
        <v>250</v>
      </c>
      <c r="C1545" t="str">
        <f>"04789720655"</f>
        <v>04789720655</v>
      </c>
      <c r="D1545" t="str">
        <f>"QGLFMN77P65A128P"</f>
        <v>QGLFMN77P65A128P</v>
      </c>
      <c r="E1545" t="s">
        <v>52</v>
      </c>
      <c r="F1545">
        <v>2016</v>
      </c>
      <c r="G1545" t="str">
        <f>"      000004-2016-FE"</f>
        <v xml:space="preserve">      000004-2016-FE</v>
      </c>
      <c r="H1545" s="3">
        <v>42472</v>
      </c>
      <c r="I1545" s="3">
        <v>42472</v>
      </c>
      <c r="J1545" s="3">
        <v>42472</v>
      </c>
      <c r="K1545" s="3">
        <v>42532</v>
      </c>
      <c r="L1545" s="5">
        <v>2149.1</v>
      </c>
      <c r="M1545">
        <v>-45</v>
      </c>
      <c r="N1545" s="5">
        <v>-96709.5</v>
      </c>
      <c r="O1545" s="4">
        <v>2149.1</v>
      </c>
      <c r="P1545">
        <v>-45</v>
      </c>
      <c r="Q1545" s="4">
        <v>-96709.5</v>
      </c>
      <c r="R1545">
        <v>0</v>
      </c>
      <c r="V1545">
        <v>-536.78</v>
      </c>
      <c r="W1545" s="4">
        <v>2149.1</v>
      </c>
      <c r="X1545" s="4">
        <v>2149.1</v>
      </c>
      <c r="Y1545" s="4">
        <v>2149.1</v>
      </c>
      <c r="Z1545" s="4">
        <v>2149.1</v>
      </c>
      <c r="AA1545" s="4">
        <v>2149.1</v>
      </c>
      <c r="AB1545" s="3">
        <v>42562</v>
      </c>
      <c r="AC1545" t="s">
        <v>53</v>
      </c>
      <c r="AD1545" t="s">
        <v>53</v>
      </c>
      <c r="AK1545">
        <v>0</v>
      </c>
      <c r="AU1545" s="3">
        <v>42487</v>
      </c>
      <c r="AV1545" s="3">
        <v>42487</v>
      </c>
      <c r="AW1545" t="s">
        <v>54</v>
      </c>
      <c r="AX1545" t="str">
        <f>"ALTPRO"</f>
        <v>ALTPRO</v>
      </c>
      <c r="AY1545" t="s">
        <v>93</v>
      </c>
    </row>
    <row r="1546" spans="1:51">
      <c r="A1546">
        <v>101498</v>
      </c>
      <c r="B1546" t="s">
        <v>250</v>
      </c>
      <c r="C1546" t="str">
        <f>"04789720655"</f>
        <v>04789720655</v>
      </c>
      <c r="D1546" t="str">
        <f>"QGLFMN77P65A128P"</f>
        <v>QGLFMN77P65A128P</v>
      </c>
      <c r="E1546" t="s">
        <v>52</v>
      </c>
      <c r="F1546">
        <v>2016</v>
      </c>
      <c r="G1546" t="str">
        <f>"      000005-2016-FE"</f>
        <v xml:space="preserve">      000005-2016-FE</v>
      </c>
      <c r="H1546" s="3">
        <v>42506</v>
      </c>
      <c r="I1546" s="3">
        <v>42507</v>
      </c>
      <c r="J1546" s="3">
        <v>42506</v>
      </c>
      <c r="K1546" s="3">
        <v>42566</v>
      </c>
      <c r="L1546" s="5">
        <v>2109.1999999999998</v>
      </c>
      <c r="M1546">
        <v>-50</v>
      </c>
      <c r="N1546" s="5">
        <v>-105460</v>
      </c>
      <c r="O1546" s="4">
        <v>2109.1999999999998</v>
      </c>
      <c r="P1546">
        <v>-50</v>
      </c>
      <c r="Q1546" s="4">
        <v>-105460</v>
      </c>
      <c r="R1546">
        <v>0</v>
      </c>
      <c r="V1546" s="4">
        <v>2109.1999999999998</v>
      </c>
      <c r="W1546" s="4">
        <v>2109.1999999999998</v>
      </c>
      <c r="X1546" s="4">
        <v>2109.1999999999998</v>
      </c>
      <c r="Y1546" s="4">
        <v>2109.1999999999998</v>
      </c>
      <c r="Z1546" s="4">
        <v>2109.1999999999998</v>
      </c>
      <c r="AA1546" s="4">
        <v>2109.1999999999998</v>
      </c>
      <c r="AB1546" s="3">
        <v>42562</v>
      </c>
      <c r="AC1546" t="s">
        <v>53</v>
      </c>
      <c r="AD1546" t="s">
        <v>53</v>
      </c>
      <c r="AK1546">
        <v>0</v>
      </c>
      <c r="AU1546" s="3">
        <v>42516</v>
      </c>
      <c r="AV1546" s="3">
        <v>42516</v>
      </c>
      <c r="AW1546" t="s">
        <v>54</v>
      </c>
      <c r="AX1546" t="str">
        <f>"ALTPRO"</f>
        <v>ALTPRO</v>
      </c>
      <c r="AY1546" t="s">
        <v>93</v>
      </c>
    </row>
    <row r="1547" spans="1:51" hidden="1">
      <c r="A1547">
        <v>101515</v>
      </c>
      <c r="B1547" t="s">
        <v>251</v>
      </c>
      <c r="C1547" t="str">
        <f t="shared" ref="C1547:D1550" si="208">"01764680649"</f>
        <v>01764680649</v>
      </c>
      <c r="D1547" t="str">
        <f t="shared" si="208"/>
        <v>01764680649</v>
      </c>
      <c r="E1547" t="s">
        <v>52</v>
      </c>
      <c r="F1547">
        <v>2015</v>
      </c>
      <c r="G1547" t="str">
        <f>"                W732"</f>
        <v xml:space="preserve">                W732</v>
      </c>
      <c r="H1547" s="3">
        <v>42339</v>
      </c>
      <c r="I1547" s="3">
        <v>42369</v>
      </c>
      <c r="J1547" s="3">
        <v>42368</v>
      </c>
      <c r="K1547" s="3">
        <v>42428</v>
      </c>
      <c r="L1547"/>
      <c r="N1547"/>
      <c r="O1547" s="4">
        <v>17028.669999999998</v>
      </c>
      <c r="P1547">
        <v>-23</v>
      </c>
      <c r="Q1547" s="4">
        <v>-391659.41</v>
      </c>
      <c r="R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 s="3">
        <v>42562</v>
      </c>
      <c r="AC1547" t="s">
        <v>53</v>
      </c>
      <c r="AD1547" t="s">
        <v>53</v>
      </c>
      <c r="AK1547">
        <v>0</v>
      </c>
      <c r="AU1547" s="3">
        <v>42405</v>
      </c>
      <c r="AV1547" s="3">
        <v>42405</v>
      </c>
      <c r="AW1547" t="s">
        <v>54</v>
      </c>
      <c r="AX1547" t="str">
        <f t="shared" ref="AX1547:AX1578" si="209">"FOR"</f>
        <v>FOR</v>
      </c>
      <c r="AY1547" t="s">
        <v>55</v>
      </c>
    </row>
    <row r="1548" spans="1:51" hidden="1">
      <c r="A1548">
        <v>101515</v>
      </c>
      <c r="B1548" t="s">
        <v>251</v>
      </c>
      <c r="C1548" t="str">
        <f t="shared" si="208"/>
        <v>01764680649</v>
      </c>
      <c r="D1548" t="str">
        <f t="shared" si="208"/>
        <v>01764680649</v>
      </c>
      <c r="E1548" t="s">
        <v>52</v>
      </c>
      <c r="F1548">
        <v>2015</v>
      </c>
      <c r="G1548" t="str">
        <f>"                W807"</f>
        <v xml:space="preserve">                W807</v>
      </c>
      <c r="H1548" s="3">
        <v>42369</v>
      </c>
      <c r="I1548" s="3">
        <v>42369</v>
      </c>
      <c r="J1548" s="3">
        <v>42369</v>
      </c>
      <c r="K1548" s="3">
        <v>42429</v>
      </c>
      <c r="L1548"/>
      <c r="N1548"/>
      <c r="O1548" s="4">
        <v>17028.669999999998</v>
      </c>
      <c r="P1548">
        <v>-13</v>
      </c>
      <c r="Q1548" s="4">
        <v>-221372.71</v>
      </c>
      <c r="R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 s="3">
        <v>42562</v>
      </c>
      <c r="AC1548" t="s">
        <v>53</v>
      </c>
      <c r="AD1548" t="s">
        <v>53</v>
      </c>
      <c r="AK1548">
        <v>0</v>
      </c>
      <c r="AU1548" s="3">
        <v>42416</v>
      </c>
      <c r="AV1548" s="3">
        <v>42416</v>
      </c>
      <c r="AW1548" t="s">
        <v>54</v>
      </c>
      <c r="AX1548" t="str">
        <f t="shared" si="209"/>
        <v>FOR</v>
      </c>
      <c r="AY1548" t="s">
        <v>55</v>
      </c>
    </row>
    <row r="1549" spans="1:51" hidden="1">
      <c r="A1549">
        <v>101515</v>
      </c>
      <c r="B1549" t="s">
        <v>251</v>
      </c>
      <c r="C1549" t="str">
        <f t="shared" si="208"/>
        <v>01764680649</v>
      </c>
      <c r="D1549" t="str">
        <f t="shared" si="208"/>
        <v>01764680649</v>
      </c>
      <c r="E1549" t="s">
        <v>52</v>
      </c>
      <c r="F1549">
        <v>2016</v>
      </c>
      <c r="G1549" t="str">
        <f>"                W104"</f>
        <v xml:space="preserve">                W104</v>
      </c>
      <c r="H1549" s="3">
        <v>42399</v>
      </c>
      <c r="I1549" s="3">
        <v>42416</v>
      </c>
      <c r="J1549" s="3">
        <v>42415</v>
      </c>
      <c r="K1549" s="3">
        <v>42475</v>
      </c>
      <c r="L1549"/>
      <c r="N1549"/>
      <c r="O1549" s="4">
        <v>17028.669999999998</v>
      </c>
      <c r="P1549">
        <v>-22</v>
      </c>
      <c r="Q1549" s="4">
        <v>-374630.74</v>
      </c>
      <c r="R1549">
        <v>0</v>
      </c>
      <c r="V1549">
        <v>0</v>
      </c>
      <c r="W1549">
        <v>0</v>
      </c>
      <c r="X1549">
        <v>0</v>
      </c>
      <c r="Y1549" s="4">
        <v>20774.98</v>
      </c>
      <c r="Z1549" s="4">
        <v>20774.98</v>
      </c>
      <c r="AA1549" s="4">
        <v>20774.98</v>
      </c>
      <c r="AB1549" s="3">
        <v>42562</v>
      </c>
      <c r="AC1549" t="s">
        <v>53</v>
      </c>
      <c r="AD1549" t="s">
        <v>53</v>
      </c>
      <c r="AK1549">
        <v>0</v>
      </c>
      <c r="AU1549" s="3">
        <v>42453</v>
      </c>
      <c r="AV1549" s="3">
        <v>42453</v>
      </c>
      <c r="AW1549" t="s">
        <v>54</v>
      </c>
      <c r="AX1549" t="str">
        <f t="shared" si="209"/>
        <v>FOR</v>
      </c>
      <c r="AY1549" t="s">
        <v>55</v>
      </c>
    </row>
    <row r="1550" spans="1:51">
      <c r="A1550">
        <v>101515</v>
      </c>
      <c r="B1550" t="s">
        <v>251</v>
      </c>
      <c r="C1550" t="str">
        <f t="shared" si="208"/>
        <v>01764680649</v>
      </c>
      <c r="D1550" t="str">
        <f t="shared" si="208"/>
        <v>01764680649</v>
      </c>
      <c r="E1550" t="s">
        <v>52</v>
      </c>
      <c r="F1550">
        <v>2016</v>
      </c>
      <c r="G1550" t="str">
        <f>"                W151"</f>
        <v xml:space="preserve">                W151</v>
      </c>
      <c r="H1550" s="3">
        <v>42429</v>
      </c>
      <c r="I1550" s="3">
        <v>42445</v>
      </c>
      <c r="J1550" s="3">
        <v>42444</v>
      </c>
      <c r="K1550" s="3">
        <v>42504</v>
      </c>
      <c r="L1550" s="5">
        <v>17028.669999999998</v>
      </c>
      <c r="M1550">
        <v>24</v>
      </c>
      <c r="N1550" s="5">
        <v>408688.08</v>
      </c>
      <c r="O1550" s="4">
        <v>17028.669999999998</v>
      </c>
      <c r="P1550">
        <v>24</v>
      </c>
      <c r="Q1550" s="4">
        <v>408688.08</v>
      </c>
      <c r="R1550" s="4">
        <v>3746.31</v>
      </c>
      <c r="V1550">
        <v>0</v>
      </c>
      <c r="W1550">
        <v>0</v>
      </c>
      <c r="X1550">
        <v>0</v>
      </c>
      <c r="Y1550" s="4">
        <v>20774.98</v>
      </c>
      <c r="Z1550" s="4">
        <v>20774.98</v>
      </c>
      <c r="AA1550" s="4">
        <v>20774.98</v>
      </c>
      <c r="AB1550" s="3">
        <v>42562</v>
      </c>
      <c r="AC1550" t="s">
        <v>53</v>
      </c>
      <c r="AD1550" t="s">
        <v>53</v>
      </c>
      <c r="AF1550" s="4">
        <v>3746.31</v>
      </c>
      <c r="AK1550">
        <v>0</v>
      </c>
      <c r="AU1550" s="3">
        <v>42528</v>
      </c>
      <c r="AV1550" s="3">
        <v>42528</v>
      </c>
      <c r="AW1550" t="s">
        <v>54</v>
      </c>
      <c r="AX1550" t="str">
        <f t="shared" si="209"/>
        <v>FOR</v>
      </c>
      <c r="AY1550" t="s">
        <v>55</v>
      </c>
    </row>
    <row r="1551" spans="1:51" hidden="1">
      <c r="A1551">
        <v>101535</v>
      </c>
      <c r="B1551" t="s">
        <v>252</v>
      </c>
      <c r="C1551" t="str">
        <f t="shared" ref="C1551:D1555" si="210">"02805490162"</f>
        <v>02805490162</v>
      </c>
      <c r="D1551" t="str">
        <f t="shared" si="210"/>
        <v>02805490162</v>
      </c>
      <c r="E1551" t="s">
        <v>52</v>
      </c>
      <c r="F1551">
        <v>2016</v>
      </c>
      <c r="G1551" t="str">
        <f>"                0120"</f>
        <v xml:space="preserve">                0120</v>
      </c>
      <c r="H1551" s="3">
        <v>42389</v>
      </c>
      <c r="I1551" s="3">
        <v>42390</v>
      </c>
      <c r="J1551" s="3">
        <v>42390</v>
      </c>
      <c r="K1551" s="3">
        <v>42450</v>
      </c>
      <c r="L1551"/>
      <c r="N1551"/>
      <c r="O1551">
        <v>637</v>
      </c>
      <c r="P1551">
        <v>-60</v>
      </c>
      <c r="Q1551" s="4">
        <v>-38220</v>
      </c>
      <c r="R1551">
        <v>0</v>
      </c>
      <c r="V1551">
        <v>0</v>
      </c>
      <c r="W1551">
        <v>0</v>
      </c>
      <c r="X1551">
        <v>0</v>
      </c>
      <c r="Y1551">
        <v>637</v>
      </c>
      <c r="Z1551">
        <v>637</v>
      </c>
      <c r="AA1551">
        <v>637</v>
      </c>
      <c r="AB1551" s="3">
        <v>42562</v>
      </c>
      <c r="AC1551" t="s">
        <v>53</v>
      </c>
      <c r="AD1551" t="s">
        <v>53</v>
      </c>
      <c r="AK1551">
        <v>0</v>
      </c>
      <c r="AU1551" s="3">
        <v>42390</v>
      </c>
      <c r="AV1551" s="3">
        <v>42390</v>
      </c>
      <c r="AW1551" t="s">
        <v>54</v>
      </c>
      <c r="AX1551" t="str">
        <f t="shared" si="209"/>
        <v>FOR</v>
      </c>
      <c r="AY1551" t="s">
        <v>55</v>
      </c>
    </row>
    <row r="1552" spans="1:51" hidden="1">
      <c r="A1552">
        <v>101535</v>
      </c>
      <c r="B1552" t="s">
        <v>252</v>
      </c>
      <c r="C1552" t="str">
        <f t="shared" si="210"/>
        <v>02805490162</v>
      </c>
      <c r="D1552" t="str">
        <f t="shared" si="210"/>
        <v>02805490162</v>
      </c>
      <c r="E1552" t="s">
        <v>52</v>
      </c>
      <c r="F1552">
        <v>2016</v>
      </c>
      <c r="G1552" t="str">
        <f>"                0222"</f>
        <v xml:space="preserve">                0222</v>
      </c>
      <c r="H1552" s="3">
        <v>42422</v>
      </c>
      <c r="I1552" s="3">
        <v>42422</v>
      </c>
      <c r="J1552" s="3">
        <v>42422</v>
      </c>
      <c r="K1552" s="3">
        <v>42482</v>
      </c>
      <c r="L1552"/>
      <c r="N1552"/>
      <c r="O1552">
        <v>637</v>
      </c>
      <c r="P1552">
        <v>-58</v>
      </c>
      <c r="Q1552" s="4">
        <v>-36946</v>
      </c>
      <c r="R1552">
        <v>0</v>
      </c>
      <c r="V1552">
        <v>0</v>
      </c>
      <c r="W1552">
        <v>0</v>
      </c>
      <c r="X1552">
        <v>0</v>
      </c>
      <c r="Y1552">
        <v>637</v>
      </c>
      <c r="Z1552">
        <v>637</v>
      </c>
      <c r="AA1552">
        <v>637</v>
      </c>
      <c r="AB1552" s="3">
        <v>42562</v>
      </c>
      <c r="AC1552" t="s">
        <v>53</v>
      </c>
      <c r="AD1552" t="s">
        <v>53</v>
      </c>
      <c r="AK1552">
        <v>0</v>
      </c>
      <c r="AU1552" s="3">
        <v>42424</v>
      </c>
      <c r="AV1552" s="3">
        <v>42424</v>
      </c>
      <c r="AW1552" t="s">
        <v>54</v>
      </c>
      <c r="AX1552" t="str">
        <f t="shared" si="209"/>
        <v>FOR</v>
      </c>
      <c r="AY1552" t="s">
        <v>55</v>
      </c>
    </row>
    <row r="1553" spans="1:51" hidden="1">
      <c r="A1553">
        <v>101535</v>
      </c>
      <c r="B1553" t="s">
        <v>252</v>
      </c>
      <c r="C1553" t="str">
        <f t="shared" si="210"/>
        <v>02805490162</v>
      </c>
      <c r="D1553" t="str">
        <f t="shared" si="210"/>
        <v>02805490162</v>
      </c>
      <c r="E1553" t="s">
        <v>52</v>
      </c>
      <c r="F1553">
        <v>2016</v>
      </c>
      <c r="G1553" t="str">
        <f>"                0321"</f>
        <v xml:space="preserve">                0321</v>
      </c>
      <c r="H1553" s="3">
        <v>42450</v>
      </c>
      <c r="I1553" s="3">
        <v>42450</v>
      </c>
      <c r="J1553" s="3">
        <v>42450</v>
      </c>
      <c r="K1553" s="3">
        <v>42510</v>
      </c>
      <c r="L1553"/>
      <c r="N1553"/>
      <c r="O1553">
        <v>637</v>
      </c>
      <c r="P1553">
        <v>-57</v>
      </c>
      <c r="Q1553" s="4">
        <v>-36309</v>
      </c>
      <c r="R1553">
        <v>0</v>
      </c>
      <c r="V1553">
        <v>0</v>
      </c>
      <c r="W1553">
        <v>0</v>
      </c>
      <c r="X1553">
        <v>0</v>
      </c>
      <c r="Y1553">
        <v>637</v>
      </c>
      <c r="Z1553">
        <v>637</v>
      </c>
      <c r="AA1553">
        <v>637</v>
      </c>
      <c r="AB1553" s="3">
        <v>42562</v>
      </c>
      <c r="AC1553" t="s">
        <v>53</v>
      </c>
      <c r="AD1553" t="s">
        <v>53</v>
      </c>
      <c r="AK1553">
        <v>0</v>
      </c>
      <c r="AU1553" s="3">
        <v>42453</v>
      </c>
      <c r="AV1553" s="3">
        <v>42453</v>
      </c>
      <c r="AW1553" t="s">
        <v>54</v>
      </c>
      <c r="AX1553" t="str">
        <f t="shared" si="209"/>
        <v>FOR</v>
      </c>
      <c r="AY1553" t="s">
        <v>55</v>
      </c>
    </row>
    <row r="1554" spans="1:51" hidden="1">
      <c r="A1554">
        <v>101535</v>
      </c>
      <c r="B1554" t="s">
        <v>252</v>
      </c>
      <c r="C1554" t="str">
        <f t="shared" si="210"/>
        <v>02805490162</v>
      </c>
      <c r="D1554" t="str">
        <f t="shared" si="210"/>
        <v>02805490162</v>
      </c>
      <c r="E1554" t="s">
        <v>52</v>
      </c>
      <c r="F1554">
        <v>2016</v>
      </c>
      <c r="G1554" t="str">
        <f>"                0421"</f>
        <v xml:space="preserve">                0421</v>
      </c>
      <c r="H1554" s="3">
        <v>42481</v>
      </c>
      <c r="I1554" s="3">
        <v>42481</v>
      </c>
      <c r="J1554" s="3">
        <v>42481</v>
      </c>
      <c r="K1554" s="3">
        <v>42541</v>
      </c>
      <c r="L1554">
        <v>637</v>
      </c>
      <c r="M1554">
        <v>-60</v>
      </c>
      <c r="N1554" s="4">
        <v>-38220</v>
      </c>
      <c r="O1554">
        <v>637</v>
      </c>
      <c r="P1554">
        <v>-60</v>
      </c>
      <c r="Q1554" s="4">
        <v>-38220</v>
      </c>
      <c r="R1554">
        <v>0</v>
      </c>
      <c r="V1554">
        <v>637</v>
      </c>
      <c r="W1554">
        <v>637</v>
      </c>
      <c r="X1554">
        <v>637</v>
      </c>
      <c r="Y1554">
        <v>637</v>
      </c>
      <c r="Z1554">
        <v>637</v>
      </c>
      <c r="AA1554">
        <v>637</v>
      </c>
      <c r="AB1554" s="3">
        <v>42562</v>
      </c>
      <c r="AC1554" t="s">
        <v>53</v>
      </c>
      <c r="AD1554" t="s">
        <v>53</v>
      </c>
      <c r="AK1554">
        <v>0</v>
      </c>
      <c r="AU1554" s="3">
        <v>42481</v>
      </c>
      <c r="AV1554" s="3">
        <v>42481</v>
      </c>
      <c r="AW1554" t="s">
        <v>54</v>
      </c>
      <c r="AX1554" t="str">
        <f t="shared" si="209"/>
        <v>FOR</v>
      </c>
      <c r="AY1554" t="s">
        <v>55</v>
      </c>
    </row>
    <row r="1555" spans="1:51" hidden="1">
      <c r="A1555">
        <v>101535</v>
      </c>
      <c r="B1555" t="s">
        <v>252</v>
      </c>
      <c r="C1555" t="str">
        <f t="shared" si="210"/>
        <v>02805490162</v>
      </c>
      <c r="D1555" t="str">
        <f t="shared" si="210"/>
        <v>02805490162</v>
      </c>
      <c r="E1555" t="s">
        <v>52</v>
      </c>
      <c r="F1555">
        <v>2016</v>
      </c>
      <c r="G1555" t="str">
        <f>"                0518"</f>
        <v xml:space="preserve">                0518</v>
      </c>
      <c r="H1555" s="3">
        <v>42508</v>
      </c>
      <c r="I1555" s="3">
        <v>42510</v>
      </c>
      <c r="J1555" s="3">
        <v>42510</v>
      </c>
      <c r="K1555" s="3">
        <v>42570</v>
      </c>
      <c r="L1555">
        <v>637</v>
      </c>
      <c r="M1555">
        <v>-57</v>
      </c>
      <c r="N1555" s="4">
        <v>-36309</v>
      </c>
      <c r="O1555">
        <v>637</v>
      </c>
      <c r="P1555">
        <v>-57</v>
      </c>
      <c r="Q1555" s="4">
        <v>-36309</v>
      </c>
      <c r="R1555">
        <v>0</v>
      </c>
      <c r="V1555">
        <v>637</v>
      </c>
      <c r="W1555">
        <v>637</v>
      </c>
      <c r="X1555">
        <v>637</v>
      </c>
      <c r="Y1555">
        <v>637</v>
      </c>
      <c r="Z1555">
        <v>637</v>
      </c>
      <c r="AA1555">
        <v>637</v>
      </c>
      <c r="AB1555" s="3">
        <v>42562</v>
      </c>
      <c r="AC1555" t="s">
        <v>53</v>
      </c>
      <c r="AD1555" t="s">
        <v>53</v>
      </c>
      <c r="AK1555">
        <v>0</v>
      </c>
      <c r="AU1555" s="3">
        <v>42513</v>
      </c>
      <c r="AV1555" s="3">
        <v>42513</v>
      </c>
      <c r="AW1555" t="s">
        <v>54</v>
      </c>
      <c r="AX1555" t="str">
        <f t="shared" si="209"/>
        <v>FOR</v>
      </c>
      <c r="AY1555" t="s">
        <v>55</v>
      </c>
    </row>
    <row r="1556" spans="1:51" hidden="1">
      <c r="A1556">
        <v>101538</v>
      </c>
      <c r="B1556" t="s">
        <v>253</v>
      </c>
      <c r="C1556" t="str">
        <f>"01099110999"</f>
        <v>01099110999</v>
      </c>
      <c r="D1556" t="str">
        <f>"00101780492"</f>
        <v>00101780492</v>
      </c>
      <c r="E1556" t="s">
        <v>52</v>
      </c>
      <c r="F1556">
        <v>2015</v>
      </c>
      <c r="G1556" t="str">
        <f>"                5290"</f>
        <v xml:space="preserve">                5290</v>
      </c>
      <c r="H1556" s="3">
        <v>42117</v>
      </c>
      <c r="I1556" s="3">
        <v>42142</v>
      </c>
      <c r="J1556" s="3">
        <v>42137</v>
      </c>
      <c r="K1556" s="3">
        <v>42197</v>
      </c>
      <c r="L1556"/>
      <c r="N1556"/>
      <c r="O1556">
        <v>66.510000000000005</v>
      </c>
      <c r="P1556">
        <v>255</v>
      </c>
      <c r="Q1556" s="4">
        <v>16960.05</v>
      </c>
      <c r="R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 s="3">
        <v>42562</v>
      </c>
      <c r="AC1556" t="s">
        <v>53</v>
      </c>
      <c r="AD1556" t="s">
        <v>53</v>
      </c>
      <c r="AK1556">
        <v>0</v>
      </c>
      <c r="AU1556" s="3">
        <v>42452</v>
      </c>
      <c r="AV1556" s="3">
        <v>42452</v>
      </c>
      <c r="AW1556" t="s">
        <v>54</v>
      </c>
      <c r="AX1556" t="str">
        <f t="shared" si="209"/>
        <v>FOR</v>
      </c>
      <c r="AY1556" t="s">
        <v>55</v>
      </c>
    </row>
    <row r="1557" spans="1:51">
      <c r="A1557">
        <v>101538</v>
      </c>
      <c r="B1557" t="s">
        <v>253</v>
      </c>
      <c r="C1557" t="str">
        <f>"01099110999"</f>
        <v>01099110999</v>
      </c>
      <c r="D1557" t="str">
        <f>"00101780492"</f>
        <v>00101780492</v>
      </c>
      <c r="E1557" t="s">
        <v>52</v>
      </c>
      <c r="F1557">
        <v>2016</v>
      </c>
      <c r="G1557" t="str">
        <f>"                4918"</f>
        <v xml:space="preserve">                4918</v>
      </c>
      <c r="H1557" s="3">
        <v>42472</v>
      </c>
      <c r="I1557" s="3">
        <v>42481</v>
      </c>
      <c r="J1557" s="3">
        <v>42480</v>
      </c>
      <c r="K1557" s="3">
        <v>42540</v>
      </c>
      <c r="L1557" s="1">
        <v>50.16</v>
      </c>
      <c r="M1557">
        <v>-20</v>
      </c>
      <c r="N1557" s="5">
        <v>-1003.2</v>
      </c>
      <c r="O1557">
        <v>50.16</v>
      </c>
      <c r="P1557">
        <v>-20</v>
      </c>
      <c r="Q1557" s="4">
        <v>-1003.2</v>
      </c>
      <c r="R1557">
        <v>0</v>
      </c>
      <c r="V1557">
        <v>55.18</v>
      </c>
      <c r="W1557">
        <v>55.18</v>
      </c>
      <c r="X1557">
        <v>55.18</v>
      </c>
      <c r="Y1557">
        <v>55.18</v>
      </c>
      <c r="Z1557">
        <v>55.18</v>
      </c>
      <c r="AA1557">
        <v>55.18</v>
      </c>
      <c r="AB1557" s="3">
        <v>42562</v>
      </c>
      <c r="AC1557" t="s">
        <v>53</v>
      </c>
      <c r="AD1557" t="s">
        <v>53</v>
      </c>
      <c r="AK1557">
        <v>0</v>
      </c>
      <c r="AU1557" s="3">
        <v>42520</v>
      </c>
      <c r="AV1557" s="3">
        <v>42520</v>
      </c>
      <c r="AW1557" t="s">
        <v>54</v>
      </c>
      <c r="AX1557" t="str">
        <f t="shared" si="209"/>
        <v>FOR</v>
      </c>
      <c r="AY1557" t="s">
        <v>55</v>
      </c>
    </row>
    <row r="1558" spans="1:51">
      <c r="A1558">
        <v>101541</v>
      </c>
      <c r="B1558" t="s">
        <v>254</v>
      </c>
      <c r="C1558" t="str">
        <f t="shared" ref="C1558:D1577" si="211">"08230471008"</f>
        <v>08230471008</v>
      </c>
      <c r="D1558" t="str">
        <f t="shared" si="211"/>
        <v>08230471008</v>
      </c>
      <c r="E1558" t="s">
        <v>52</v>
      </c>
      <c r="F1558">
        <v>2011</v>
      </c>
      <c r="G1558" t="str">
        <f>"               12833"</f>
        <v xml:space="preserve">               12833</v>
      </c>
      <c r="H1558" s="3">
        <v>40872</v>
      </c>
      <c r="I1558" s="3">
        <v>42418</v>
      </c>
      <c r="J1558" s="3">
        <v>42418</v>
      </c>
      <c r="K1558" s="3">
        <v>42478</v>
      </c>
      <c r="L1558" s="1">
        <v>302.5</v>
      </c>
      <c r="M1558">
        <v>42</v>
      </c>
      <c r="N1558" s="5">
        <v>12705</v>
      </c>
      <c r="O1558">
        <v>302.5</v>
      </c>
      <c r="P1558">
        <v>42</v>
      </c>
      <c r="Q1558" s="4">
        <v>12705</v>
      </c>
      <c r="R1558">
        <v>0</v>
      </c>
      <c r="V1558">
        <v>0</v>
      </c>
      <c r="W1558">
        <v>0</v>
      </c>
      <c r="X1558">
        <v>0</v>
      </c>
      <c r="Y1558">
        <v>0</v>
      </c>
      <c r="Z1558">
        <v>302.5</v>
      </c>
      <c r="AA1558">
        <v>0</v>
      </c>
      <c r="AB1558" s="3">
        <v>42562</v>
      </c>
      <c r="AC1558" t="s">
        <v>53</v>
      </c>
      <c r="AD1558" t="s">
        <v>53</v>
      </c>
      <c r="AK1558">
        <v>0</v>
      </c>
      <c r="AU1558" s="3">
        <v>42520</v>
      </c>
      <c r="AV1558" s="3">
        <v>42520</v>
      </c>
      <c r="AW1558" t="s">
        <v>54</v>
      </c>
      <c r="AX1558" t="str">
        <f t="shared" si="209"/>
        <v>FOR</v>
      </c>
      <c r="AY1558" t="s">
        <v>55</v>
      </c>
    </row>
    <row r="1559" spans="1:51">
      <c r="A1559">
        <v>101541</v>
      </c>
      <c r="B1559" t="s">
        <v>254</v>
      </c>
      <c r="C1559" t="str">
        <f t="shared" si="211"/>
        <v>08230471008</v>
      </c>
      <c r="D1559" t="str">
        <f t="shared" si="211"/>
        <v>08230471008</v>
      </c>
      <c r="E1559" t="s">
        <v>52</v>
      </c>
      <c r="F1559">
        <v>2011</v>
      </c>
      <c r="G1559" t="str">
        <f>"               12834"</f>
        <v xml:space="preserve">               12834</v>
      </c>
      <c r="H1559" s="3">
        <v>40872</v>
      </c>
      <c r="I1559" s="3">
        <v>42418</v>
      </c>
      <c r="J1559" s="3">
        <v>42418</v>
      </c>
      <c r="K1559" s="3">
        <v>42478</v>
      </c>
      <c r="L1559" s="1">
        <v>300</v>
      </c>
      <c r="M1559">
        <v>42</v>
      </c>
      <c r="N1559" s="5">
        <v>12600</v>
      </c>
      <c r="O1559">
        <v>300</v>
      </c>
      <c r="P1559">
        <v>42</v>
      </c>
      <c r="Q1559" s="4">
        <v>12600</v>
      </c>
      <c r="R1559">
        <v>0</v>
      </c>
      <c r="V1559">
        <v>0</v>
      </c>
      <c r="W1559">
        <v>0</v>
      </c>
      <c r="X1559">
        <v>0</v>
      </c>
      <c r="Y1559">
        <v>0</v>
      </c>
      <c r="Z1559">
        <v>300</v>
      </c>
      <c r="AA1559">
        <v>0</v>
      </c>
      <c r="AB1559" s="3">
        <v>42562</v>
      </c>
      <c r="AC1559" t="s">
        <v>53</v>
      </c>
      <c r="AD1559" t="s">
        <v>53</v>
      </c>
      <c r="AK1559">
        <v>0</v>
      </c>
      <c r="AU1559" s="3">
        <v>42520</v>
      </c>
      <c r="AV1559" s="3">
        <v>42520</v>
      </c>
      <c r="AW1559" t="s">
        <v>54</v>
      </c>
      <c r="AX1559" t="str">
        <f t="shared" si="209"/>
        <v>FOR</v>
      </c>
      <c r="AY1559" t="s">
        <v>55</v>
      </c>
    </row>
    <row r="1560" spans="1:51" hidden="1">
      <c r="A1560">
        <v>101541</v>
      </c>
      <c r="B1560" t="s">
        <v>254</v>
      </c>
      <c r="C1560" t="str">
        <f t="shared" si="211"/>
        <v>08230471008</v>
      </c>
      <c r="D1560" t="str">
        <f t="shared" si="211"/>
        <v>08230471008</v>
      </c>
      <c r="E1560" t="s">
        <v>52</v>
      </c>
      <c r="F1560">
        <v>2015</v>
      </c>
      <c r="G1560" t="str">
        <f>"                1577"</f>
        <v xml:space="preserve">                1577</v>
      </c>
      <c r="H1560" s="3">
        <v>42048</v>
      </c>
      <c r="I1560" s="3">
        <v>42055</v>
      </c>
      <c r="J1560" s="3">
        <v>42055</v>
      </c>
      <c r="K1560" s="3">
        <v>42115</v>
      </c>
      <c r="L1560"/>
      <c r="N1560"/>
      <c r="O1560" s="4">
        <v>1900</v>
      </c>
      <c r="P1560">
        <v>286</v>
      </c>
      <c r="Q1560" s="4">
        <v>543400</v>
      </c>
      <c r="R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0</v>
      </c>
      <c r="AB1560" s="3">
        <v>42562</v>
      </c>
      <c r="AC1560" t="s">
        <v>53</v>
      </c>
      <c r="AD1560" t="s">
        <v>53</v>
      </c>
      <c r="AK1560">
        <v>0</v>
      </c>
      <c r="AU1560" s="3">
        <v>42401</v>
      </c>
      <c r="AV1560" s="3">
        <v>42401</v>
      </c>
      <c r="AW1560" t="s">
        <v>54</v>
      </c>
      <c r="AX1560" t="str">
        <f t="shared" si="209"/>
        <v>FOR</v>
      </c>
      <c r="AY1560" t="s">
        <v>55</v>
      </c>
    </row>
    <row r="1561" spans="1:51" hidden="1">
      <c r="A1561">
        <v>101541</v>
      </c>
      <c r="B1561" t="s">
        <v>254</v>
      </c>
      <c r="C1561" t="str">
        <f t="shared" si="211"/>
        <v>08230471008</v>
      </c>
      <c r="D1561" t="str">
        <f t="shared" si="211"/>
        <v>08230471008</v>
      </c>
      <c r="E1561" t="s">
        <v>52</v>
      </c>
      <c r="F1561">
        <v>2015</v>
      </c>
      <c r="G1561" t="str">
        <f>"                1578"</f>
        <v xml:space="preserve">                1578</v>
      </c>
      <c r="H1561" s="3">
        <v>42048</v>
      </c>
      <c r="I1561" s="3">
        <v>42055</v>
      </c>
      <c r="J1561" s="3">
        <v>42055</v>
      </c>
      <c r="K1561" s="3">
        <v>42115</v>
      </c>
      <c r="L1561"/>
      <c r="N1561"/>
      <c r="O1561">
        <v>700</v>
      </c>
      <c r="P1561">
        <v>286</v>
      </c>
      <c r="Q1561" s="4">
        <v>200200</v>
      </c>
      <c r="R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0</v>
      </c>
      <c r="AB1561" s="3">
        <v>42562</v>
      </c>
      <c r="AC1561" t="s">
        <v>53</v>
      </c>
      <c r="AD1561" t="s">
        <v>53</v>
      </c>
      <c r="AK1561">
        <v>0</v>
      </c>
      <c r="AU1561" s="3">
        <v>42401</v>
      </c>
      <c r="AV1561" s="3">
        <v>42401</v>
      </c>
      <c r="AW1561" t="s">
        <v>54</v>
      </c>
      <c r="AX1561" t="str">
        <f t="shared" si="209"/>
        <v>FOR</v>
      </c>
      <c r="AY1561" t="s">
        <v>55</v>
      </c>
    </row>
    <row r="1562" spans="1:51" hidden="1">
      <c r="A1562">
        <v>101541</v>
      </c>
      <c r="B1562" t="s">
        <v>254</v>
      </c>
      <c r="C1562" t="str">
        <f t="shared" si="211"/>
        <v>08230471008</v>
      </c>
      <c r="D1562" t="str">
        <f t="shared" si="211"/>
        <v>08230471008</v>
      </c>
      <c r="E1562" t="s">
        <v>52</v>
      </c>
      <c r="F1562">
        <v>2015</v>
      </c>
      <c r="G1562" t="str">
        <f>"                1579"</f>
        <v xml:space="preserve">                1579</v>
      </c>
      <c r="H1562" s="3">
        <v>42048</v>
      </c>
      <c r="I1562" s="3">
        <v>42055</v>
      </c>
      <c r="J1562" s="3">
        <v>42055</v>
      </c>
      <c r="K1562" s="3">
        <v>42115</v>
      </c>
      <c r="L1562"/>
      <c r="N1562"/>
      <c r="O1562">
        <v>700</v>
      </c>
      <c r="P1562">
        <v>286</v>
      </c>
      <c r="Q1562" s="4">
        <v>200200</v>
      </c>
      <c r="R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 s="3">
        <v>42562</v>
      </c>
      <c r="AC1562" t="s">
        <v>53</v>
      </c>
      <c r="AD1562" t="s">
        <v>53</v>
      </c>
      <c r="AK1562">
        <v>0</v>
      </c>
      <c r="AU1562" s="3">
        <v>42401</v>
      </c>
      <c r="AV1562" s="3">
        <v>42401</v>
      </c>
      <c r="AW1562" t="s">
        <v>54</v>
      </c>
      <c r="AX1562" t="str">
        <f t="shared" si="209"/>
        <v>FOR</v>
      </c>
      <c r="AY1562" t="s">
        <v>55</v>
      </c>
    </row>
    <row r="1563" spans="1:51" hidden="1">
      <c r="A1563">
        <v>101541</v>
      </c>
      <c r="B1563" t="s">
        <v>254</v>
      </c>
      <c r="C1563" t="str">
        <f t="shared" si="211"/>
        <v>08230471008</v>
      </c>
      <c r="D1563" t="str">
        <f t="shared" si="211"/>
        <v>08230471008</v>
      </c>
      <c r="E1563" t="s">
        <v>52</v>
      </c>
      <c r="F1563">
        <v>2015</v>
      </c>
      <c r="G1563" t="str">
        <f>"                1580"</f>
        <v xml:space="preserve">                1580</v>
      </c>
      <c r="H1563" s="3">
        <v>42048</v>
      </c>
      <c r="I1563" s="3">
        <v>42055</v>
      </c>
      <c r="J1563" s="3">
        <v>42055</v>
      </c>
      <c r="K1563" s="3">
        <v>42115</v>
      </c>
      <c r="L1563"/>
      <c r="N1563"/>
      <c r="O1563">
        <v>250</v>
      </c>
      <c r="P1563">
        <v>286</v>
      </c>
      <c r="Q1563" s="4">
        <v>71500</v>
      </c>
      <c r="R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 s="3">
        <v>42562</v>
      </c>
      <c r="AC1563" t="s">
        <v>53</v>
      </c>
      <c r="AD1563" t="s">
        <v>53</v>
      </c>
      <c r="AK1563">
        <v>0</v>
      </c>
      <c r="AU1563" s="3">
        <v>42401</v>
      </c>
      <c r="AV1563" s="3">
        <v>42401</v>
      </c>
      <c r="AW1563" t="s">
        <v>54</v>
      </c>
      <c r="AX1563" t="str">
        <f t="shared" si="209"/>
        <v>FOR</v>
      </c>
      <c r="AY1563" t="s">
        <v>55</v>
      </c>
    </row>
    <row r="1564" spans="1:51" hidden="1">
      <c r="A1564">
        <v>101541</v>
      </c>
      <c r="B1564" t="s">
        <v>254</v>
      </c>
      <c r="C1564" t="str">
        <f t="shared" si="211"/>
        <v>08230471008</v>
      </c>
      <c r="D1564" t="str">
        <f t="shared" si="211"/>
        <v>08230471008</v>
      </c>
      <c r="E1564" t="s">
        <v>52</v>
      </c>
      <c r="F1564">
        <v>2015</v>
      </c>
      <c r="G1564" t="str">
        <f>"                1581"</f>
        <v xml:space="preserve">                1581</v>
      </c>
      <c r="H1564" s="3">
        <v>42048</v>
      </c>
      <c r="I1564" s="3">
        <v>42055</v>
      </c>
      <c r="J1564" s="3">
        <v>42055</v>
      </c>
      <c r="K1564" s="3">
        <v>42115</v>
      </c>
      <c r="L1564"/>
      <c r="N1564"/>
      <c r="O1564">
        <v>250</v>
      </c>
      <c r="P1564">
        <v>286</v>
      </c>
      <c r="Q1564" s="4">
        <v>71500</v>
      </c>
      <c r="R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 s="3">
        <v>42562</v>
      </c>
      <c r="AC1564" t="s">
        <v>53</v>
      </c>
      <c r="AD1564" t="s">
        <v>53</v>
      </c>
      <c r="AK1564">
        <v>0</v>
      </c>
      <c r="AU1564" s="3">
        <v>42401</v>
      </c>
      <c r="AV1564" s="3">
        <v>42401</v>
      </c>
      <c r="AW1564" t="s">
        <v>54</v>
      </c>
      <c r="AX1564" t="str">
        <f t="shared" si="209"/>
        <v>FOR</v>
      </c>
      <c r="AY1564" t="s">
        <v>55</v>
      </c>
    </row>
    <row r="1565" spans="1:51" hidden="1">
      <c r="A1565">
        <v>101541</v>
      </c>
      <c r="B1565" t="s">
        <v>254</v>
      </c>
      <c r="C1565" t="str">
        <f t="shared" si="211"/>
        <v>08230471008</v>
      </c>
      <c r="D1565" t="str">
        <f t="shared" si="211"/>
        <v>08230471008</v>
      </c>
      <c r="E1565" t="s">
        <v>52</v>
      </c>
      <c r="F1565">
        <v>2015</v>
      </c>
      <c r="G1565" t="str">
        <f>"                1582"</f>
        <v xml:space="preserve">                1582</v>
      </c>
      <c r="H1565" s="3">
        <v>42048</v>
      </c>
      <c r="I1565" s="3">
        <v>42055</v>
      </c>
      <c r="J1565" s="3">
        <v>42055</v>
      </c>
      <c r="K1565" s="3">
        <v>42115</v>
      </c>
      <c r="L1565"/>
      <c r="N1565"/>
      <c r="O1565">
        <v>250</v>
      </c>
      <c r="P1565">
        <v>286</v>
      </c>
      <c r="Q1565" s="4">
        <v>71500</v>
      </c>
      <c r="R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0</v>
      </c>
      <c r="AB1565" s="3">
        <v>42562</v>
      </c>
      <c r="AC1565" t="s">
        <v>53</v>
      </c>
      <c r="AD1565" t="s">
        <v>53</v>
      </c>
      <c r="AK1565">
        <v>0</v>
      </c>
      <c r="AU1565" s="3">
        <v>42401</v>
      </c>
      <c r="AV1565" s="3">
        <v>42401</v>
      </c>
      <c r="AW1565" t="s">
        <v>54</v>
      </c>
      <c r="AX1565" t="str">
        <f t="shared" si="209"/>
        <v>FOR</v>
      </c>
      <c r="AY1565" t="s">
        <v>55</v>
      </c>
    </row>
    <row r="1566" spans="1:51" hidden="1">
      <c r="A1566">
        <v>101541</v>
      </c>
      <c r="B1566" t="s">
        <v>254</v>
      </c>
      <c r="C1566" t="str">
        <f t="shared" si="211"/>
        <v>08230471008</v>
      </c>
      <c r="D1566" t="str">
        <f t="shared" si="211"/>
        <v>08230471008</v>
      </c>
      <c r="E1566" t="s">
        <v>52</v>
      </c>
      <c r="F1566">
        <v>2015</v>
      </c>
      <c r="G1566" t="str">
        <f>"                1583"</f>
        <v xml:space="preserve">                1583</v>
      </c>
      <c r="H1566" s="3">
        <v>42048</v>
      </c>
      <c r="I1566" s="3">
        <v>42055</v>
      </c>
      <c r="J1566" s="3">
        <v>42055</v>
      </c>
      <c r="K1566" s="3">
        <v>42115</v>
      </c>
      <c r="L1566"/>
      <c r="N1566"/>
      <c r="O1566">
        <v>250</v>
      </c>
      <c r="P1566">
        <v>286</v>
      </c>
      <c r="Q1566" s="4">
        <v>71500</v>
      </c>
      <c r="R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0</v>
      </c>
      <c r="AB1566" s="3">
        <v>42562</v>
      </c>
      <c r="AC1566" t="s">
        <v>53</v>
      </c>
      <c r="AD1566" t="s">
        <v>53</v>
      </c>
      <c r="AK1566">
        <v>0</v>
      </c>
      <c r="AU1566" s="3">
        <v>42401</v>
      </c>
      <c r="AV1566" s="3">
        <v>42401</v>
      </c>
      <c r="AW1566" t="s">
        <v>54</v>
      </c>
      <c r="AX1566" t="str">
        <f t="shared" si="209"/>
        <v>FOR</v>
      </c>
      <c r="AY1566" t="s">
        <v>55</v>
      </c>
    </row>
    <row r="1567" spans="1:51" hidden="1">
      <c r="A1567">
        <v>101541</v>
      </c>
      <c r="B1567" t="s">
        <v>254</v>
      </c>
      <c r="C1567" t="str">
        <f t="shared" si="211"/>
        <v>08230471008</v>
      </c>
      <c r="D1567" t="str">
        <f t="shared" si="211"/>
        <v>08230471008</v>
      </c>
      <c r="E1567" t="s">
        <v>52</v>
      </c>
      <c r="F1567">
        <v>2015</v>
      </c>
      <c r="G1567" t="str">
        <f>"                1584"</f>
        <v xml:space="preserve">                1584</v>
      </c>
      <c r="H1567" s="3">
        <v>42048</v>
      </c>
      <c r="I1567" s="3">
        <v>42055</v>
      </c>
      <c r="J1567" s="3">
        <v>42055</v>
      </c>
      <c r="K1567" s="3">
        <v>42115</v>
      </c>
      <c r="L1567"/>
      <c r="N1567"/>
      <c r="O1567">
        <v>250</v>
      </c>
      <c r="P1567">
        <v>286</v>
      </c>
      <c r="Q1567" s="4">
        <v>71500</v>
      </c>
      <c r="R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 s="3">
        <v>42562</v>
      </c>
      <c r="AC1567" t="s">
        <v>53</v>
      </c>
      <c r="AD1567" t="s">
        <v>53</v>
      </c>
      <c r="AK1567">
        <v>0</v>
      </c>
      <c r="AU1567" s="3">
        <v>42401</v>
      </c>
      <c r="AV1567" s="3">
        <v>42401</v>
      </c>
      <c r="AW1567" t="s">
        <v>54</v>
      </c>
      <c r="AX1567" t="str">
        <f t="shared" si="209"/>
        <v>FOR</v>
      </c>
      <c r="AY1567" t="s">
        <v>55</v>
      </c>
    </row>
    <row r="1568" spans="1:51" hidden="1">
      <c r="A1568">
        <v>101541</v>
      </c>
      <c r="B1568" t="s">
        <v>254</v>
      </c>
      <c r="C1568" t="str">
        <f t="shared" si="211"/>
        <v>08230471008</v>
      </c>
      <c r="D1568" t="str">
        <f t="shared" si="211"/>
        <v>08230471008</v>
      </c>
      <c r="E1568" t="s">
        <v>52</v>
      </c>
      <c r="F1568">
        <v>2015</v>
      </c>
      <c r="G1568" t="str">
        <f>"                1585"</f>
        <v xml:space="preserve">                1585</v>
      </c>
      <c r="H1568" s="3">
        <v>42048</v>
      </c>
      <c r="I1568" s="3">
        <v>42055</v>
      </c>
      <c r="J1568" s="3">
        <v>42055</v>
      </c>
      <c r="K1568" s="3">
        <v>42115</v>
      </c>
      <c r="L1568"/>
      <c r="N1568"/>
      <c r="O1568" s="4">
        <v>2500</v>
      </c>
      <c r="P1568">
        <v>286</v>
      </c>
      <c r="Q1568" s="4">
        <v>715000</v>
      </c>
      <c r="R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0</v>
      </c>
      <c r="AB1568" s="3">
        <v>42562</v>
      </c>
      <c r="AC1568" t="s">
        <v>53</v>
      </c>
      <c r="AD1568" t="s">
        <v>53</v>
      </c>
      <c r="AK1568">
        <v>0</v>
      </c>
      <c r="AU1568" s="3">
        <v>42401</v>
      </c>
      <c r="AV1568" s="3">
        <v>42401</v>
      </c>
      <c r="AW1568" t="s">
        <v>54</v>
      </c>
      <c r="AX1568" t="str">
        <f t="shared" si="209"/>
        <v>FOR</v>
      </c>
      <c r="AY1568" t="s">
        <v>55</v>
      </c>
    </row>
    <row r="1569" spans="1:51" hidden="1">
      <c r="A1569">
        <v>101541</v>
      </c>
      <c r="B1569" t="s">
        <v>254</v>
      </c>
      <c r="C1569" t="str">
        <f t="shared" si="211"/>
        <v>08230471008</v>
      </c>
      <c r="D1569" t="str">
        <f t="shared" si="211"/>
        <v>08230471008</v>
      </c>
      <c r="E1569" t="s">
        <v>52</v>
      </c>
      <c r="F1569">
        <v>2015</v>
      </c>
      <c r="G1569" t="str">
        <f>"                2005"</f>
        <v xml:space="preserve">                2005</v>
      </c>
      <c r="H1569" s="3">
        <v>42055</v>
      </c>
      <c r="I1569" s="3">
        <v>42072</v>
      </c>
      <c r="J1569" s="3">
        <v>42072</v>
      </c>
      <c r="K1569" s="3">
        <v>42132</v>
      </c>
      <c r="L1569"/>
      <c r="N1569"/>
      <c r="O1569">
        <v>250</v>
      </c>
      <c r="P1569">
        <v>269</v>
      </c>
      <c r="Q1569" s="4">
        <v>67250</v>
      </c>
      <c r="R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 s="3">
        <v>42562</v>
      </c>
      <c r="AC1569" t="s">
        <v>53</v>
      </c>
      <c r="AD1569" t="s">
        <v>53</v>
      </c>
      <c r="AK1569">
        <v>0</v>
      </c>
      <c r="AU1569" s="3">
        <v>42401</v>
      </c>
      <c r="AV1569" s="3">
        <v>42401</v>
      </c>
      <c r="AW1569" t="s">
        <v>54</v>
      </c>
      <c r="AX1569" t="str">
        <f t="shared" si="209"/>
        <v>FOR</v>
      </c>
      <c r="AY1569" t="s">
        <v>55</v>
      </c>
    </row>
    <row r="1570" spans="1:51" hidden="1">
      <c r="A1570">
        <v>101541</v>
      </c>
      <c r="B1570" t="s">
        <v>254</v>
      </c>
      <c r="C1570" t="str">
        <f t="shared" si="211"/>
        <v>08230471008</v>
      </c>
      <c r="D1570" t="str">
        <f t="shared" si="211"/>
        <v>08230471008</v>
      </c>
      <c r="E1570" t="s">
        <v>52</v>
      </c>
      <c r="F1570">
        <v>2015</v>
      </c>
      <c r="G1570" t="str">
        <f>"                2006"</f>
        <v xml:space="preserve">                2006</v>
      </c>
      <c r="H1570" s="3">
        <v>42055</v>
      </c>
      <c r="I1570" s="3">
        <v>42072</v>
      </c>
      <c r="J1570" s="3">
        <v>42072</v>
      </c>
      <c r="K1570" s="3">
        <v>42132</v>
      </c>
      <c r="L1570"/>
      <c r="N1570"/>
      <c r="O1570">
        <v>250</v>
      </c>
      <c r="P1570">
        <v>269</v>
      </c>
      <c r="Q1570" s="4">
        <v>67250</v>
      </c>
      <c r="R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 s="3">
        <v>42562</v>
      </c>
      <c r="AC1570" t="s">
        <v>53</v>
      </c>
      <c r="AD1570" t="s">
        <v>53</v>
      </c>
      <c r="AK1570">
        <v>0</v>
      </c>
      <c r="AU1570" s="3">
        <v>42401</v>
      </c>
      <c r="AV1570" s="3">
        <v>42401</v>
      </c>
      <c r="AW1570" t="s">
        <v>54</v>
      </c>
      <c r="AX1570" t="str">
        <f t="shared" si="209"/>
        <v>FOR</v>
      </c>
      <c r="AY1570" t="s">
        <v>55</v>
      </c>
    </row>
    <row r="1571" spans="1:51" hidden="1">
      <c r="A1571">
        <v>101541</v>
      </c>
      <c r="B1571" t="s">
        <v>254</v>
      </c>
      <c r="C1571" t="str">
        <f t="shared" si="211"/>
        <v>08230471008</v>
      </c>
      <c r="D1571" t="str">
        <f t="shared" si="211"/>
        <v>08230471008</v>
      </c>
      <c r="E1571" t="s">
        <v>52</v>
      </c>
      <c r="F1571">
        <v>2015</v>
      </c>
      <c r="G1571" t="str">
        <f>"                2007"</f>
        <v xml:space="preserve">                2007</v>
      </c>
      <c r="H1571" s="3">
        <v>42055</v>
      </c>
      <c r="I1571" s="3">
        <v>42072</v>
      </c>
      <c r="J1571" s="3">
        <v>42072</v>
      </c>
      <c r="K1571" s="3">
        <v>42132</v>
      </c>
      <c r="L1571"/>
      <c r="N1571"/>
      <c r="O1571">
        <v>250</v>
      </c>
      <c r="P1571">
        <v>269</v>
      </c>
      <c r="Q1571" s="4">
        <v>67250</v>
      </c>
      <c r="R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 s="3">
        <v>42562</v>
      </c>
      <c r="AC1571" t="s">
        <v>53</v>
      </c>
      <c r="AD1571" t="s">
        <v>53</v>
      </c>
      <c r="AK1571">
        <v>0</v>
      </c>
      <c r="AU1571" s="3">
        <v>42401</v>
      </c>
      <c r="AV1571" s="3">
        <v>42401</v>
      </c>
      <c r="AW1571" t="s">
        <v>54</v>
      </c>
      <c r="AX1571" t="str">
        <f t="shared" si="209"/>
        <v>FOR</v>
      </c>
      <c r="AY1571" t="s">
        <v>55</v>
      </c>
    </row>
    <row r="1572" spans="1:51" hidden="1">
      <c r="A1572">
        <v>101541</v>
      </c>
      <c r="B1572" t="s">
        <v>254</v>
      </c>
      <c r="C1572" t="str">
        <f t="shared" si="211"/>
        <v>08230471008</v>
      </c>
      <c r="D1572" t="str">
        <f t="shared" si="211"/>
        <v>08230471008</v>
      </c>
      <c r="E1572" t="s">
        <v>52</v>
      </c>
      <c r="F1572">
        <v>2015</v>
      </c>
      <c r="G1572" t="str">
        <f>"                2008"</f>
        <v xml:space="preserve">                2008</v>
      </c>
      <c r="H1572" s="3">
        <v>42055</v>
      </c>
      <c r="I1572" s="3">
        <v>42072</v>
      </c>
      <c r="J1572" s="3">
        <v>42072</v>
      </c>
      <c r="K1572" s="3">
        <v>42132</v>
      </c>
      <c r="L1572"/>
      <c r="N1572"/>
      <c r="O1572">
        <v>250</v>
      </c>
      <c r="P1572">
        <v>269</v>
      </c>
      <c r="Q1572" s="4">
        <v>67250</v>
      </c>
      <c r="R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0</v>
      </c>
      <c r="AB1572" s="3">
        <v>42562</v>
      </c>
      <c r="AC1572" t="s">
        <v>53</v>
      </c>
      <c r="AD1572" t="s">
        <v>53</v>
      </c>
      <c r="AK1572">
        <v>0</v>
      </c>
      <c r="AU1572" s="3">
        <v>42401</v>
      </c>
      <c r="AV1572" s="3">
        <v>42401</v>
      </c>
      <c r="AW1572" t="s">
        <v>54</v>
      </c>
      <c r="AX1572" t="str">
        <f t="shared" si="209"/>
        <v>FOR</v>
      </c>
      <c r="AY1572" t="s">
        <v>55</v>
      </c>
    </row>
    <row r="1573" spans="1:51" hidden="1">
      <c r="A1573">
        <v>101541</v>
      </c>
      <c r="B1573" t="s">
        <v>254</v>
      </c>
      <c r="C1573" t="str">
        <f t="shared" si="211"/>
        <v>08230471008</v>
      </c>
      <c r="D1573" t="str">
        <f t="shared" si="211"/>
        <v>08230471008</v>
      </c>
      <c r="E1573" t="s">
        <v>52</v>
      </c>
      <c r="F1573">
        <v>2015</v>
      </c>
      <c r="G1573" t="str">
        <f>"                2009"</f>
        <v xml:space="preserve">                2009</v>
      </c>
      <c r="H1573" s="3">
        <v>42055</v>
      </c>
      <c r="I1573" s="3">
        <v>42072</v>
      </c>
      <c r="J1573" s="3">
        <v>42072</v>
      </c>
      <c r="K1573" s="3">
        <v>42132</v>
      </c>
      <c r="L1573"/>
      <c r="N1573"/>
      <c r="O1573">
        <v>250</v>
      </c>
      <c r="P1573">
        <v>269</v>
      </c>
      <c r="Q1573" s="4">
        <v>67250</v>
      </c>
      <c r="R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0</v>
      </c>
      <c r="AB1573" s="3">
        <v>42562</v>
      </c>
      <c r="AC1573" t="s">
        <v>53</v>
      </c>
      <c r="AD1573" t="s">
        <v>53</v>
      </c>
      <c r="AK1573">
        <v>0</v>
      </c>
      <c r="AU1573" s="3">
        <v>42401</v>
      </c>
      <c r="AV1573" s="3">
        <v>42401</v>
      </c>
      <c r="AW1573" t="s">
        <v>54</v>
      </c>
      <c r="AX1573" t="str">
        <f t="shared" si="209"/>
        <v>FOR</v>
      </c>
      <c r="AY1573" t="s">
        <v>55</v>
      </c>
    </row>
    <row r="1574" spans="1:51" hidden="1">
      <c r="A1574">
        <v>101541</v>
      </c>
      <c r="B1574" t="s">
        <v>254</v>
      </c>
      <c r="C1574" t="str">
        <f t="shared" si="211"/>
        <v>08230471008</v>
      </c>
      <c r="D1574" t="str">
        <f t="shared" si="211"/>
        <v>08230471008</v>
      </c>
      <c r="E1574" t="s">
        <v>52</v>
      </c>
      <c r="F1574">
        <v>2015</v>
      </c>
      <c r="G1574" t="str">
        <f>"                2010"</f>
        <v xml:space="preserve">                2010</v>
      </c>
      <c r="H1574" s="3">
        <v>42055</v>
      </c>
      <c r="I1574" s="3">
        <v>42072</v>
      </c>
      <c r="J1574" s="3">
        <v>42072</v>
      </c>
      <c r="K1574" s="3">
        <v>42132</v>
      </c>
      <c r="L1574"/>
      <c r="N1574"/>
      <c r="O1574">
        <v>250</v>
      </c>
      <c r="P1574">
        <v>269</v>
      </c>
      <c r="Q1574" s="4">
        <v>67250</v>
      </c>
      <c r="R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0</v>
      </c>
      <c r="AB1574" s="3">
        <v>42562</v>
      </c>
      <c r="AC1574" t="s">
        <v>53</v>
      </c>
      <c r="AD1574" t="s">
        <v>53</v>
      </c>
      <c r="AK1574">
        <v>0</v>
      </c>
      <c r="AU1574" s="3">
        <v>42401</v>
      </c>
      <c r="AV1574" s="3">
        <v>42401</v>
      </c>
      <c r="AW1574" t="s">
        <v>54</v>
      </c>
      <c r="AX1574" t="str">
        <f t="shared" si="209"/>
        <v>FOR</v>
      </c>
      <c r="AY1574" t="s">
        <v>55</v>
      </c>
    </row>
    <row r="1575" spans="1:51" hidden="1">
      <c r="A1575">
        <v>101541</v>
      </c>
      <c r="B1575" t="s">
        <v>254</v>
      </c>
      <c r="C1575" t="str">
        <f t="shared" si="211"/>
        <v>08230471008</v>
      </c>
      <c r="D1575" t="str">
        <f t="shared" si="211"/>
        <v>08230471008</v>
      </c>
      <c r="E1575" t="s">
        <v>52</v>
      </c>
      <c r="F1575">
        <v>2015</v>
      </c>
      <c r="G1575" t="str">
        <f>"                2011"</f>
        <v xml:space="preserve">                2011</v>
      </c>
      <c r="H1575" s="3">
        <v>42055</v>
      </c>
      <c r="I1575" s="3">
        <v>42072</v>
      </c>
      <c r="J1575" s="3">
        <v>42072</v>
      </c>
      <c r="K1575" s="3">
        <v>42132</v>
      </c>
      <c r="L1575"/>
      <c r="N1575"/>
      <c r="O1575">
        <v>250</v>
      </c>
      <c r="P1575">
        <v>269</v>
      </c>
      <c r="Q1575" s="4">
        <v>67250</v>
      </c>
      <c r="R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 s="3">
        <v>42562</v>
      </c>
      <c r="AC1575" t="s">
        <v>53</v>
      </c>
      <c r="AD1575" t="s">
        <v>53</v>
      </c>
      <c r="AK1575">
        <v>0</v>
      </c>
      <c r="AU1575" s="3">
        <v>42401</v>
      </c>
      <c r="AV1575" s="3">
        <v>42401</v>
      </c>
      <c r="AW1575" t="s">
        <v>54</v>
      </c>
      <c r="AX1575" t="str">
        <f t="shared" si="209"/>
        <v>FOR</v>
      </c>
      <c r="AY1575" t="s">
        <v>55</v>
      </c>
    </row>
    <row r="1576" spans="1:51" hidden="1">
      <c r="A1576">
        <v>101541</v>
      </c>
      <c r="B1576" t="s">
        <v>254</v>
      </c>
      <c r="C1576" t="str">
        <f t="shared" si="211"/>
        <v>08230471008</v>
      </c>
      <c r="D1576" t="str">
        <f t="shared" si="211"/>
        <v>08230471008</v>
      </c>
      <c r="E1576" t="s">
        <v>52</v>
      </c>
      <c r="F1576">
        <v>2015</v>
      </c>
      <c r="G1576" t="str">
        <f>"                2012"</f>
        <v xml:space="preserve">                2012</v>
      </c>
      <c r="H1576" s="3">
        <v>42055</v>
      </c>
      <c r="I1576" s="3">
        <v>42072</v>
      </c>
      <c r="J1576" s="3">
        <v>42072</v>
      </c>
      <c r="K1576" s="3">
        <v>42132</v>
      </c>
      <c r="L1576"/>
      <c r="N1576"/>
      <c r="O1576">
        <v>250</v>
      </c>
      <c r="P1576">
        <v>269</v>
      </c>
      <c r="Q1576" s="4">
        <v>67250</v>
      </c>
      <c r="R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 s="3">
        <v>42562</v>
      </c>
      <c r="AC1576" t="s">
        <v>53</v>
      </c>
      <c r="AD1576" t="s">
        <v>53</v>
      </c>
      <c r="AK1576">
        <v>0</v>
      </c>
      <c r="AU1576" s="3">
        <v>42401</v>
      </c>
      <c r="AV1576" s="3">
        <v>42401</v>
      </c>
      <c r="AW1576" t="s">
        <v>54</v>
      </c>
      <c r="AX1576" t="str">
        <f t="shared" si="209"/>
        <v>FOR</v>
      </c>
      <c r="AY1576" t="s">
        <v>55</v>
      </c>
    </row>
    <row r="1577" spans="1:51" hidden="1">
      <c r="A1577">
        <v>101541</v>
      </c>
      <c r="B1577" t="s">
        <v>254</v>
      </c>
      <c r="C1577" t="str">
        <f t="shared" si="211"/>
        <v>08230471008</v>
      </c>
      <c r="D1577" t="str">
        <f t="shared" si="211"/>
        <v>08230471008</v>
      </c>
      <c r="E1577" t="s">
        <v>52</v>
      </c>
      <c r="F1577">
        <v>2015</v>
      </c>
      <c r="G1577" t="str">
        <f>"                2013"</f>
        <v xml:space="preserve">                2013</v>
      </c>
      <c r="H1577" s="3">
        <v>42055</v>
      </c>
      <c r="I1577" s="3">
        <v>42072</v>
      </c>
      <c r="J1577" s="3">
        <v>42072</v>
      </c>
      <c r="K1577" s="3">
        <v>42132</v>
      </c>
      <c r="L1577"/>
      <c r="N1577"/>
      <c r="O1577">
        <v>250</v>
      </c>
      <c r="P1577">
        <v>269</v>
      </c>
      <c r="Q1577" s="4">
        <v>67250</v>
      </c>
      <c r="R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0</v>
      </c>
      <c r="AB1577" s="3">
        <v>42562</v>
      </c>
      <c r="AC1577" t="s">
        <v>53</v>
      </c>
      <c r="AD1577" t="s">
        <v>53</v>
      </c>
      <c r="AK1577">
        <v>0</v>
      </c>
      <c r="AU1577" s="3">
        <v>42401</v>
      </c>
      <c r="AV1577" s="3">
        <v>42401</v>
      </c>
      <c r="AW1577" t="s">
        <v>54</v>
      </c>
      <c r="AX1577" t="str">
        <f t="shared" si="209"/>
        <v>FOR</v>
      </c>
      <c r="AY1577" t="s">
        <v>55</v>
      </c>
    </row>
    <row r="1578" spans="1:51" hidden="1">
      <c r="A1578">
        <v>101541</v>
      </c>
      <c r="B1578" t="s">
        <v>254</v>
      </c>
      <c r="C1578" t="str">
        <f t="shared" ref="C1578:D1597" si="212">"08230471008"</f>
        <v>08230471008</v>
      </c>
      <c r="D1578" t="str">
        <f t="shared" si="212"/>
        <v>08230471008</v>
      </c>
      <c r="E1578" t="s">
        <v>52</v>
      </c>
      <c r="F1578">
        <v>2015</v>
      </c>
      <c r="G1578" t="str">
        <f>"                2014"</f>
        <v xml:space="preserve">                2014</v>
      </c>
      <c r="H1578" s="3">
        <v>42055</v>
      </c>
      <c r="I1578" s="3">
        <v>42072</v>
      </c>
      <c r="J1578" s="3">
        <v>42072</v>
      </c>
      <c r="K1578" s="3">
        <v>42132</v>
      </c>
      <c r="L1578"/>
      <c r="N1578"/>
      <c r="O1578">
        <v>250</v>
      </c>
      <c r="P1578">
        <v>269</v>
      </c>
      <c r="Q1578" s="4">
        <v>67250</v>
      </c>
      <c r="R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 s="3">
        <v>42562</v>
      </c>
      <c r="AC1578" t="s">
        <v>53</v>
      </c>
      <c r="AD1578" t="s">
        <v>53</v>
      </c>
      <c r="AK1578">
        <v>0</v>
      </c>
      <c r="AU1578" s="3">
        <v>42401</v>
      </c>
      <c r="AV1578" s="3">
        <v>42401</v>
      </c>
      <c r="AW1578" t="s">
        <v>54</v>
      </c>
      <c r="AX1578" t="str">
        <f t="shared" si="209"/>
        <v>FOR</v>
      </c>
      <c r="AY1578" t="s">
        <v>55</v>
      </c>
    </row>
    <row r="1579" spans="1:51" hidden="1">
      <c r="A1579">
        <v>101541</v>
      </c>
      <c r="B1579" t="s">
        <v>254</v>
      </c>
      <c r="C1579" t="str">
        <f t="shared" si="212"/>
        <v>08230471008</v>
      </c>
      <c r="D1579" t="str">
        <f t="shared" si="212"/>
        <v>08230471008</v>
      </c>
      <c r="E1579" t="s">
        <v>52</v>
      </c>
      <c r="F1579">
        <v>2015</v>
      </c>
      <c r="G1579" t="str">
        <f>"                2015"</f>
        <v xml:space="preserve">                2015</v>
      </c>
      <c r="H1579" s="3">
        <v>42055</v>
      </c>
      <c r="I1579" s="3">
        <v>42072</v>
      </c>
      <c r="J1579" s="3">
        <v>42072</v>
      </c>
      <c r="K1579" s="3">
        <v>42132</v>
      </c>
      <c r="L1579"/>
      <c r="N1579"/>
      <c r="O1579">
        <v>250</v>
      </c>
      <c r="P1579">
        <v>269</v>
      </c>
      <c r="Q1579" s="4">
        <v>67250</v>
      </c>
      <c r="R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0</v>
      </c>
      <c r="AB1579" s="3">
        <v>42562</v>
      </c>
      <c r="AC1579" t="s">
        <v>53</v>
      </c>
      <c r="AD1579" t="s">
        <v>53</v>
      </c>
      <c r="AK1579">
        <v>0</v>
      </c>
      <c r="AU1579" s="3">
        <v>42401</v>
      </c>
      <c r="AV1579" s="3">
        <v>42401</v>
      </c>
      <c r="AW1579" t="s">
        <v>54</v>
      </c>
      <c r="AX1579" t="str">
        <f t="shared" ref="AX1579:AX1610" si="213">"FOR"</f>
        <v>FOR</v>
      </c>
      <c r="AY1579" t="s">
        <v>55</v>
      </c>
    </row>
    <row r="1580" spans="1:51" hidden="1">
      <c r="A1580">
        <v>101541</v>
      </c>
      <c r="B1580" t="s">
        <v>254</v>
      </c>
      <c r="C1580" t="str">
        <f t="shared" si="212"/>
        <v>08230471008</v>
      </c>
      <c r="D1580" t="str">
        <f t="shared" si="212"/>
        <v>08230471008</v>
      </c>
      <c r="E1580" t="s">
        <v>52</v>
      </c>
      <c r="F1580">
        <v>2015</v>
      </c>
      <c r="G1580" t="str">
        <f>"                2016"</f>
        <v xml:space="preserve">                2016</v>
      </c>
      <c r="H1580" s="3">
        <v>42055</v>
      </c>
      <c r="I1580" s="3">
        <v>42072</v>
      </c>
      <c r="J1580" s="3">
        <v>42072</v>
      </c>
      <c r="K1580" s="3">
        <v>42132</v>
      </c>
      <c r="L1580"/>
      <c r="N1580"/>
      <c r="O1580">
        <v>250</v>
      </c>
      <c r="P1580">
        <v>269</v>
      </c>
      <c r="Q1580" s="4">
        <v>67250</v>
      </c>
      <c r="R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 s="3">
        <v>42562</v>
      </c>
      <c r="AC1580" t="s">
        <v>53</v>
      </c>
      <c r="AD1580" t="s">
        <v>53</v>
      </c>
      <c r="AK1580">
        <v>0</v>
      </c>
      <c r="AU1580" s="3">
        <v>42401</v>
      </c>
      <c r="AV1580" s="3">
        <v>42401</v>
      </c>
      <c r="AW1580" t="s">
        <v>54</v>
      </c>
      <c r="AX1580" t="str">
        <f t="shared" si="213"/>
        <v>FOR</v>
      </c>
      <c r="AY1580" t="s">
        <v>55</v>
      </c>
    </row>
    <row r="1581" spans="1:51" hidden="1">
      <c r="A1581">
        <v>101541</v>
      </c>
      <c r="B1581" t="s">
        <v>254</v>
      </c>
      <c r="C1581" t="str">
        <f t="shared" si="212"/>
        <v>08230471008</v>
      </c>
      <c r="D1581" t="str">
        <f t="shared" si="212"/>
        <v>08230471008</v>
      </c>
      <c r="E1581" t="s">
        <v>52</v>
      </c>
      <c r="F1581">
        <v>2015</v>
      </c>
      <c r="G1581" t="str">
        <f>"                2017"</f>
        <v xml:space="preserve">                2017</v>
      </c>
      <c r="H1581" s="3">
        <v>42055</v>
      </c>
      <c r="I1581" s="3">
        <v>42072</v>
      </c>
      <c r="J1581" s="3">
        <v>42072</v>
      </c>
      <c r="K1581" s="3">
        <v>42132</v>
      </c>
      <c r="L1581"/>
      <c r="N1581"/>
      <c r="O1581">
        <v>250</v>
      </c>
      <c r="P1581">
        <v>269</v>
      </c>
      <c r="Q1581" s="4">
        <v>67250</v>
      </c>
      <c r="R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 s="3">
        <v>42562</v>
      </c>
      <c r="AC1581" t="s">
        <v>53</v>
      </c>
      <c r="AD1581" t="s">
        <v>53</v>
      </c>
      <c r="AK1581">
        <v>0</v>
      </c>
      <c r="AU1581" s="3">
        <v>42401</v>
      </c>
      <c r="AV1581" s="3">
        <v>42401</v>
      </c>
      <c r="AW1581" t="s">
        <v>54</v>
      </c>
      <c r="AX1581" t="str">
        <f t="shared" si="213"/>
        <v>FOR</v>
      </c>
      <c r="AY1581" t="s">
        <v>55</v>
      </c>
    </row>
    <row r="1582" spans="1:51" hidden="1">
      <c r="A1582">
        <v>101541</v>
      </c>
      <c r="B1582" t="s">
        <v>254</v>
      </c>
      <c r="C1582" t="str">
        <f t="shared" si="212"/>
        <v>08230471008</v>
      </c>
      <c r="D1582" t="str">
        <f t="shared" si="212"/>
        <v>08230471008</v>
      </c>
      <c r="E1582" t="s">
        <v>52</v>
      </c>
      <c r="F1582">
        <v>2015</v>
      </c>
      <c r="G1582" t="str">
        <f>"                2018"</f>
        <v xml:space="preserve">                2018</v>
      </c>
      <c r="H1582" s="3">
        <v>42055</v>
      </c>
      <c r="I1582" s="3">
        <v>42072</v>
      </c>
      <c r="J1582" s="3">
        <v>42072</v>
      </c>
      <c r="K1582" s="3">
        <v>42132</v>
      </c>
      <c r="L1582"/>
      <c r="N1582"/>
      <c r="O1582">
        <v>250</v>
      </c>
      <c r="P1582">
        <v>269</v>
      </c>
      <c r="Q1582" s="4">
        <v>67250</v>
      </c>
      <c r="R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 s="3">
        <v>42562</v>
      </c>
      <c r="AC1582" t="s">
        <v>53</v>
      </c>
      <c r="AD1582" t="s">
        <v>53</v>
      </c>
      <c r="AK1582">
        <v>0</v>
      </c>
      <c r="AU1582" s="3">
        <v>42401</v>
      </c>
      <c r="AV1582" s="3">
        <v>42401</v>
      </c>
      <c r="AW1582" t="s">
        <v>54</v>
      </c>
      <c r="AX1582" t="str">
        <f t="shared" si="213"/>
        <v>FOR</v>
      </c>
      <c r="AY1582" t="s">
        <v>55</v>
      </c>
    </row>
    <row r="1583" spans="1:51" hidden="1">
      <c r="A1583">
        <v>101541</v>
      </c>
      <c r="B1583" t="s">
        <v>254</v>
      </c>
      <c r="C1583" t="str">
        <f t="shared" si="212"/>
        <v>08230471008</v>
      </c>
      <c r="D1583" t="str">
        <f t="shared" si="212"/>
        <v>08230471008</v>
      </c>
      <c r="E1583" t="s">
        <v>52</v>
      </c>
      <c r="F1583">
        <v>2015</v>
      </c>
      <c r="G1583" t="str">
        <f>"                2019"</f>
        <v xml:space="preserve">                2019</v>
      </c>
      <c r="H1583" s="3">
        <v>42055</v>
      </c>
      <c r="I1583" s="3">
        <v>42072</v>
      </c>
      <c r="J1583" s="3">
        <v>42072</v>
      </c>
      <c r="K1583" s="3">
        <v>42132</v>
      </c>
      <c r="L1583"/>
      <c r="N1583"/>
      <c r="O1583">
        <v>250</v>
      </c>
      <c r="P1583">
        <v>269</v>
      </c>
      <c r="Q1583" s="4">
        <v>67250</v>
      </c>
      <c r="R1583">
        <v>0</v>
      </c>
      <c r="V1583">
        <v>0</v>
      </c>
      <c r="W1583">
        <v>0</v>
      </c>
      <c r="X1583">
        <v>0</v>
      </c>
      <c r="Y1583">
        <v>0</v>
      </c>
      <c r="Z1583">
        <v>0</v>
      </c>
      <c r="AA1583">
        <v>0</v>
      </c>
      <c r="AB1583" s="3">
        <v>42562</v>
      </c>
      <c r="AC1583" t="s">
        <v>53</v>
      </c>
      <c r="AD1583" t="s">
        <v>53</v>
      </c>
      <c r="AK1583">
        <v>0</v>
      </c>
      <c r="AU1583" s="3">
        <v>42401</v>
      </c>
      <c r="AV1583" s="3">
        <v>42401</v>
      </c>
      <c r="AW1583" t="s">
        <v>54</v>
      </c>
      <c r="AX1583" t="str">
        <f t="shared" si="213"/>
        <v>FOR</v>
      </c>
      <c r="AY1583" t="s">
        <v>55</v>
      </c>
    </row>
    <row r="1584" spans="1:51" hidden="1">
      <c r="A1584">
        <v>101541</v>
      </c>
      <c r="B1584" t="s">
        <v>254</v>
      </c>
      <c r="C1584" t="str">
        <f t="shared" si="212"/>
        <v>08230471008</v>
      </c>
      <c r="D1584" t="str">
        <f t="shared" si="212"/>
        <v>08230471008</v>
      </c>
      <c r="E1584" t="s">
        <v>52</v>
      </c>
      <c r="F1584">
        <v>2015</v>
      </c>
      <c r="G1584" t="str">
        <f>"                2020"</f>
        <v xml:space="preserve">                2020</v>
      </c>
      <c r="H1584" s="3">
        <v>42055</v>
      </c>
      <c r="I1584" s="3">
        <v>42072</v>
      </c>
      <c r="J1584" s="3">
        <v>42072</v>
      </c>
      <c r="K1584" s="3">
        <v>42132</v>
      </c>
      <c r="L1584"/>
      <c r="N1584"/>
      <c r="O1584">
        <v>250</v>
      </c>
      <c r="P1584">
        <v>269</v>
      </c>
      <c r="Q1584" s="4">
        <v>67250</v>
      </c>
      <c r="R1584">
        <v>0</v>
      </c>
      <c r="V1584">
        <v>0</v>
      </c>
      <c r="W1584">
        <v>0</v>
      </c>
      <c r="X1584">
        <v>0</v>
      </c>
      <c r="Y1584">
        <v>0</v>
      </c>
      <c r="Z1584">
        <v>0</v>
      </c>
      <c r="AA1584">
        <v>0</v>
      </c>
      <c r="AB1584" s="3">
        <v>42562</v>
      </c>
      <c r="AC1584" t="s">
        <v>53</v>
      </c>
      <c r="AD1584" t="s">
        <v>53</v>
      </c>
      <c r="AK1584">
        <v>0</v>
      </c>
      <c r="AU1584" s="3">
        <v>42401</v>
      </c>
      <c r="AV1584" s="3">
        <v>42401</v>
      </c>
      <c r="AW1584" t="s">
        <v>54</v>
      </c>
      <c r="AX1584" t="str">
        <f t="shared" si="213"/>
        <v>FOR</v>
      </c>
      <c r="AY1584" t="s">
        <v>55</v>
      </c>
    </row>
    <row r="1585" spans="1:51" hidden="1">
      <c r="A1585">
        <v>101541</v>
      </c>
      <c r="B1585" t="s">
        <v>254</v>
      </c>
      <c r="C1585" t="str">
        <f t="shared" si="212"/>
        <v>08230471008</v>
      </c>
      <c r="D1585" t="str">
        <f t="shared" si="212"/>
        <v>08230471008</v>
      </c>
      <c r="E1585" t="s">
        <v>52</v>
      </c>
      <c r="F1585">
        <v>2015</v>
      </c>
      <c r="G1585" t="str">
        <f>"                2021"</f>
        <v xml:space="preserve">                2021</v>
      </c>
      <c r="H1585" s="3">
        <v>42055</v>
      </c>
      <c r="I1585" s="3">
        <v>42072</v>
      </c>
      <c r="J1585" s="3">
        <v>42072</v>
      </c>
      <c r="K1585" s="3">
        <v>42132</v>
      </c>
      <c r="L1585"/>
      <c r="N1585"/>
      <c r="O1585">
        <v>250</v>
      </c>
      <c r="P1585">
        <v>269</v>
      </c>
      <c r="Q1585" s="4">
        <v>67250</v>
      </c>
      <c r="R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 s="3">
        <v>42562</v>
      </c>
      <c r="AC1585" t="s">
        <v>53</v>
      </c>
      <c r="AD1585" t="s">
        <v>53</v>
      </c>
      <c r="AK1585">
        <v>0</v>
      </c>
      <c r="AU1585" s="3">
        <v>42401</v>
      </c>
      <c r="AV1585" s="3">
        <v>42401</v>
      </c>
      <c r="AW1585" t="s">
        <v>54</v>
      </c>
      <c r="AX1585" t="str">
        <f t="shared" si="213"/>
        <v>FOR</v>
      </c>
      <c r="AY1585" t="s">
        <v>55</v>
      </c>
    </row>
    <row r="1586" spans="1:51" hidden="1">
      <c r="A1586">
        <v>101541</v>
      </c>
      <c r="B1586" t="s">
        <v>254</v>
      </c>
      <c r="C1586" t="str">
        <f t="shared" si="212"/>
        <v>08230471008</v>
      </c>
      <c r="D1586" t="str">
        <f t="shared" si="212"/>
        <v>08230471008</v>
      </c>
      <c r="E1586" t="s">
        <v>52</v>
      </c>
      <c r="F1586">
        <v>2015</v>
      </c>
      <c r="G1586" t="str">
        <f>"                2022"</f>
        <v xml:space="preserve">                2022</v>
      </c>
      <c r="H1586" s="3">
        <v>42055</v>
      </c>
      <c r="I1586" s="3">
        <v>42072</v>
      </c>
      <c r="J1586" s="3">
        <v>42072</v>
      </c>
      <c r="K1586" s="3">
        <v>42132</v>
      </c>
      <c r="L1586"/>
      <c r="N1586"/>
      <c r="O1586">
        <v>250</v>
      </c>
      <c r="P1586">
        <v>269</v>
      </c>
      <c r="Q1586" s="4">
        <v>67250</v>
      </c>
      <c r="R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 s="3">
        <v>42562</v>
      </c>
      <c r="AC1586" t="s">
        <v>53</v>
      </c>
      <c r="AD1586" t="s">
        <v>53</v>
      </c>
      <c r="AK1586">
        <v>0</v>
      </c>
      <c r="AU1586" s="3">
        <v>42401</v>
      </c>
      <c r="AV1586" s="3">
        <v>42401</v>
      </c>
      <c r="AW1586" t="s">
        <v>54</v>
      </c>
      <c r="AX1586" t="str">
        <f t="shared" si="213"/>
        <v>FOR</v>
      </c>
      <c r="AY1586" t="s">
        <v>55</v>
      </c>
    </row>
    <row r="1587" spans="1:51" hidden="1">
      <c r="A1587">
        <v>101541</v>
      </c>
      <c r="B1587" t="s">
        <v>254</v>
      </c>
      <c r="C1587" t="str">
        <f t="shared" si="212"/>
        <v>08230471008</v>
      </c>
      <c r="D1587" t="str">
        <f t="shared" si="212"/>
        <v>08230471008</v>
      </c>
      <c r="E1587" t="s">
        <v>52</v>
      </c>
      <c r="F1587">
        <v>2015</v>
      </c>
      <c r="G1587" t="str">
        <f>"                2023"</f>
        <v xml:space="preserve">                2023</v>
      </c>
      <c r="H1587" s="3">
        <v>42055</v>
      </c>
      <c r="I1587" s="3">
        <v>42072</v>
      </c>
      <c r="J1587" s="3">
        <v>42072</v>
      </c>
      <c r="K1587" s="3">
        <v>42132</v>
      </c>
      <c r="L1587"/>
      <c r="N1587"/>
      <c r="O1587">
        <v>250</v>
      </c>
      <c r="P1587">
        <v>269</v>
      </c>
      <c r="Q1587" s="4">
        <v>67250</v>
      </c>
      <c r="R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 s="3">
        <v>42562</v>
      </c>
      <c r="AC1587" t="s">
        <v>53</v>
      </c>
      <c r="AD1587" t="s">
        <v>53</v>
      </c>
      <c r="AK1587">
        <v>0</v>
      </c>
      <c r="AU1587" s="3">
        <v>42401</v>
      </c>
      <c r="AV1587" s="3">
        <v>42401</v>
      </c>
      <c r="AW1587" t="s">
        <v>54</v>
      </c>
      <c r="AX1587" t="str">
        <f t="shared" si="213"/>
        <v>FOR</v>
      </c>
      <c r="AY1587" t="s">
        <v>55</v>
      </c>
    </row>
    <row r="1588" spans="1:51" hidden="1">
      <c r="A1588">
        <v>101541</v>
      </c>
      <c r="B1588" t="s">
        <v>254</v>
      </c>
      <c r="C1588" t="str">
        <f t="shared" si="212"/>
        <v>08230471008</v>
      </c>
      <c r="D1588" t="str">
        <f t="shared" si="212"/>
        <v>08230471008</v>
      </c>
      <c r="E1588" t="s">
        <v>52</v>
      </c>
      <c r="F1588">
        <v>2015</v>
      </c>
      <c r="G1588" t="str">
        <f>"                2024"</f>
        <v xml:space="preserve">                2024</v>
      </c>
      <c r="H1588" s="3">
        <v>42055</v>
      </c>
      <c r="I1588" s="3">
        <v>42072</v>
      </c>
      <c r="J1588" s="3">
        <v>42072</v>
      </c>
      <c r="K1588" s="3">
        <v>42132</v>
      </c>
      <c r="L1588"/>
      <c r="N1588"/>
      <c r="O1588">
        <v>250</v>
      </c>
      <c r="P1588">
        <v>269</v>
      </c>
      <c r="Q1588" s="4">
        <v>67250</v>
      </c>
      <c r="R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0</v>
      </c>
      <c r="AB1588" s="3">
        <v>42562</v>
      </c>
      <c r="AC1588" t="s">
        <v>53</v>
      </c>
      <c r="AD1588" t="s">
        <v>53</v>
      </c>
      <c r="AK1588">
        <v>0</v>
      </c>
      <c r="AU1588" s="3">
        <v>42401</v>
      </c>
      <c r="AV1588" s="3">
        <v>42401</v>
      </c>
      <c r="AW1588" t="s">
        <v>54</v>
      </c>
      <c r="AX1588" t="str">
        <f t="shared" si="213"/>
        <v>FOR</v>
      </c>
      <c r="AY1588" t="s">
        <v>55</v>
      </c>
    </row>
    <row r="1589" spans="1:51" hidden="1">
      <c r="A1589">
        <v>101541</v>
      </c>
      <c r="B1589" t="s">
        <v>254</v>
      </c>
      <c r="C1589" t="str">
        <f t="shared" si="212"/>
        <v>08230471008</v>
      </c>
      <c r="D1589" t="str">
        <f t="shared" si="212"/>
        <v>08230471008</v>
      </c>
      <c r="E1589" t="s">
        <v>52</v>
      </c>
      <c r="F1589">
        <v>2015</v>
      </c>
      <c r="G1589" t="str">
        <f>"                2025"</f>
        <v xml:space="preserve">                2025</v>
      </c>
      <c r="H1589" s="3">
        <v>42055</v>
      </c>
      <c r="I1589" s="3">
        <v>42072</v>
      </c>
      <c r="J1589" s="3">
        <v>42072</v>
      </c>
      <c r="K1589" s="3">
        <v>42132</v>
      </c>
      <c r="L1589"/>
      <c r="N1589"/>
      <c r="O1589" s="4">
        <v>1300</v>
      </c>
      <c r="P1589">
        <v>269</v>
      </c>
      <c r="Q1589" s="4">
        <v>349700</v>
      </c>
      <c r="R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0</v>
      </c>
      <c r="AB1589" s="3">
        <v>42562</v>
      </c>
      <c r="AC1589" t="s">
        <v>53</v>
      </c>
      <c r="AD1589" t="s">
        <v>53</v>
      </c>
      <c r="AK1589">
        <v>0</v>
      </c>
      <c r="AU1589" s="3">
        <v>42401</v>
      </c>
      <c r="AV1589" s="3">
        <v>42401</v>
      </c>
      <c r="AW1589" t="s">
        <v>54</v>
      </c>
      <c r="AX1589" t="str">
        <f t="shared" si="213"/>
        <v>FOR</v>
      </c>
      <c r="AY1589" t="s">
        <v>55</v>
      </c>
    </row>
    <row r="1590" spans="1:51" hidden="1">
      <c r="A1590">
        <v>101541</v>
      </c>
      <c r="B1590" t="s">
        <v>254</v>
      </c>
      <c r="C1590" t="str">
        <f t="shared" si="212"/>
        <v>08230471008</v>
      </c>
      <c r="D1590" t="str">
        <f t="shared" si="212"/>
        <v>08230471008</v>
      </c>
      <c r="E1590" t="s">
        <v>52</v>
      </c>
      <c r="F1590">
        <v>2015</v>
      </c>
      <c r="G1590" t="str">
        <f>"                2554"</f>
        <v xml:space="preserve">                2554</v>
      </c>
      <c r="H1590" s="3">
        <v>42062</v>
      </c>
      <c r="I1590" s="3">
        <v>42074</v>
      </c>
      <c r="J1590" s="3">
        <v>42074</v>
      </c>
      <c r="K1590" s="3">
        <v>42134</v>
      </c>
      <c r="L1590"/>
      <c r="N1590"/>
      <c r="O1590">
        <v>250</v>
      </c>
      <c r="P1590">
        <v>267</v>
      </c>
      <c r="Q1590" s="4">
        <v>66750</v>
      </c>
      <c r="R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 s="3">
        <v>42562</v>
      </c>
      <c r="AC1590" t="s">
        <v>53</v>
      </c>
      <c r="AD1590" t="s">
        <v>53</v>
      </c>
      <c r="AK1590">
        <v>0</v>
      </c>
      <c r="AU1590" s="3">
        <v>42401</v>
      </c>
      <c r="AV1590" s="3">
        <v>42401</v>
      </c>
      <c r="AW1590" t="s">
        <v>54</v>
      </c>
      <c r="AX1590" t="str">
        <f t="shared" si="213"/>
        <v>FOR</v>
      </c>
      <c r="AY1590" t="s">
        <v>55</v>
      </c>
    </row>
    <row r="1591" spans="1:51" hidden="1">
      <c r="A1591">
        <v>101541</v>
      </c>
      <c r="B1591" t="s">
        <v>254</v>
      </c>
      <c r="C1591" t="str">
        <f t="shared" si="212"/>
        <v>08230471008</v>
      </c>
      <c r="D1591" t="str">
        <f t="shared" si="212"/>
        <v>08230471008</v>
      </c>
      <c r="E1591" t="s">
        <v>52</v>
      </c>
      <c r="F1591">
        <v>2015</v>
      </c>
      <c r="G1591" t="str">
        <f>"                2555"</f>
        <v xml:space="preserve">                2555</v>
      </c>
      <c r="H1591" s="3">
        <v>42062</v>
      </c>
      <c r="I1591" s="3">
        <v>42074</v>
      </c>
      <c r="J1591" s="3">
        <v>42074</v>
      </c>
      <c r="K1591" s="3">
        <v>42134</v>
      </c>
      <c r="L1591"/>
      <c r="N1591"/>
      <c r="O1591">
        <v>250</v>
      </c>
      <c r="P1591">
        <v>267</v>
      </c>
      <c r="Q1591" s="4">
        <v>66750</v>
      </c>
      <c r="R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0</v>
      </c>
      <c r="AB1591" s="3">
        <v>42562</v>
      </c>
      <c r="AC1591" t="s">
        <v>53</v>
      </c>
      <c r="AD1591" t="s">
        <v>53</v>
      </c>
      <c r="AK1591">
        <v>0</v>
      </c>
      <c r="AU1591" s="3">
        <v>42401</v>
      </c>
      <c r="AV1591" s="3">
        <v>42401</v>
      </c>
      <c r="AW1591" t="s">
        <v>54</v>
      </c>
      <c r="AX1591" t="str">
        <f t="shared" si="213"/>
        <v>FOR</v>
      </c>
      <c r="AY1591" t="s">
        <v>55</v>
      </c>
    </row>
    <row r="1592" spans="1:51" hidden="1">
      <c r="A1592">
        <v>101541</v>
      </c>
      <c r="B1592" t="s">
        <v>254</v>
      </c>
      <c r="C1592" t="str">
        <f t="shared" si="212"/>
        <v>08230471008</v>
      </c>
      <c r="D1592" t="str">
        <f t="shared" si="212"/>
        <v>08230471008</v>
      </c>
      <c r="E1592" t="s">
        <v>52</v>
      </c>
      <c r="F1592">
        <v>2015</v>
      </c>
      <c r="G1592" t="str">
        <f>"                2556"</f>
        <v xml:space="preserve">                2556</v>
      </c>
      <c r="H1592" s="3">
        <v>42062</v>
      </c>
      <c r="I1592" s="3">
        <v>42080</v>
      </c>
      <c r="J1592" s="3">
        <v>42080</v>
      </c>
      <c r="K1592" s="3">
        <v>42140</v>
      </c>
      <c r="L1592"/>
      <c r="N1592"/>
      <c r="O1592">
        <v>250</v>
      </c>
      <c r="P1592">
        <v>261</v>
      </c>
      <c r="Q1592" s="4">
        <v>65250</v>
      </c>
      <c r="R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0</v>
      </c>
      <c r="AB1592" s="3">
        <v>42562</v>
      </c>
      <c r="AC1592" t="s">
        <v>53</v>
      </c>
      <c r="AD1592" t="s">
        <v>53</v>
      </c>
      <c r="AK1592">
        <v>0</v>
      </c>
      <c r="AU1592" s="3">
        <v>42401</v>
      </c>
      <c r="AV1592" s="3">
        <v>42401</v>
      </c>
      <c r="AW1592" t="s">
        <v>54</v>
      </c>
      <c r="AX1592" t="str">
        <f t="shared" si="213"/>
        <v>FOR</v>
      </c>
      <c r="AY1592" t="s">
        <v>55</v>
      </c>
    </row>
    <row r="1593" spans="1:51" hidden="1">
      <c r="A1593">
        <v>101541</v>
      </c>
      <c r="B1593" t="s">
        <v>254</v>
      </c>
      <c r="C1593" t="str">
        <f t="shared" si="212"/>
        <v>08230471008</v>
      </c>
      <c r="D1593" t="str">
        <f t="shared" si="212"/>
        <v>08230471008</v>
      </c>
      <c r="E1593" t="s">
        <v>52</v>
      </c>
      <c r="F1593">
        <v>2015</v>
      </c>
      <c r="G1593" t="str">
        <f>"                3115"</f>
        <v xml:space="preserve">                3115</v>
      </c>
      <c r="H1593" s="3">
        <v>42069</v>
      </c>
      <c r="I1593" s="3">
        <v>42080</v>
      </c>
      <c r="J1593" s="3">
        <v>42080</v>
      </c>
      <c r="K1593" s="3">
        <v>42140</v>
      </c>
      <c r="L1593"/>
      <c r="N1593"/>
      <c r="O1593">
        <v>250</v>
      </c>
      <c r="P1593">
        <v>276</v>
      </c>
      <c r="Q1593" s="4">
        <v>69000</v>
      </c>
      <c r="R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 s="3">
        <v>42562</v>
      </c>
      <c r="AC1593" t="s">
        <v>53</v>
      </c>
      <c r="AD1593" t="s">
        <v>53</v>
      </c>
      <c r="AK1593">
        <v>0</v>
      </c>
      <c r="AU1593" s="3">
        <v>42416</v>
      </c>
      <c r="AV1593" s="3">
        <v>42416</v>
      </c>
      <c r="AW1593" t="s">
        <v>54</v>
      </c>
      <c r="AX1593" t="str">
        <f t="shared" si="213"/>
        <v>FOR</v>
      </c>
      <c r="AY1593" t="s">
        <v>55</v>
      </c>
    </row>
    <row r="1594" spans="1:51" hidden="1">
      <c r="A1594">
        <v>101541</v>
      </c>
      <c r="B1594" t="s">
        <v>254</v>
      </c>
      <c r="C1594" t="str">
        <f t="shared" si="212"/>
        <v>08230471008</v>
      </c>
      <c r="D1594" t="str">
        <f t="shared" si="212"/>
        <v>08230471008</v>
      </c>
      <c r="E1594" t="s">
        <v>52</v>
      </c>
      <c r="F1594">
        <v>2015</v>
      </c>
      <c r="G1594" t="str">
        <f>"                3116"</f>
        <v xml:space="preserve">                3116</v>
      </c>
      <c r="H1594" s="3">
        <v>42069</v>
      </c>
      <c r="I1594" s="3">
        <v>42080</v>
      </c>
      <c r="J1594" s="3">
        <v>42080</v>
      </c>
      <c r="K1594" s="3">
        <v>42140</v>
      </c>
      <c r="L1594"/>
      <c r="N1594"/>
      <c r="O1594">
        <v>250</v>
      </c>
      <c r="P1594">
        <v>276</v>
      </c>
      <c r="Q1594" s="4">
        <v>69000</v>
      </c>
      <c r="R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 s="3">
        <v>42562</v>
      </c>
      <c r="AC1594" t="s">
        <v>53</v>
      </c>
      <c r="AD1594" t="s">
        <v>53</v>
      </c>
      <c r="AK1594">
        <v>0</v>
      </c>
      <c r="AU1594" s="3">
        <v>42416</v>
      </c>
      <c r="AV1594" s="3">
        <v>42416</v>
      </c>
      <c r="AW1594" t="s">
        <v>54</v>
      </c>
      <c r="AX1594" t="str">
        <f t="shared" si="213"/>
        <v>FOR</v>
      </c>
      <c r="AY1594" t="s">
        <v>55</v>
      </c>
    </row>
    <row r="1595" spans="1:51" hidden="1">
      <c r="A1595">
        <v>101541</v>
      </c>
      <c r="B1595" t="s">
        <v>254</v>
      </c>
      <c r="C1595" t="str">
        <f t="shared" si="212"/>
        <v>08230471008</v>
      </c>
      <c r="D1595" t="str">
        <f t="shared" si="212"/>
        <v>08230471008</v>
      </c>
      <c r="E1595" t="s">
        <v>52</v>
      </c>
      <c r="F1595">
        <v>2015</v>
      </c>
      <c r="G1595" t="str">
        <f>"                3117"</f>
        <v xml:space="preserve">                3117</v>
      </c>
      <c r="H1595" s="3">
        <v>42069</v>
      </c>
      <c r="I1595" s="3">
        <v>42080</v>
      </c>
      <c r="J1595" s="3">
        <v>42080</v>
      </c>
      <c r="K1595" s="3">
        <v>42140</v>
      </c>
      <c r="L1595"/>
      <c r="N1595"/>
      <c r="O1595">
        <v>250</v>
      </c>
      <c r="P1595">
        <v>276</v>
      </c>
      <c r="Q1595" s="4">
        <v>69000</v>
      </c>
      <c r="R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 s="3">
        <v>42562</v>
      </c>
      <c r="AC1595" t="s">
        <v>53</v>
      </c>
      <c r="AD1595" t="s">
        <v>53</v>
      </c>
      <c r="AK1595">
        <v>0</v>
      </c>
      <c r="AU1595" s="3">
        <v>42416</v>
      </c>
      <c r="AV1595" s="3">
        <v>42416</v>
      </c>
      <c r="AW1595" t="s">
        <v>54</v>
      </c>
      <c r="AX1595" t="str">
        <f t="shared" si="213"/>
        <v>FOR</v>
      </c>
      <c r="AY1595" t="s">
        <v>55</v>
      </c>
    </row>
    <row r="1596" spans="1:51" hidden="1">
      <c r="A1596">
        <v>101541</v>
      </c>
      <c r="B1596" t="s">
        <v>254</v>
      </c>
      <c r="C1596" t="str">
        <f t="shared" si="212"/>
        <v>08230471008</v>
      </c>
      <c r="D1596" t="str">
        <f t="shared" si="212"/>
        <v>08230471008</v>
      </c>
      <c r="E1596" t="s">
        <v>52</v>
      </c>
      <c r="F1596">
        <v>2015</v>
      </c>
      <c r="G1596" t="str">
        <f>"                3296"</f>
        <v xml:space="preserve">                3296</v>
      </c>
      <c r="H1596" s="3">
        <v>42076</v>
      </c>
      <c r="I1596" s="3">
        <v>42086</v>
      </c>
      <c r="J1596" s="3">
        <v>42086</v>
      </c>
      <c r="K1596" s="3">
        <v>42146</v>
      </c>
      <c r="L1596"/>
      <c r="N1596"/>
      <c r="O1596">
        <v>250</v>
      </c>
      <c r="P1596">
        <v>270</v>
      </c>
      <c r="Q1596" s="4">
        <v>67500</v>
      </c>
      <c r="R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 s="3">
        <v>42562</v>
      </c>
      <c r="AC1596" t="s">
        <v>53</v>
      </c>
      <c r="AD1596" t="s">
        <v>53</v>
      </c>
      <c r="AK1596">
        <v>0</v>
      </c>
      <c r="AU1596" s="3">
        <v>42416</v>
      </c>
      <c r="AV1596" s="3">
        <v>42416</v>
      </c>
      <c r="AW1596" t="s">
        <v>54</v>
      </c>
      <c r="AX1596" t="str">
        <f t="shared" si="213"/>
        <v>FOR</v>
      </c>
      <c r="AY1596" t="s">
        <v>55</v>
      </c>
    </row>
    <row r="1597" spans="1:51" hidden="1">
      <c r="A1597">
        <v>101541</v>
      </c>
      <c r="B1597" t="s">
        <v>254</v>
      </c>
      <c r="C1597" t="str">
        <f t="shared" si="212"/>
        <v>08230471008</v>
      </c>
      <c r="D1597" t="str">
        <f t="shared" si="212"/>
        <v>08230471008</v>
      </c>
      <c r="E1597" t="s">
        <v>52</v>
      </c>
      <c r="F1597">
        <v>2015</v>
      </c>
      <c r="G1597" t="str">
        <f>"                3297"</f>
        <v xml:space="preserve">                3297</v>
      </c>
      <c r="H1597" s="3">
        <v>42076</v>
      </c>
      <c r="I1597" s="3">
        <v>42086</v>
      </c>
      <c r="J1597" s="3">
        <v>42086</v>
      </c>
      <c r="K1597" s="3">
        <v>42146</v>
      </c>
      <c r="L1597"/>
      <c r="N1597"/>
      <c r="O1597">
        <v>250</v>
      </c>
      <c r="P1597">
        <v>270</v>
      </c>
      <c r="Q1597" s="4">
        <v>67500</v>
      </c>
      <c r="R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 s="3">
        <v>42562</v>
      </c>
      <c r="AC1597" t="s">
        <v>53</v>
      </c>
      <c r="AD1597" t="s">
        <v>53</v>
      </c>
      <c r="AK1597">
        <v>0</v>
      </c>
      <c r="AU1597" s="3">
        <v>42416</v>
      </c>
      <c r="AV1597" s="3">
        <v>42416</v>
      </c>
      <c r="AW1597" t="s">
        <v>54</v>
      </c>
      <c r="AX1597" t="str">
        <f t="shared" si="213"/>
        <v>FOR</v>
      </c>
      <c r="AY1597" t="s">
        <v>55</v>
      </c>
    </row>
    <row r="1598" spans="1:51" hidden="1">
      <c r="A1598">
        <v>101541</v>
      </c>
      <c r="B1598" t="s">
        <v>254</v>
      </c>
      <c r="C1598" t="str">
        <f t="shared" ref="C1598:D1617" si="214">"08230471008"</f>
        <v>08230471008</v>
      </c>
      <c r="D1598" t="str">
        <f t="shared" si="214"/>
        <v>08230471008</v>
      </c>
      <c r="E1598" t="s">
        <v>52</v>
      </c>
      <c r="F1598">
        <v>2015</v>
      </c>
      <c r="G1598" t="str">
        <f>"                3298"</f>
        <v xml:space="preserve">                3298</v>
      </c>
      <c r="H1598" s="3">
        <v>42076</v>
      </c>
      <c r="I1598" s="3">
        <v>42086</v>
      </c>
      <c r="J1598" s="3">
        <v>42086</v>
      </c>
      <c r="K1598" s="3">
        <v>42146</v>
      </c>
      <c r="L1598"/>
      <c r="N1598"/>
      <c r="O1598">
        <v>700</v>
      </c>
      <c r="P1598">
        <v>270</v>
      </c>
      <c r="Q1598" s="4">
        <v>189000</v>
      </c>
      <c r="R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 s="3">
        <v>42562</v>
      </c>
      <c r="AC1598" t="s">
        <v>53</v>
      </c>
      <c r="AD1598" t="s">
        <v>53</v>
      </c>
      <c r="AK1598">
        <v>0</v>
      </c>
      <c r="AU1598" s="3">
        <v>42416</v>
      </c>
      <c r="AV1598" s="3">
        <v>42416</v>
      </c>
      <c r="AW1598" t="s">
        <v>54</v>
      </c>
      <c r="AX1598" t="str">
        <f t="shared" si="213"/>
        <v>FOR</v>
      </c>
      <c r="AY1598" t="s">
        <v>55</v>
      </c>
    </row>
    <row r="1599" spans="1:51" hidden="1">
      <c r="A1599">
        <v>101541</v>
      </c>
      <c r="B1599" t="s">
        <v>254</v>
      </c>
      <c r="C1599" t="str">
        <f t="shared" si="214"/>
        <v>08230471008</v>
      </c>
      <c r="D1599" t="str">
        <f t="shared" si="214"/>
        <v>08230471008</v>
      </c>
      <c r="E1599" t="s">
        <v>52</v>
      </c>
      <c r="F1599">
        <v>2015</v>
      </c>
      <c r="G1599" t="str">
        <f>"                3299"</f>
        <v xml:space="preserve">                3299</v>
      </c>
      <c r="H1599" s="3">
        <v>42076</v>
      </c>
      <c r="I1599" s="3">
        <v>42086</v>
      </c>
      <c r="J1599" s="3">
        <v>42086</v>
      </c>
      <c r="K1599" s="3">
        <v>42146</v>
      </c>
      <c r="L1599"/>
      <c r="N1599"/>
      <c r="O1599">
        <v>700</v>
      </c>
      <c r="P1599">
        <v>270</v>
      </c>
      <c r="Q1599" s="4">
        <v>189000</v>
      </c>
      <c r="R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 s="3">
        <v>42562</v>
      </c>
      <c r="AC1599" t="s">
        <v>53</v>
      </c>
      <c r="AD1599" t="s">
        <v>53</v>
      </c>
      <c r="AK1599">
        <v>0</v>
      </c>
      <c r="AU1599" s="3">
        <v>42416</v>
      </c>
      <c r="AV1599" s="3">
        <v>42416</v>
      </c>
      <c r="AW1599" t="s">
        <v>54</v>
      </c>
      <c r="AX1599" t="str">
        <f t="shared" si="213"/>
        <v>FOR</v>
      </c>
      <c r="AY1599" t="s">
        <v>55</v>
      </c>
    </row>
    <row r="1600" spans="1:51" hidden="1">
      <c r="A1600">
        <v>101541</v>
      </c>
      <c r="B1600" t="s">
        <v>254</v>
      </c>
      <c r="C1600" t="str">
        <f t="shared" si="214"/>
        <v>08230471008</v>
      </c>
      <c r="D1600" t="str">
        <f t="shared" si="214"/>
        <v>08230471008</v>
      </c>
      <c r="E1600" t="s">
        <v>52</v>
      </c>
      <c r="F1600">
        <v>2015</v>
      </c>
      <c r="G1600" t="str">
        <f>"                3300"</f>
        <v xml:space="preserve">                3300</v>
      </c>
      <c r="H1600" s="3">
        <v>42076</v>
      </c>
      <c r="I1600" s="3">
        <v>42086</v>
      </c>
      <c r="J1600" s="3">
        <v>42086</v>
      </c>
      <c r="K1600" s="3">
        <v>42146</v>
      </c>
      <c r="L1600"/>
      <c r="N1600"/>
      <c r="O1600">
        <v>250</v>
      </c>
      <c r="P1600">
        <v>270</v>
      </c>
      <c r="Q1600" s="4">
        <v>67500</v>
      </c>
      <c r="R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 s="3">
        <v>42562</v>
      </c>
      <c r="AC1600" t="s">
        <v>53</v>
      </c>
      <c r="AD1600" t="s">
        <v>53</v>
      </c>
      <c r="AK1600">
        <v>0</v>
      </c>
      <c r="AU1600" s="3">
        <v>42416</v>
      </c>
      <c r="AV1600" s="3">
        <v>42416</v>
      </c>
      <c r="AW1600" t="s">
        <v>54</v>
      </c>
      <c r="AX1600" t="str">
        <f t="shared" si="213"/>
        <v>FOR</v>
      </c>
      <c r="AY1600" t="s">
        <v>55</v>
      </c>
    </row>
    <row r="1601" spans="1:51" hidden="1">
      <c r="A1601">
        <v>101541</v>
      </c>
      <c r="B1601" t="s">
        <v>254</v>
      </c>
      <c r="C1601" t="str">
        <f t="shared" si="214"/>
        <v>08230471008</v>
      </c>
      <c r="D1601" t="str">
        <f t="shared" si="214"/>
        <v>08230471008</v>
      </c>
      <c r="E1601" t="s">
        <v>52</v>
      </c>
      <c r="F1601">
        <v>2015</v>
      </c>
      <c r="G1601" t="str">
        <f>"                3301"</f>
        <v xml:space="preserve">                3301</v>
      </c>
      <c r="H1601" s="3">
        <v>42076</v>
      </c>
      <c r="I1601" s="3">
        <v>42086</v>
      </c>
      <c r="J1601" s="3">
        <v>42086</v>
      </c>
      <c r="K1601" s="3">
        <v>42146</v>
      </c>
      <c r="L1601"/>
      <c r="N1601"/>
      <c r="O1601">
        <v>700</v>
      </c>
      <c r="P1601">
        <v>270</v>
      </c>
      <c r="Q1601" s="4">
        <v>189000</v>
      </c>
      <c r="R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 s="3">
        <v>42562</v>
      </c>
      <c r="AC1601" t="s">
        <v>53</v>
      </c>
      <c r="AD1601" t="s">
        <v>53</v>
      </c>
      <c r="AK1601">
        <v>0</v>
      </c>
      <c r="AU1601" s="3">
        <v>42416</v>
      </c>
      <c r="AV1601" s="3">
        <v>42416</v>
      </c>
      <c r="AW1601" t="s">
        <v>54</v>
      </c>
      <c r="AX1601" t="str">
        <f t="shared" si="213"/>
        <v>FOR</v>
      </c>
      <c r="AY1601" t="s">
        <v>55</v>
      </c>
    </row>
    <row r="1602" spans="1:51" hidden="1">
      <c r="A1602">
        <v>101541</v>
      </c>
      <c r="B1602" t="s">
        <v>254</v>
      </c>
      <c r="C1602" t="str">
        <f t="shared" si="214"/>
        <v>08230471008</v>
      </c>
      <c r="D1602" t="str">
        <f t="shared" si="214"/>
        <v>08230471008</v>
      </c>
      <c r="E1602" t="s">
        <v>52</v>
      </c>
      <c r="F1602">
        <v>2015</v>
      </c>
      <c r="G1602" t="str">
        <f>"                3302"</f>
        <v xml:space="preserve">                3302</v>
      </c>
      <c r="H1602" s="3">
        <v>42076</v>
      </c>
      <c r="I1602" s="3">
        <v>42086</v>
      </c>
      <c r="J1602" s="3">
        <v>42086</v>
      </c>
      <c r="K1602" s="3">
        <v>42146</v>
      </c>
      <c r="L1602"/>
      <c r="N1602"/>
      <c r="O1602">
        <v>250</v>
      </c>
      <c r="P1602">
        <v>270</v>
      </c>
      <c r="Q1602" s="4">
        <v>67500</v>
      </c>
      <c r="R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 s="3">
        <v>42562</v>
      </c>
      <c r="AC1602" t="s">
        <v>53</v>
      </c>
      <c r="AD1602" t="s">
        <v>53</v>
      </c>
      <c r="AK1602">
        <v>0</v>
      </c>
      <c r="AU1602" s="3">
        <v>42416</v>
      </c>
      <c r="AV1602" s="3">
        <v>42416</v>
      </c>
      <c r="AW1602" t="s">
        <v>54</v>
      </c>
      <c r="AX1602" t="str">
        <f t="shared" si="213"/>
        <v>FOR</v>
      </c>
      <c r="AY1602" t="s">
        <v>55</v>
      </c>
    </row>
    <row r="1603" spans="1:51" hidden="1">
      <c r="A1603">
        <v>101541</v>
      </c>
      <c r="B1603" t="s">
        <v>254</v>
      </c>
      <c r="C1603" t="str">
        <f t="shared" si="214"/>
        <v>08230471008</v>
      </c>
      <c r="D1603" t="str">
        <f t="shared" si="214"/>
        <v>08230471008</v>
      </c>
      <c r="E1603" t="s">
        <v>52</v>
      </c>
      <c r="F1603">
        <v>2015</v>
      </c>
      <c r="G1603" t="str">
        <f>"                3685"</f>
        <v xml:space="preserve">                3685</v>
      </c>
      <c r="H1603" s="3">
        <v>42083</v>
      </c>
      <c r="I1603" s="3">
        <v>42089</v>
      </c>
      <c r="J1603" s="3">
        <v>42089</v>
      </c>
      <c r="K1603" s="3">
        <v>42149</v>
      </c>
      <c r="L1603"/>
      <c r="N1603"/>
      <c r="O1603">
        <v>250</v>
      </c>
      <c r="P1603">
        <v>267</v>
      </c>
      <c r="Q1603" s="4">
        <v>66750</v>
      </c>
      <c r="R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0</v>
      </c>
      <c r="AB1603" s="3">
        <v>42562</v>
      </c>
      <c r="AC1603" t="s">
        <v>53</v>
      </c>
      <c r="AD1603" t="s">
        <v>53</v>
      </c>
      <c r="AK1603">
        <v>0</v>
      </c>
      <c r="AU1603" s="3">
        <v>42416</v>
      </c>
      <c r="AV1603" s="3">
        <v>42416</v>
      </c>
      <c r="AW1603" t="s">
        <v>54</v>
      </c>
      <c r="AX1603" t="str">
        <f t="shared" si="213"/>
        <v>FOR</v>
      </c>
      <c r="AY1603" t="s">
        <v>55</v>
      </c>
    </row>
    <row r="1604" spans="1:51" hidden="1">
      <c r="A1604">
        <v>101541</v>
      </c>
      <c r="B1604" t="s">
        <v>254</v>
      </c>
      <c r="C1604" t="str">
        <f t="shared" si="214"/>
        <v>08230471008</v>
      </c>
      <c r="D1604" t="str">
        <f t="shared" si="214"/>
        <v>08230471008</v>
      </c>
      <c r="E1604" t="s">
        <v>52</v>
      </c>
      <c r="F1604">
        <v>2015</v>
      </c>
      <c r="G1604" t="str">
        <f>"                3686"</f>
        <v xml:space="preserve">                3686</v>
      </c>
      <c r="H1604" s="3">
        <v>42083</v>
      </c>
      <c r="I1604" s="3">
        <v>42089</v>
      </c>
      <c r="J1604" s="3">
        <v>42089</v>
      </c>
      <c r="K1604" s="3">
        <v>42149</v>
      </c>
      <c r="L1604"/>
      <c r="N1604"/>
      <c r="O1604">
        <v>250</v>
      </c>
      <c r="P1604">
        <v>267</v>
      </c>
      <c r="Q1604" s="4">
        <v>66750</v>
      </c>
      <c r="R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0</v>
      </c>
      <c r="AB1604" s="3">
        <v>42562</v>
      </c>
      <c r="AC1604" t="s">
        <v>53</v>
      </c>
      <c r="AD1604" t="s">
        <v>53</v>
      </c>
      <c r="AK1604">
        <v>0</v>
      </c>
      <c r="AU1604" s="3">
        <v>42416</v>
      </c>
      <c r="AV1604" s="3">
        <v>42416</v>
      </c>
      <c r="AW1604" t="s">
        <v>54</v>
      </c>
      <c r="AX1604" t="str">
        <f t="shared" si="213"/>
        <v>FOR</v>
      </c>
      <c r="AY1604" t="s">
        <v>55</v>
      </c>
    </row>
    <row r="1605" spans="1:51" hidden="1">
      <c r="A1605">
        <v>101541</v>
      </c>
      <c r="B1605" t="s">
        <v>254</v>
      </c>
      <c r="C1605" t="str">
        <f t="shared" si="214"/>
        <v>08230471008</v>
      </c>
      <c r="D1605" t="str">
        <f t="shared" si="214"/>
        <v>08230471008</v>
      </c>
      <c r="E1605" t="s">
        <v>52</v>
      </c>
      <c r="F1605">
        <v>2015</v>
      </c>
      <c r="G1605" t="str">
        <f>"                3687"</f>
        <v xml:space="preserve">                3687</v>
      </c>
      <c r="H1605" s="3">
        <v>42083</v>
      </c>
      <c r="I1605" s="3">
        <v>42089</v>
      </c>
      <c r="J1605" s="3">
        <v>42089</v>
      </c>
      <c r="K1605" s="3">
        <v>42149</v>
      </c>
      <c r="L1605"/>
      <c r="N1605"/>
      <c r="O1605">
        <v>250</v>
      </c>
      <c r="P1605">
        <v>267</v>
      </c>
      <c r="Q1605" s="4">
        <v>66750</v>
      </c>
      <c r="R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0</v>
      </c>
      <c r="AB1605" s="3">
        <v>42562</v>
      </c>
      <c r="AC1605" t="s">
        <v>53</v>
      </c>
      <c r="AD1605" t="s">
        <v>53</v>
      </c>
      <c r="AK1605">
        <v>0</v>
      </c>
      <c r="AU1605" s="3">
        <v>42416</v>
      </c>
      <c r="AV1605" s="3">
        <v>42416</v>
      </c>
      <c r="AW1605" t="s">
        <v>54</v>
      </c>
      <c r="AX1605" t="str">
        <f t="shared" si="213"/>
        <v>FOR</v>
      </c>
      <c r="AY1605" t="s">
        <v>55</v>
      </c>
    </row>
    <row r="1606" spans="1:51" hidden="1">
      <c r="A1606">
        <v>101541</v>
      </c>
      <c r="B1606" t="s">
        <v>254</v>
      </c>
      <c r="C1606" t="str">
        <f t="shared" si="214"/>
        <v>08230471008</v>
      </c>
      <c r="D1606" t="str">
        <f t="shared" si="214"/>
        <v>08230471008</v>
      </c>
      <c r="E1606" t="s">
        <v>52</v>
      </c>
      <c r="F1606">
        <v>2015</v>
      </c>
      <c r="G1606" t="str">
        <f>"                3688"</f>
        <v xml:space="preserve">                3688</v>
      </c>
      <c r="H1606" s="3">
        <v>42083</v>
      </c>
      <c r="I1606" s="3">
        <v>42089</v>
      </c>
      <c r="J1606" s="3">
        <v>42089</v>
      </c>
      <c r="K1606" s="3">
        <v>42149</v>
      </c>
      <c r="L1606"/>
      <c r="N1606"/>
      <c r="O1606">
        <v>250</v>
      </c>
      <c r="P1606">
        <v>267</v>
      </c>
      <c r="Q1606" s="4">
        <v>66750</v>
      </c>
      <c r="R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0</v>
      </c>
      <c r="AB1606" s="3">
        <v>42562</v>
      </c>
      <c r="AC1606" t="s">
        <v>53</v>
      </c>
      <c r="AD1606" t="s">
        <v>53</v>
      </c>
      <c r="AK1606">
        <v>0</v>
      </c>
      <c r="AU1606" s="3">
        <v>42416</v>
      </c>
      <c r="AV1606" s="3">
        <v>42416</v>
      </c>
      <c r="AW1606" t="s">
        <v>54</v>
      </c>
      <c r="AX1606" t="str">
        <f t="shared" si="213"/>
        <v>FOR</v>
      </c>
      <c r="AY1606" t="s">
        <v>55</v>
      </c>
    </row>
    <row r="1607" spans="1:51" hidden="1">
      <c r="A1607">
        <v>101541</v>
      </c>
      <c r="B1607" t="s">
        <v>254</v>
      </c>
      <c r="C1607" t="str">
        <f t="shared" si="214"/>
        <v>08230471008</v>
      </c>
      <c r="D1607" t="str">
        <f t="shared" si="214"/>
        <v>08230471008</v>
      </c>
      <c r="E1607" t="s">
        <v>52</v>
      </c>
      <c r="F1607">
        <v>2015</v>
      </c>
      <c r="G1607" t="str">
        <f>"                3689"</f>
        <v xml:space="preserve">                3689</v>
      </c>
      <c r="H1607" s="3">
        <v>42083</v>
      </c>
      <c r="I1607" s="3">
        <v>42089</v>
      </c>
      <c r="J1607" s="3">
        <v>42089</v>
      </c>
      <c r="K1607" s="3">
        <v>42149</v>
      </c>
      <c r="L1607"/>
      <c r="N1607"/>
      <c r="O1607">
        <v>250</v>
      </c>
      <c r="P1607">
        <v>267</v>
      </c>
      <c r="Q1607" s="4">
        <v>66750</v>
      </c>
      <c r="R1607">
        <v>0</v>
      </c>
      <c r="V1607">
        <v>0</v>
      </c>
      <c r="W1607">
        <v>0</v>
      </c>
      <c r="X1607">
        <v>0</v>
      </c>
      <c r="Y1607">
        <v>0</v>
      </c>
      <c r="Z1607">
        <v>0</v>
      </c>
      <c r="AA1607">
        <v>0</v>
      </c>
      <c r="AB1607" s="3">
        <v>42562</v>
      </c>
      <c r="AC1607" t="s">
        <v>53</v>
      </c>
      <c r="AD1607" t="s">
        <v>53</v>
      </c>
      <c r="AK1607">
        <v>0</v>
      </c>
      <c r="AU1607" s="3">
        <v>42416</v>
      </c>
      <c r="AV1607" s="3">
        <v>42416</v>
      </c>
      <c r="AW1607" t="s">
        <v>54</v>
      </c>
      <c r="AX1607" t="str">
        <f t="shared" si="213"/>
        <v>FOR</v>
      </c>
      <c r="AY1607" t="s">
        <v>55</v>
      </c>
    </row>
    <row r="1608" spans="1:51" hidden="1">
      <c r="A1608">
        <v>101541</v>
      </c>
      <c r="B1608" t="s">
        <v>254</v>
      </c>
      <c r="C1608" t="str">
        <f t="shared" si="214"/>
        <v>08230471008</v>
      </c>
      <c r="D1608" t="str">
        <f t="shared" si="214"/>
        <v>08230471008</v>
      </c>
      <c r="E1608" t="s">
        <v>52</v>
      </c>
      <c r="F1608">
        <v>2015</v>
      </c>
      <c r="G1608" t="str">
        <f>"                3690"</f>
        <v xml:space="preserve">                3690</v>
      </c>
      <c r="H1608" s="3">
        <v>42083</v>
      </c>
      <c r="I1608" s="3">
        <v>42089</v>
      </c>
      <c r="J1608" s="3">
        <v>42089</v>
      </c>
      <c r="K1608" s="3">
        <v>42149</v>
      </c>
      <c r="L1608"/>
      <c r="N1608"/>
      <c r="O1608">
        <v>250</v>
      </c>
      <c r="P1608">
        <v>267</v>
      </c>
      <c r="Q1608" s="4">
        <v>66750</v>
      </c>
      <c r="R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 s="3">
        <v>42562</v>
      </c>
      <c r="AC1608" t="s">
        <v>53</v>
      </c>
      <c r="AD1608" t="s">
        <v>53</v>
      </c>
      <c r="AK1608">
        <v>0</v>
      </c>
      <c r="AU1608" s="3">
        <v>42416</v>
      </c>
      <c r="AV1608" s="3">
        <v>42416</v>
      </c>
      <c r="AW1608" t="s">
        <v>54</v>
      </c>
      <c r="AX1608" t="str">
        <f t="shared" si="213"/>
        <v>FOR</v>
      </c>
      <c r="AY1608" t="s">
        <v>55</v>
      </c>
    </row>
    <row r="1609" spans="1:51" hidden="1">
      <c r="A1609">
        <v>101541</v>
      </c>
      <c r="B1609" t="s">
        <v>254</v>
      </c>
      <c r="C1609" t="str">
        <f t="shared" si="214"/>
        <v>08230471008</v>
      </c>
      <c r="D1609" t="str">
        <f t="shared" si="214"/>
        <v>08230471008</v>
      </c>
      <c r="E1609" t="s">
        <v>52</v>
      </c>
      <c r="F1609">
        <v>2015</v>
      </c>
      <c r="G1609" t="str">
        <f>"                3691"</f>
        <v xml:space="preserve">                3691</v>
      </c>
      <c r="H1609" s="3">
        <v>42083</v>
      </c>
      <c r="I1609" s="3">
        <v>42089</v>
      </c>
      <c r="J1609" s="3">
        <v>42089</v>
      </c>
      <c r="K1609" s="3">
        <v>42149</v>
      </c>
      <c r="L1609"/>
      <c r="N1609"/>
      <c r="O1609">
        <v>250</v>
      </c>
      <c r="P1609">
        <v>267</v>
      </c>
      <c r="Q1609" s="4">
        <v>66750</v>
      </c>
      <c r="R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 s="3">
        <v>42562</v>
      </c>
      <c r="AC1609" t="s">
        <v>53</v>
      </c>
      <c r="AD1609" t="s">
        <v>53</v>
      </c>
      <c r="AK1609">
        <v>0</v>
      </c>
      <c r="AU1609" s="3">
        <v>42416</v>
      </c>
      <c r="AV1609" s="3">
        <v>42416</v>
      </c>
      <c r="AW1609" t="s">
        <v>54</v>
      </c>
      <c r="AX1609" t="str">
        <f t="shared" si="213"/>
        <v>FOR</v>
      </c>
      <c r="AY1609" t="s">
        <v>55</v>
      </c>
    </row>
    <row r="1610" spans="1:51" hidden="1">
      <c r="A1610">
        <v>101541</v>
      </c>
      <c r="B1610" t="s">
        <v>254</v>
      </c>
      <c r="C1610" t="str">
        <f t="shared" si="214"/>
        <v>08230471008</v>
      </c>
      <c r="D1610" t="str">
        <f t="shared" si="214"/>
        <v>08230471008</v>
      </c>
      <c r="E1610" t="s">
        <v>52</v>
      </c>
      <c r="F1610">
        <v>2015</v>
      </c>
      <c r="G1610" t="str">
        <f>"                3692"</f>
        <v xml:space="preserve">                3692</v>
      </c>
      <c r="H1610" s="3">
        <v>42083</v>
      </c>
      <c r="I1610" s="3">
        <v>42089</v>
      </c>
      <c r="J1610" s="3">
        <v>42089</v>
      </c>
      <c r="K1610" s="3">
        <v>42149</v>
      </c>
      <c r="L1610"/>
      <c r="N1610"/>
      <c r="O1610">
        <v>250</v>
      </c>
      <c r="P1610">
        <v>267</v>
      </c>
      <c r="Q1610" s="4">
        <v>66750</v>
      </c>
      <c r="R1610">
        <v>0</v>
      </c>
      <c r="V1610">
        <v>0</v>
      </c>
      <c r="W1610">
        <v>0</v>
      </c>
      <c r="X1610">
        <v>0</v>
      </c>
      <c r="Y1610">
        <v>0</v>
      </c>
      <c r="Z1610">
        <v>0</v>
      </c>
      <c r="AA1610">
        <v>0</v>
      </c>
      <c r="AB1610" s="3">
        <v>42562</v>
      </c>
      <c r="AC1610" t="s">
        <v>53</v>
      </c>
      <c r="AD1610" t="s">
        <v>53</v>
      </c>
      <c r="AK1610">
        <v>0</v>
      </c>
      <c r="AU1610" s="3">
        <v>42416</v>
      </c>
      <c r="AV1610" s="3">
        <v>42416</v>
      </c>
      <c r="AW1610" t="s">
        <v>54</v>
      </c>
      <c r="AX1610" t="str">
        <f t="shared" si="213"/>
        <v>FOR</v>
      </c>
      <c r="AY1610" t="s">
        <v>55</v>
      </c>
    </row>
    <row r="1611" spans="1:51" hidden="1">
      <c r="A1611">
        <v>101541</v>
      </c>
      <c r="B1611" t="s">
        <v>254</v>
      </c>
      <c r="C1611" t="str">
        <f t="shared" si="214"/>
        <v>08230471008</v>
      </c>
      <c r="D1611" t="str">
        <f t="shared" si="214"/>
        <v>08230471008</v>
      </c>
      <c r="E1611" t="s">
        <v>52</v>
      </c>
      <c r="F1611">
        <v>2015</v>
      </c>
      <c r="G1611" t="str">
        <f>"                4100"</f>
        <v xml:space="preserve">                4100</v>
      </c>
      <c r="H1611" s="3">
        <v>42090</v>
      </c>
      <c r="I1611" s="3">
        <v>42102</v>
      </c>
      <c r="J1611" s="3">
        <v>42102</v>
      </c>
      <c r="K1611" s="3">
        <v>42162</v>
      </c>
      <c r="L1611"/>
      <c r="N1611"/>
      <c r="O1611">
        <v>700</v>
      </c>
      <c r="P1611">
        <v>254</v>
      </c>
      <c r="Q1611" s="4">
        <v>177800</v>
      </c>
      <c r="R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 s="3">
        <v>42562</v>
      </c>
      <c r="AC1611" t="s">
        <v>53</v>
      </c>
      <c r="AD1611" t="s">
        <v>53</v>
      </c>
      <c r="AK1611">
        <v>0</v>
      </c>
      <c r="AU1611" s="3">
        <v>42416</v>
      </c>
      <c r="AV1611" s="3">
        <v>42416</v>
      </c>
      <c r="AW1611" t="s">
        <v>54</v>
      </c>
      <c r="AX1611" t="str">
        <f t="shared" ref="AX1611:AX1642" si="215">"FOR"</f>
        <v>FOR</v>
      </c>
      <c r="AY1611" t="s">
        <v>55</v>
      </c>
    </row>
    <row r="1612" spans="1:51" hidden="1">
      <c r="A1612">
        <v>101541</v>
      </c>
      <c r="B1612" t="s">
        <v>254</v>
      </c>
      <c r="C1612" t="str">
        <f t="shared" si="214"/>
        <v>08230471008</v>
      </c>
      <c r="D1612" t="str">
        <f t="shared" si="214"/>
        <v>08230471008</v>
      </c>
      <c r="E1612" t="s">
        <v>52</v>
      </c>
      <c r="F1612">
        <v>2015</v>
      </c>
      <c r="G1612" t="str">
        <f>"                4101"</f>
        <v xml:space="preserve">                4101</v>
      </c>
      <c r="H1612" s="3">
        <v>42090</v>
      </c>
      <c r="I1612" s="3">
        <v>42102</v>
      </c>
      <c r="J1612" s="3">
        <v>42102</v>
      </c>
      <c r="K1612" s="3">
        <v>42162</v>
      </c>
      <c r="L1612"/>
      <c r="N1612"/>
      <c r="O1612">
        <v>250</v>
      </c>
      <c r="P1612">
        <v>254</v>
      </c>
      <c r="Q1612" s="4">
        <v>63500</v>
      </c>
      <c r="R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 s="3">
        <v>42562</v>
      </c>
      <c r="AC1612" t="s">
        <v>53</v>
      </c>
      <c r="AD1612" t="s">
        <v>53</v>
      </c>
      <c r="AK1612">
        <v>0</v>
      </c>
      <c r="AU1612" s="3">
        <v>42416</v>
      </c>
      <c r="AV1612" s="3">
        <v>42416</v>
      </c>
      <c r="AW1612" t="s">
        <v>54</v>
      </c>
      <c r="AX1612" t="str">
        <f t="shared" si="215"/>
        <v>FOR</v>
      </c>
      <c r="AY1612" t="s">
        <v>55</v>
      </c>
    </row>
    <row r="1613" spans="1:51" hidden="1">
      <c r="A1613">
        <v>101541</v>
      </c>
      <c r="B1613" t="s">
        <v>254</v>
      </c>
      <c r="C1613" t="str">
        <f t="shared" si="214"/>
        <v>08230471008</v>
      </c>
      <c r="D1613" t="str">
        <f t="shared" si="214"/>
        <v>08230471008</v>
      </c>
      <c r="E1613" t="s">
        <v>52</v>
      </c>
      <c r="F1613">
        <v>2015</v>
      </c>
      <c r="G1613" t="str">
        <f>"                4102"</f>
        <v xml:space="preserve">                4102</v>
      </c>
      <c r="H1613" s="3">
        <v>42090</v>
      </c>
      <c r="I1613" s="3">
        <v>42097</v>
      </c>
      <c r="J1613" s="3">
        <v>42097</v>
      </c>
      <c r="K1613" s="3">
        <v>42157</v>
      </c>
      <c r="L1613"/>
      <c r="N1613"/>
      <c r="O1613">
        <v>250</v>
      </c>
      <c r="P1613">
        <v>259</v>
      </c>
      <c r="Q1613" s="4">
        <v>64750</v>
      </c>
      <c r="R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 s="3">
        <v>42562</v>
      </c>
      <c r="AC1613" t="s">
        <v>53</v>
      </c>
      <c r="AD1613" t="s">
        <v>53</v>
      </c>
      <c r="AK1613">
        <v>0</v>
      </c>
      <c r="AU1613" s="3">
        <v>42416</v>
      </c>
      <c r="AV1613" s="3">
        <v>42416</v>
      </c>
      <c r="AW1613" t="s">
        <v>54</v>
      </c>
      <c r="AX1613" t="str">
        <f t="shared" si="215"/>
        <v>FOR</v>
      </c>
      <c r="AY1613" t="s">
        <v>55</v>
      </c>
    </row>
    <row r="1614" spans="1:51" hidden="1">
      <c r="A1614">
        <v>101541</v>
      </c>
      <c r="B1614" t="s">
        <v>254</v>
      </c>
      <c r="C1614" t="str">
        <f t="shared" si="214"/>
        <v>08230471008</v>
      </c>
      <c r="D1614" t="str">
        <f t="shared" si="214"/>
        <v>08230471008</v>
      </c>
      <c r="E1614" t="s">
        <v>52</v>
      </c>
      <c r="F1614">
        <v>2015</v>
      </c>
      <c r="G1614" t="str">
        <f>"                4103"</f>
        <v xml:space="preserve">                4103</v>
      </c>
      <c r="H1614" s="3">
        <v>42090</v>
      </c>
      <c r="I1614" s="3">
        <v>42097</v>
      </c>
      <c r="J1614" s="3">
        <v>42097</v>
      </c>
      <c r="K1614" s="3">
        <v>42157</v>
      </c>
      <c r="L1614"/>
      <c r="N1614"/>
      <c r="O1614">
        <v>250</v>
      </c>
      <c r="P1614">
        <v>259</v>
      </c>
      <c r="Q1614" s="4">
        <v>64750</v>
      </c>
      <c r="R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 s="3">
        <v>42562</v>
      </c>
      <c r="AC1614" t="s">
        <v>53</v>
      </c>
      <c r="AD1614" t="s">
        <v>53</v>
      </c>
      <c r="AK1614">
        <v>0</v>
      </c>
      <c r="AU1614" s="3">
        <v>42416</v>
      </c>
      <c r="AV1614" s="3">
        <v>42416</v>
      </c>
      <c r="AW1614" t="s">
        <v>54</v>
      </c>
      <c r="AX1614" t="str">
        <f t="shared" si="215"/>
        <v>FOR</v>
      </c>
      <c r="AY1614" t="s">
        <v>55</v>
      </c>
    </row>
    <row r="1615" spans="1:51" hidden="1">
      <c r="A1615">
        <v>101541</v>
      </c>
      <c r="B1615" t="s">
        <v>254</v>
      </c>
      <c r="C1615" t="str">
        <f t="shared" si="214"/>
        <v>08230471008</v>
      </c>
      <c r="D1615" t="str">
        <f t="shared" si="214"/>
        <v>08230471008</v>
      </c>
      <c r="E1615" t="s">
        <v>52</v>
      </c>
      <c r="F1615">
        <v>2015</v>
      </c>
      <c r="G1615" t="str">
        <f>"                4104"</f>
        <v xml:space="preserve">                4104</v>
      </c>
      <c r="H1615" s="3">
        <v>42090</v>
      </c>
      <c r="I1615" s="3">
        <v>42103</v>
      </c>
      <c r="J1615" s="3">
        <v>42103</v>
      </c>
      <c r="K1615" s="3">
        <v>42163</v>
      </c>
      <c r="L1615"/>
      <c r="N1615"/>
      <c r="O1615">
        <v>250</v>
      </c>
      <c r="P1615">
        <v>253</v>
      </c>
      <c r="Q1615" s="4">
        <v>63250</v>
      </c>
      <c r="R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 s="3">
        <v>42562</v>
      </c>
      <c r="AC1615" t="s">
        <v>53</v>
      </c>
      <c r="AD1615" t="s">
        <v>53</v>
      </c>
      <c r="AK1615">
        <v>0</v>
      </c>
      <c r="AU1615" s="3">
        <v>42416</v>
      </c>
      <c r="AV1615" s="3">
        <v>42416</v>
      </c>
      <c r="AW1615" t="s">
        <v>54</v>
      </c>
      <c r="AX1615" t="str">
        <f t="shared" si="215"/>
        <v>FOR</v>
      </c>
      <c r="AY1615" t="s">
        <v>55</v>
      </c>
    </row>
    <row r="1616" spans="1:51" hidden="1">
      <c r="A1616">
        <v>101541</v>
      </c>
      <c r="B1616" t="s">
        <v>254</v>
      </c>
      <c r="C1616" t="str">
        <f t="shared" si="214"/>
        <v>08230471008</v>
      </c>
      <c r="D1616" t="str">
        <f t="shared" si="214"/>
        <v>08230471008</v>
      </c>
      <c r="E1616" t="s">
        <v>52</v>
      </c>
      <c r="F1616">
        <v>2015</v>
      </c>
      <c r="G1616" t="str">
        <f>"                4105"</f>
        <v xml:space="preserve">                4105</v>
      </c>
      <c r="H1616" s="3">
        <v>42090</v>
      </c>
      <c r="I1616" s="3">
        <v>42103</v>
      </c>
      <c r="J1616" s="3">
        <v>42103</v>
      </c>
      <c r="K1616" s="3">
        <v>42163</v>
      </c>
      <c r="L1616"/>
      <c r="N1616"/>
      <c r="O1616">
        <v>250</v>
      </c>
      <c r="P1616">
        <v>253</v>
      </c>
      <c r="Q1616" s="4">
        <v>63250</v>
      </c>
      <c r="R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 s="3">
        <v>42562</v>
      </c>
      <c r="AC1616" t="s">
        <v>53</v>
      </c>
      <c r="AD1616" t="s">
        <v>53</v>
      </c>
      <c r="AK1616">
        <v>0</v>
      </c>
      <c r="AU1616" s="3">
        <v>42416</v>
      </c>
      <c r="AV1616" s="3">
        <v>42416</v>
      </c>
      <c r="AW1616" t="s">
        <v>54</v>
      </c>
      <c r="AX1616" t="str">
        <f t="shared" si="215"/>
        <v>FOR</v>
      </c>
      <c r="AY1616" t="s">
        <v>55</v>
      </c>
    </row>
    <row r="1617" spans="1:51" hidden="1">
      <c r="A1617">
        <v>101541</v>
      </c>
      <c r="B1617" t="s">
        <v>254</v>
      </c>
      <c r="C1617" t="str">
        <f t="shared" si="214"/>
        <v>08230471008</v>
      </c>
      <c r="D1617" t="str">
        <f t="shared" si="214"/>
        <v>08230471008</v>
      </c>
      <c r="E1617" t="s">
        <v>52</v>
      </c>
      <c r="F1617">
        <v>2015</v>
      </c>
      <c r="G1617" t="str">
        <f>"                4411"</f>
        <v xml:space="preserve">                4411</v>
      </c>
      <c r="H1617" s="3">
        <v>42093</v>
      </c>
      <c r="I1617" s="3">
        <v>42109</v>
      </c>
      <c r="J1617" s="3">
        <v>42109</v>
      </c>
      <c r="K1617" s="3">
        <v>42169</v>
      </c>
      <c r="L1617"/>
      <c r="N1617"/>
      <c r="O1617">
        <v>700</v>
      </c>
      <c r="P1617">
        <v>247</v>
      </c>
      <c r="Q1617" s="4">
        <v>172900</v>
      </c>
      <c r="R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0</v>
      </c>
      <c r="AB1617" s="3">
        <v>42562</v>
      </c>
      <c r="AC1617" t="s">
        <v>53</v>
      </c>
      <c r="AD1617" t="s">
        <v>53</v>
      </c>
      <c r="AK1617">
        <v>0</v>
      </c>
      <c r="AU1617" s="3">
        <v>42416</v>
      </c>
      <c r="AV1617" s="3">
        <v>42416</v>
      </c>
      <c r="AW1617" t="s">
        <v>54</v>
      </c>
      <c r="AX1617" t="str">
        <f t="shared" si="215"/>
        <v>FOR</v>
      </c>
      <c r="AY1617" t="s">
        <v>55</v>
      </c>
    </row>
    <row r="1618" spans="1:51" hidden="1">
      <c r="A1618">
        <v>101541</v>
      </c>
      <c r="B1618" t="s">
        <v>254</v>
      </c>
      <c r="C1618" t="str">
        <f t="shared" ref="C1618:D1637" si="216">"08230471008"</f>
        <v>08230471008</v>
      </c>
      <c r="D1618" t="str">
        <f t="shared" si="216"/>
        <v>08230471008</v>
      </c>
      <c r="E1618" t="s">
        <v>52</v>
      </c>
      <c r="F1618">
        <v>2015</v>
      </c>
      <c r="G1618" t="str">
        <f>"                4412"</f>
        <v xml:space="preserve">                4412</v>
      </c>
      <c r="H1618" s="3">
        <v>42093</v>
      </c>
      <c r="I1618" s="3">
        <v>42109</v>
      </c>
      <c r="J1618" s="3">
        <v>42109</v>
      </c>
      <c r="K1618" s="3">
        <v>42169</v>
      </c>
      <c r="L1618"/>
      <c r="N1618"/>
      <c r="O1618">
        <v>250</v>
      </c>
      <c r="P1618">
        <v>247</v>
      </c>
      <c r="Q1618" s="4">
        <v>61750</v>
      </c>
      <c r="R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 s="3">
        <v>42562</v>
      </c>
      <c r="AC1618" t="s">
        <v>53</v>
      </c>
      <c r="AD1618" t="s">
        <v>53</v>
      </c>
      <c r="AK1618">
        <v>0</v>
      </c>
      <c r="AU1618" s="3">
        <v>42416</v>
      </c>
      <c r="AV1618" s="3">
        <v>42416</v>
      </c>
      <c r="AW1618" t="s">
        <v>54</v>
      </c>
      <c r="AX1618" t="str">
        <f t="shared" si="215"/>
        <v>FOR</v>
      </c>
      <c r="AY1618" t="s">
        <v>55</v>
      </c>
    </row>
    <row r="1619" spans="1:51" hidden="1">
      <c r="A1619">
        <v>101541</v>
      </c>
      <c r="B1619" t="s">
        <v>254</v>
      </c>
      <c r="C1619" t="str">
        <f t="shared" si="216"/>
        <v>08230471008</v>
      </c>
      <c r="D1619" t="str">
        <f t="shared" si="216"/>
        <v>08230471008</v>
      </c>
      <c r="E1619" t="s">
        <v>52</v>
      </c>
      <c r="F1619">
        <v>2015</v>
      </c>
      <c r="G1619" t="str">
        <f>"                4413"</f>
        <v xml:space="preserve">                4413</v>
      </c>
      <c r="H1619" s="3">
        <v>42093</v>
      </c>
      <c r="I1619" s="3">
        <v>42109</v>
      </c>
      <c r="J1619" s="3">
        <v>42109</v>
      </c>
      <c r="K1619" s="3">
        <v>42169</v>
      </c>
      <c r="L1619"/>
      <c r="N1619"/>
      <c r="O1619">
        <v>250</v>
      </c>
      <c r="P1619">
        <v>247</v>
      </c>
      <c r="Q1619" s="4">
        <v>61750</v>
      </c>
      <c r="R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 s="3">
        <v>42562</v>
      </c>
      <c r="AC1619" t="s">
        <v>53</v>
      </c>
      <c r="AD1619" t="s">
        <v>53</v>
      </c>
      <c r="AK1619">
        <v>0</v>
      </c>
      <c r="AU1619" s="3">
        <v>42416</v>
      </c>
      <c r="AV1619" s="3">
        <v>42416</v>
      </c>
      <c r="AW1619" t="s">
        <v>54</v>
      </c>
      <c r="AX1619" t="str">
        <f t="shared" si="215"/>
        <v>FOR</v>
      </c>
      <c r="AY1619" t="s">
        <v>55</v>
      </c>
    </row>
    <row r="1620" spans="1:51" hidden="1">
      <c r="A1620">
        <v>101541</v>
      </c>
      <c r="B1620" t="s">
        <v>254</v>
      </c>
      <c r="C1620" t="str">
        <f t="shared" si="216"/>
        <v>08230471008</v>
      </c>
      <c r="D1620" t="str">
        <f t="shared" si="216"/>
        <v>08230471008</v>
      </c>
      <c r="E1620" t="s">
        <v>52</v>
      </c>
      <c r="F1620">
        <v>2015</v>
      </c>
      <c r="G1620" t="str">
        <f>"                4414"</f>
        <v xml:space="preserve">                4414</v>
      </c>
      <c r="H1620" s="3">
        <v>42093</v>
      </c>
      <c r="I1620" s="3">
        <v>42109</v>
      </c>
      <c r="J1620" s="3">
        <v>42109</v>
      </c>
      <c r="K1620" s="3">
        <v>42169</v>
      </c>
      <c r="L1620"/>
      <c r="N1620"/>
      <c r="O1620">
        <v>250</v>
      </c>
      <c r="P1620">
        <v>247</v>
      </c>
      <c r="Q1620" s="4">
        <v>61750</v>
      </c>
      <c r="R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 s="3">
        <v>42562</v>
      </c>
      <c r="AC1620" t="s">
        <v>53</v>
      </c>
      <c r="AD1620" t="s">
        <v>53</v>
      </c>
      <c r="AK1620">
        <v>0</v>
      </c>
      <c r="AU1620" s="3">
        <v>42416</v>
      </c>
      <c r="AV1620" s="3">
        <v>42416</v>
      </c>
      <c r="AW1620" t="s">
        <v>54</v>
      </c>
      <c r="AX1620" t="str">
        <f t="shared" si="215"/>
        <v>FOR</v>
      </c>
      <c r="AY1620" t="s">
        <v>55</v>
      </c>
    </row>
    <row r="1621" spans="1:51" hidden="1">
      <c r="A1621">
        <v>101541</v>
      </c>
      <c r="B1621" t="s">
        <v>254</v>
      </c>
      <c r="C1621" t="str">
        <f t="shared" si="216"/>
        <v>08230471008</v>
      </c>
      <c r="D1621" t="str">
        <f t="shared" si="216"/>
        <v>08230471008</v>
      </c>
      <c r="E1621" t="s">
        <v>52</v>
      </c>
      <c r="F1621">
        <v>2015</v>
      </c>
      <c r="G1621" t="str">
        <f>"                4415"</f>
        <v xml:space="preserve">                4415</v>
      </c>
      <c r="H1621" s="3">
        <v>42093</v>
      </c>
      <c r="I1621" s="3">
        <v>42109</v>
      </c>
      <c r="J1621" s="3">
        <v>42109</v>
      </c>
      <c r="K1621" s="3">
        <v>42169</v>
      </c>
      <c r="L1621"/>
      <c r="N1621"/>
      <c r="O1621">
        <v>250</v>
      </c>
      <c r="P1621">
        <v>247</v>
      </c>
      <c r="Q1621" s="4">
        <v>61750</v>
      </c>
      <c r="R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 s="3">
        <v>42562</v>
      </c>
      <c r="AC1621" t="s">
        <v>53</v>
      </c>
      <c r="AD1621" t="s">
        <v>53</v>
      </c>
      <c r="AK1621">
        <v>0</v>
      </c>
      <c r="AU1621" s="3">
        <v>42416</v>
      </c>
      <c r="AV1621" s="3">
        <v>42416</v>
      </c>
      <c r="AW1621" t="s">
        <v>54</v>
      </c>
      <c r="AX1621" t="str">
        <f t="shared" si="215"/>
        <v>FOR</v>
      </c>
      <c r="AY1621" t="s">
        <v>55</v>
      </c>
    </row>
    <row r="1622" spans="1:51" hidden="1">
      <c r="A1622">
        <v>101541</v>
      </c>
      <c r="B1622" t="s">
        <v>254</v>
      </c>
      <c r="C1622" t="str">
        <f t="shared" si="216"/>
        <v>08230471008</v>
      </c>
      <c r="D1622" t="str">
        <f t="shared" si="216"/>
        <v>08230471008</v>
      </c>
      <c r="E1622" t="s">
        <v>52</v>
      </c>
      <c r="F1622">
        <v>2015</v>
      </c>
      <c r="G1622" t="str">
        <f>"                4416"</f>
        <v xml:space="preserve">                4416</v>
      </c>
      <c r="H1622" s="3">
        <v>42093</v>
      </c>
      <c r="I1622" s="3">
        <v>42109</v>
      </c>
      <c r="J1622" s="3">
        <v>42109</v>
      </c>
      <c r="K1622" s="3">
        <v>42169</v>
      </c>
      <c r="L1622"/>
      <c r="N1622"/>
      <c r="O1622">
        <v>250</v>
      </c>
      <c r="P1622">
        <v>247</v>
      </c>
      <c r="Q1622" s="4">
        <v>61750</v>
      </c>
      <c r="R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0</v>
      </c>
      <c r="AB1622" s="3">
        <v>42562</v>
      </c>
      <c r="AC1622" t="s">
        <v>53</v>
      </c>
      <c r="AD1622" t="s">
        <v>53</v>
      </c>
      <c r="AK1622">
        <v>0</v>
      </c>
      <c r="AU1622" s="3">
        <v>42416</v>
      </c>
      <c r="AV1622" s="3">
        <v>42416</v>
      </c>
      <c r="AW1622" t="s">
        <v>54</v>
      </c>
      <c r="AX1622" t="str">
        <f t="shared" si="215"/>
        <v>FOR</v>
      </c>
      <c r="AY1622" t="s">
        <v>55</v>
      </c>
    </row>
    <row r="1623" spans="1:51" hidden="1">
      <c r="A1623">
        <v>101541</v>
      </c>
      <c r="B1623" t="s">
        <v>254</v>
      </c>
      <c r="C1623" t="str">
        <f t="shared" si="216"/>
        <v>08230471008</v>
      </c>
      <c r="D1623" t="str">
        <f t="shared" si="216"/>
        <v>08230471008</v>
      </c>
      <c r="E1623" t="s">
        <v>52</v>
      </c>
      <c r="F1623">
        <v>2015</v>
      </c>
      <c r="G1623" t="str">
        <f>"                4417"</f>
        <v xml:space="preserve">                4417</v>
      </c>
      <c r="H1623" s="3">
        <v>42093</v>
      </c>
      <c r="I1623" s="3">
        <v>42109</v>
      </c>
      <c r="J1623" s="3">
        <v>42109</v>
      </c>
      <c r="K1623" s="3">
        <v>42169</v>
      </c>
      <c r="L1623"/>
      <c r="N1623"/>
      <c r="O1623">
        <v>250</v>
      </c>
      <c r="P1623">
        <v>247</v>
      </c>
      <c r="Q1623" s="4">
        <v>61750</v>
      </c>
      <c r="R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 s="3">
        <v>42562</v>
      </c>
      <c r="AC1623" t="s">
        <v>53</v>
      </c>
      <c r="AD1623" t="s">
        <v>53</v>
      </c>
      <c r="AK1623">
        <v>0</v>
      </c>
      <c r="AU1623" s="3">
        <v>42416</v>
      </c>
      <c r="AV1623" s="3">
        <v>42416</v>
      </c>
      <c r="AW1623" t="s">
        <v>54</v>
      </c>
      <c r="AX1623" t="str">
        <f t="shared" si="215"/>
        <v>FOR</v>
      </c>
      <c r="AY1623" t="s">
        <v>55</v>
      </c>
    </row>
    <row r="1624" spans="1:51" hidden="1">
      <c r="A1624">
        <v>101541</v>
      </c>
      <c r="B1624" t="s">
        <v>254</v>
      </c>
      <c r="C1624" t="str">
        <f t="shared" si="216"/>
        <v>08230471008</v>
      </c>
      <c r="D1624" t="str">
        <f t="shared" si="216"/>
        <v>08230471008</v>
      </c>
      <c r="E1624" t="s">
        <v>52</v>
      </c>
      <c r="F1624">
        <v>2015</v>
      </c>
      <c r="G1624" t="str">
        <f>"                4418"</f>
        <v xml:space="preserve">                4418</v>
      </c>
      <c r="H1624" s="3">
        <v>42093</v>
      </c>
      <c r="I1624" s="3">
        <v>42109</v>
      </c>
      <c r="J1624" s="3">
        <v>42109</v>
      </c>
      <c r="K1624" s="3">
        <v>42169</v>
      </c>
      <c r="L1624"/>
      <c r="N1624"/>
      <c r="O1624">
        <v>250</v>
      </c>
      <c r="P1624">
        <v>247</v>
      </c>
      <c r="Q1624" s="4">
        <v>61750</v>
      </c>
      <c r="R1624">
        <v>0</v>
      </c>
      <c r="V1624">
        <v>0</v>
      </c>
      <c r="W1624">
        <v>0</v>
      </c>
      <c r="X1624">
        <v>0</v>
      </c>
      <c r="Y1624">
        <v>0</v>
      </c>
      <c r="Z1624">
        <v>0</v>
      </c>
      <c r="AA1624">
        <v>0</v>
      </c>
      <c r="AB1624" s="3">
        <v>42562</v>
      </c>
      <c r="AC1624" t="s">
        <v>53</v>
      </c>
      <c r="AD1624" t="s">
        <v>53</v>
      </c>
      <c r="AK1624">
        <v>0</v>
      </c>
      <c r="AU1624" s="3">
        <v>42416</v>
      </c>
      <c r="AV1624" s="3">
        <v>42416</v>
      </c>
      <c r="AW1624" t="s">
        <v>54</v>
      </c>
      <c r="AX1624" t="str">
        <f t="shared" si="215"/>
        <v>FOR</v>
      </c>
      <c r="AY1624" t="s">
        <v>55</v>
      </c>
    </row>
    <row r="1625" spans="1:51" hidden="1">
      <c r="A1625">
        <v>101541</v>
      </c>
      <c r="B1625" t="s">
        <v>254</v>
      </c>
      <c r="C1625" t="str">
        <f t="shared" si="216"/>
        <v>08230471008</v>
      </c>
      <c r="D1625" t="str">
        <f t="shared" si="216"/>
        <v>08230471008</v>
      </c>
      <c r="E1625" t="s">
        <v>52</v>
      </c>
      <c r="F1625">
        <v>2015</v>
      </c>
      <c r="G1625" t="str">
        <f>"                4419"</f>
        <v xml:space="preserve">                4419</v>
      </c>
      <c r="H1625" s="3">
        <v>42093</v>
      </c>
      <c r="I1625" s="3">
        <v>42109</v>
      </c>
      <c r="J1625" s="3">
        <v>42109</v>
      </c>
      <c r="K1625" s="3">
        <v>42169</v>
      </c>
      <c r="L1625"/>
      <c r="N1625"/>
      <c r="O1625">
        <v>250</v>
      </c>
      <c r="P1625">
        <v>247</v>
      </c>
      <c r="Q1625" s="4">
        <v>61750</v>
      </c>
      <c r="R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 s="3">
        <v>42562</v>
      </c>
      <c r="AC1625" t="s">
        <v>53</v>
      </c>
      <c r="AD1625" t="s">
        <v>53</v>
      </c>
      <c r="AK1625">
        <v>0</v>
      </c>
      <c r="AU1625" s="3">
        <v>42416</v>
      </c>
      <c r="AV1625" s="3">
        <v>42416</v>
      </c>
      <c r="AW1625" t="s">
        <v>54</v>
      </c>
      <c r="AX1625" t="str">
        <f t="shared" si="215"/>
        <v>FOR</v>
      </c>
      <c r="AY1625" t="s">
        <v>55</v>
      </c>
    </row>
    <row r="1626" spans="1:51" hidden="1">
      <c r="A1626">
        <v>101541</v>
      </c>
      <c r="B1626" t="s">
        <v>254</v>
      </c>
      <c r="C1626" t="str">
        <f t="shared" si="216"/>
        <v>08230471008</v>
      </c>
      <c r="D1626" t="str">
        <f t="shared" si="216"/>
        <v>08230471008</v>
      </c>
      <c r="E1626" t="s">
        <v>52</v>
      </c>
      <c r="F1626">
        <v>2015</v>
      </c>
      <c r="G1626" t="str">
        <f>"                4420"</f>
        <v xml:space="preserve">                4420</v>
      </c>
      <c r="H1626" s="3">
        <v>42093</v>
      </c>
      <c r="I1626" s="3">
        <v>42109</v>
      </c>
      <c r="J1626" s="3">
        <v>42109</v>
      </c>
      <c r="K1626" s="3">
        <v>42169</v>
      </c>
      <c r="L1626"/>
      <c r="N1626"/>
      <c r="O1626">
        <v>250</v>
      </c>
      <c r="P1626">
        <v>247</v>
      </c>
      <c r="Q1626" s="4">
        <v>61750</v>
      </c>
      <c r="R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0</v>
      </c>
      <c r="AB1626" s="3">
        <v>42562</v>
      </c>
      <c r="AC1626" t="s">
        <v>53</v>
      </c>
      <c r="AD1626" t="s">
        <v>53</v>
      </c>
      <c r="AK1626">
        <v>0</v>
      </c>
      <c r="AU1626" s="3">
        <v>42416</v>
      </c>
      <c r="AV1626" s="3">
        <v>42416</v>
      </c>
      <c r="AW1626" t="s">
        <v>54</v>
      </c>
      <c r="AX1626" t="str">
        <f t="shared" si="215"/>
        <v>FOR</v>
      </c>
      <c r="AY1626" t="s">
        <v>55</v>
      </c>
    </row>
    <row r="1627" spans="1:51" hidden="1">
      <c r="A1627">
        <v>101541</v>
      </c>
      <c r="B1627" t="s">
        <v>254</v>
      </c>
      <c r="C1627" t="str">
        <f t="shared" si="216"/>
        <v>08230471008</v>
      </c>
      <c r="D1627" t="str">
        <f t="shared" si="216"/>
        <v>08230471008</v>
      </c>
      <c r="E1627" t="s">
        <v>52</v>
      </c>
      <c r="F1627">
        <v>2015</v>
      </c>
      <c r="G1627" t="str">
        <f>"                4421"</f>
        <v xml:space="preserve">                4421</v>
      </c>
      <c r="H1627" s="3">
        <v>42093</v>
      </c>
      <c r="I1627" s="3">
        <v>42109</v>
      </c>
      <c r="J1627" s="3">
        <v>42109</v>
      </c>
      <c r="K1627" s="3">
        <v>42169</v>
      </c>
      <c r="L1627"/>
      <c r="N1627"/>
      <c r="O1627">
        <v>250</v>
      </c>
      <c r="P1627">
        <v>247</v>
      </c>
      <c r="Q1627" s="4">
        <v>61750</v>
      </c>
      <c r="R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0</v>
      </c>
      <c r="AB1627" s="3">
        <v>42562</v>
      </c>
      <c r="AC1627" t="s">
        <v>53</v>
      </c>
      <c r="AD1627" t="s">
        <v>53</v>
      </c>
      <c r="AK1627">
        <v>0</v>
      </c>
      <c r="AU1627" s="3">
        <v>42416</v>
      </c>
      <c r="AV1627" s="3">
        <v>42416</v>
      </c>
      <c r="AW1627" t="s">
        <v>54</v>
      </c>
      <c r="AX1627" t="str">
        <f t="shared" si="215"/>
        <v>FOR</v>
      </c>
      <c r="AY1627" t="s">
        <v>55</v>
      </c>
    </row>
    <row r="1628" spans="1:51" hidden="1">
      <c r="A1628">
        <v>101541</v>
      </c>
      <c r="B1628" t="s">
        <v>254</v>
      </c>
      <c r="C1628" t="str">
        <f t="shared" si="216"/>
        <v>08230471008</v>
      </c>
      <c r="D1628" t="str">
        <f t="shared" si="216"/>
        <v>08230471008</v>
      </c>
      <c r="E1628" t="s">
        <v>52</v>
      </c>
      <c r="F1628">
        <v>2015</v>
      </c>
      <c r="G1628" t="str">
        <f>"                4422"</f>
        <v xml:space="preserve">                4422</v>
      </c>
      <c r="H1628" s="3">
        <v>42093</v>
      </c>
      <c r="I1628" s="3">
        <v>42109</v>
      </c>
      <c r="J1628" s="3">
        <v>42109</v>
      </c>
      <c r="K1628" s="3">
        <v>42169</v>
      </c>
      <c r="L1628"/>
      <c r="N1628"/>
      <c r="O1628">
        <v>250</v>
      </c>
      <c r="P1628">
        <v>247</v>
      </c>
      <c r="Q1628" s="4">
        <v>61750</v>
      </c>
      <c r="R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 s="3">
        <v>42562</v>
      </c>
      <c r="AC1628" t="s">
        <v>53</v>
      </c>
      <c r="AD1628" t="s">
        <v>53</v>
      </c>
      <c r="AK1628">
        <v>0</v>
      </c>
      <c r="AU1628" s="3">
        <v>42416</v>
      </c>
      <c r="AV1628" s="3">
        <v>42416</v>
      </c>
      <c r="AW1628" t="s">
        <v>54</v>
      </c>
      <c r="AX1628" t="str">
        <f t="shared" si="215"/>
        <v>FOR</v>
      </c>
      <c r="AY1628" t="s">
        <v>55</v>
      </c>
    </row>
    <row r="1629" spans="1:51" hidden="1">
      <c r="A1629">
        <v>101541</v>
      </c>
      <c r="B1629" t="s">
        <v>254</v>
      </c>
      <c r="C1629" t="str">
        <f t="shared" si="216"/>
        <v>08230471008</v>
      </c>
      <c r="D1629" t="str">
        <f t="shared" si="216"/>
        <v>08230471008</v>
      </c>
      <c r="E1629" t="s">
        <v>52</v>
      </c>
      <c r="F1629">
        <v>2015</v>
      </c>
      <c r="G1629" t="str">
        <f>"                4423"</f>
        <v xml:space="preserve">                4423</v>
      </c>
      <c r="H1629" s="3">
        <v>42093</v>
      </c>
      <c r="I1629" s="3">
        <v>42109</v>
      </c>
      <c r="J1629" s="3">
        <v>42109</v>
      </c>
      <c r="K1629" s="3">
        <v>42169</v>
      </c>
      <c r="L1629"/>
      <c r="N1629"/>
      <c r="O1629">
        <v>250</v>
      </c>
      <c r="P1629">
        <v>247</v>
      </c>
      <c r="Q1629" s="4">
        <v>61750</v>
      </c>
      <c r="R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 s="3">
        <v>42562</v>
      </c>
      <c r="AC1629" t="s">
        <v>53</v>
      </c>
      <c r="AD1629" t="s">
        <v>53</v>
      </c>
      <c r="AK1629">
        <v>0</v>
      </c>
      <c r="AU1629" s="3">
        <v>42416</v>
      </c>
      <c r="AV1629" s="3">
        <v>42416</v>
      </c>
      <c r="AW1629" t="s">
        <v>54</v>
      </c>
      <c r="AX1629" t="str">
        <f t="shared" si="215"/>
        <v>FOR</v>
      </c>
      <c r="AY1629" t="s">
        <v>55</v>
      </c>
    </row>
    <row r="1630" spans="1:51" hidden="1">
      <c r="A1630">
        <v>101541</v>
      </c>
      <c r="B1630" t="s">
        <v>254</v>
      </c>
      <c r="C1630" t="str">
        <f t="shared" si="216"/>
        <v>08230471008</v>
      </c>
      <c r="D1630" t="str">
        <f t="shared" si="216"/>
        <v>08230471008</v>
      </c>
      <c r="E1630" t="s">
        <v>52</v>
      </c>
      <c r="F1630">
        <v>2015</v>
      </c>
      <c r="G1630" t="str">
        <f>"                4424"</f>
        <v xml:space="preserve">                4424</v>
      </c>
      <c r="H1630" s="3">
        <v>42093</v>
      </c>
      <c r="I1630" s="3">
        <v>42109</v>
      </c>
      <c r="J1630" s="3">
        <v>42109</v>
      </c>
      <c r="K1630" s="3">
        <v>42169</v>
      </c>
      <c r="L1630"/>
      <c r="N1630"/>
      <c r="O1630">
        <v>250</v>
      </c>
      <c r="P1630">
        <v>247</v>
      </c>
      <c r="Q1630" s="4">
        <v>61750</v>
      </c>
      <c r="R1630">
        <v>0</v>
      </c>
      <c r="V1630">
        <v>0</v>
      </c>
      <c r="W1630">
        <v>0</v>
      </c>
      <c r="X1630">
        <v>0</v>
      </c>
      <c r="Y1630">
        <v>0</v>
      </c>
      <c r="Z1630">
        <v>0</v>
      </c>
      <c r="AA1630">
        <v>0</v>
      </c>
      <c r="AB1630" s="3">
        <v>42562</v>
      </c>
      <c r="AC1630" t="s">
        <v>53</v>
      </c>
      <c r="AD1630" t="s">
        <v>53</v>
      </c>
      <c r="AK1630">
        <v>0</v>
      </c>
      <c r="AU1630" s="3">
        <v>42416</v>
      </c>
      <c r="AV1630" s="3">
        <v>42416</v>
      </c>
      <c r="AW1630" t="s">
        <v>54</v>
      </c>
      <c r="AX1630" t="str">
        <f t="shared" si="215"/>
        <v>FOR</v>
      </c>
      <c r="AY1630" t="s">
        <v>55</v>
      </c>
    </row>
    <row r="1631" spans="1:51" hidden="1">
      <c r="A1631">
        <v>101541</v>
      </c>
      <c r="B1631" t="s">
        <v>254</v>
      </c>
      <c r="C1631" t="str">
        <f t="shared" si="216"/>
        <v>08230471008</v>
      </c>
      <c r="D1631" t="str">
        <f t="shared" si="216"/>
        <v>08230471008</v>
      </c>
      <c r="E1631" t="s">
        <v>52</v>
      </c>
      <c r="F1631">
        <v>2015</v>
      </c>
      <c r="G1631" t="str">
        <f>"               50105"</f>
        <v xml:space="preserve">               50105</v>
      </c>
      <c r="H1631" s="3">
        <v>42121</v>
      </c>
      <c r="I1631" s="3">
        <v>42172</v>
      </c>
      <c r="J1631" s="3">
        <v>42138</v>
      </c>
      <c r="K1631" s="3">
        <v>42198</v>
      </c>
      <c r="L1631"/>
      <c r="N1631"/>
      <c r="O1631">
        <v>700</v>
      </c>
      <c r="P1631">
        <v>235</v>
      </c>
      <c r="Q1631" s="4">
        <v>164500</v>
      </c>
      <c r="R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 s="3">
        <v>42562</v>
      </c>
      <c r="AC1631" t="s">
        <v>53</v>
      </c>
      <c r="AD1631" t="s">
        <v>53</v>
      </c>
      <c r="AK1631">
        <v>0</v>
      </c>
      <c r="AU1631" s="3">
        <v>42433</v>
      </c>
      <c r="AV1631" s="3">
        <v>42433</v>
      </c>
      <c r="AW1631" t="s">
        <v>54</v>
      </c>
      <c r="AX1631" t="str">
        <f t="shared" si="215"/>
        <v>FOR</v>
      </c>
      <c r="AY1631" t="s">
        <v>55</v>
      </c>
    </row>
    <row r="1632" spans="1:51" hidden="1">
      <c r="A1632">
        <v>101541</v>
      </c>
      <c r="B1632" t="s">
        <v>254</v>
      </c>
      <c r="C1632" t="str">
        <f t="shared" si="216"/>
        <v>08230471008</v>
      </c>
      <c r="D1632" t="str">
        <f t="shared" si="216"/>
        <v>08230471008</v>
      </c>
      <c r="E1632" t="s">
        <v>52</v>
      </c>
      <c r="F1632">
        <v>2015</v>
      </c>
      <c r="G1632" t="str">
        <f>"               50106"</f>
        <v xml:space="preserve">               50106</v>
      </c>
      <c r="H1632" s="3">
        <v>42121</v>
      </c>
      <c r="I1632" s="3">
        <v>42185</v>
      </c>
      <c r="J1632" s="3">
        <v>42181</v>
      </c>
      <c r="K1632" s="3">
        <v>42241</v>
      </c>
      <c r="L1632"/>
      <c r="N1632"/>
      <c r="O1632">
        <v>700</v>
      </c>
      <c r="P1632">
        <v>192</v>
      </c>
      <c r="Q1632" s="4">
        <v>134400</v>
      </c>
      <c r="R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 s="3">
        <v>42562</v>
      </c>
      <c r="AC1632" t="s">
        <v>53</v>
      </c>
      <c r="AD1632" t="s">
        <v>53</v>
      </c>
      <c r="AK1632">
        <v>0</v>
      </c>
      <c r="AU1632" s="3">
        <v>42433</v>
      </c>
      <c r="AV1632" s="3">
        <v>42433</v>
      </c>
      <c r="AW1632" t="s">
        <v>54</v>
      </c>
      <c r="AX1632" t="str">
        <f t="shared" si="215"/>
        <v>FOR</v>
      </c>
      <c r="AY1632" t="s">
        <v>55</v>
      </c>
    </row>
    <row r="1633" spans="1:51" hidden="1">
      <c r="A1633">
        <v>101541</v>
      </c>
      <c r="B1633" t="s">
        <v>254</v>
      </c>
      <c r="C1633" t="str">
        <f t="shared" si="216"/>
        <v>08230471008</v>
      </c>
      <c r="D1633" t="str">
        <f t="shared" si="216"/>
        <v>08230471008</v>
      </c>
      <c r="E1633" t="s">
        <v>52</v>
      </c>
      <c r="F1633">
        <v>2015</v>
      </c>
      <c r="G1633" t="str">
        <f>"               50107"</f>
        <v xml:space="preserve">               50107</v>
      </c>
      <c r="H1633" s="3">
        <v>42121</v>
      </c>
      <c r="I1633" s="3">
        <v>42174</v>
      </c>
      <c r="J1633" s="3">
        <v>42138</v>
      </c>
      <c r="K1633" s="3">
        <v>42198</v>
      </c>
      <c r="L1633"/>
      <c r="N1633"/>
      <c r="O1633">
        <v>700</v>
      </c>
      <c r="P1633">
        <v>235</v>
      </c>
      <c r="Q1633" s="4">
        <v>164500</v>
      </c>
      <c r="R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 s="3">
        <v>42562</v>
      </c>
      <c r="AC1633" t="s">
        <v>53</v>
      </c>
      <c r="AD1633" t="s">
        <v>53</v>
      </c>
      <c r="AK1633">
        <v>0</v>
      </c>
      <c r="AU1633" s="3">
        <v>42433</v>
      </c>
      <c r="AV1633" s="3">
        <v>42433</v>
      </c>
      <c r="AW1633" t="s">
        <v>54</v>
      </c>
      <c r="AX1633" t="str">
        <f t="shared" si="215"/>
        <v>FOR</v>
      </c>
      <c r="AY1633" t="s">
        <v>55</v>
      </c>
    </row>
    <row r="1634" spans="1:51" hidden="1">
      <c r="A1634">
        <v>101541</v>
      </c>
      <c r="B1634" t="s">
        <v>254</v>
      </c>
      <c r="C1634" t="str">
        <f t="shared" si="216"/>
        <v>08230471008</v>
      </c>
      <c r="D1634" t="str">
        <f t="shared" si="216"/>
        <v>08230471008</v>
      </c>
      <c r="E1634" t="s">
        <v>52</v>
      </c>
      <c r="F1634">
        <v>2015</v>
      </c>
      <c r="G1634" t="str">
        <f>"               50108"</f>
        <v xml:space="preserve">               50108</v>
      </c>
      <c r="H1634" s="3">
        <v>42121</v>
      </c>
      <c r="I1634" s="3">
        <v>42172</v>
      </c>
      <c r="J1634" s="3">
        <v>42138</v>
      </c>
      <c r="K1634" s="3">
        <v>42198</v>
      </c>
      <c r="L1634"/>
      <c r="N1634"/>
      <c r="O1634">
        <v>250</v>
      </c>
      <c r="P1634">
        <v>235</v>
      </c>
      <c r="Q1634" s="4">
        <v>58750</v>
      </c>
      <c r="R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0</v>
      </c>
      <c r="AB1634" s="3">
        <v>42562</v>
      </c>
      <c r="AC1634" t="s">
        <v>53</v>
      </c>
      <c r="AD1634" t="s">
        <v>53</v>
      </c>
      <c r="AK1634">
        <v>0</v>
      </c>
      <c r="AU1634" s="3">
        <v>42433</v>
      </c>
      <c r="AV1634" s="3">
        <v>42433</v>
      </c>
      <c r="AW1634" t="s">
        <v>54</v>
      </c>
      <c r="AX1634" t="str">
        <f t="shared" si="215"/>
        <v>FOR</v>
      </c>
      <c r="AY1634" t="s">
        <v>55</v>
      </c>
    </row>
    <row r="1635" spans="1:51" hidden="1">
      <c r="A1635">
        <v>101541</v>
      </c>
      <c r="B1635" t="s">
        <v>254</v>
      </c>
      <c r="C1635" t="str">
        <f t="shared" si="216"/>
        <v>08230471008</v>
      </c>
      <c r="D1635" t="str">
        <f t="shared" si="216"/>
        <v>08230471008</v>
      </c>
      <c r="E1635" t="s">
        <v>52</v>
      </c>
      <c r="F1635">
        <v>2015</v>
      </c>
      <c r="G1635" t="str">
        <f>"               50109"</f>
        <v xml:space="preserve">               50109</v>
      </c>
      <c r="H1635" s="3">
        <v>42121</v>
      </c>
      <c r="I1635" s="3">
        <v>42186</v>
      </c>
      <c r="J1635" s="3">
        <v>42182</v>
      </c>
      <c r="K1635" s="3">
        <v>42242</v>
      </c>
      <c r="L1635"/>
      <c r="N1635"/>
      <c r="O1635">
        <v>250</v>
      </c>
      <c r="P1635">
        <v>191</v>
      </c>
      <c r="Q1635" s="4">
        <v>47750</v>
      </c>
      <c r="R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 s="3">
        <v>42562</v>
      </c>
      <c r="AC1635" t="s">
        <v>53</v>
      </c>
      <c r="AD1635" t="s">
        <v>53</v>
      </c>
      <c r="AK1635">
        <v>0</v>
      </c>
      <c r="AU1635" s="3">
        <v>42433</v>
      </c>
      <c r="AV1635" s="3">
        <v>42433</v>
      </c>
      <c r="AW1635" t="s">
        <v>54</v>
      </c>
      <c r="AX1635" t="str">
        <f t="shared" si="215"/>
        <v>FOR</v>
      </c>
      <c r="AY1635" t="s">
        <v>55</v>
      </c>
    </row>
    <row r="1636" spans="1:51" hidden="1">
      <c r="A1636">
        <v>101541</v>
      </c>
      <c r="B1636" t="s">
        <v>254</v>
      </c>
      <c r="C1636" t="str">
        <f t="shared" si="216"/>
        <v>08230471008</v>
      </c>
      <c r="D1636" t="str">
        <f t="shared" si="216"/>
        <v>08230471008</v>
      </c>
      <c r="E1636" t="s">
        <v>52</v>
      </c>
      <c r="F1636">
        <v>2015</v>
      </c>
      <c r="G1636" t="str">
        <f>"               50110"</f>
        <v xml:space="preserve">               50110</v>
      </c>
      <c r="H1636" s="3">
        <v>42121</v>
      </c>
      <c r="I1636" s="3">
        <v>42172</v>
      </c>
      <c r="J1636" s="3">
        <v>42138</v>
      </c>
      <c r="K1636" s="3">
        <v>42198</v>
      </c>
      <c r="L1636"/>
      <c r="N1636"/>
      <c r="O1636">
        <v>250</v>
      </c>
      <c r="P1636">
        <v>235</v>
      </c>
      <c r="Q1636" s="4">
        <v>58750</v>
      </c>
      <c r="R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 s="3">
        <v>42562</v>
      </c>
      <c r="AC1636" t="s">
        <v>53</v>
      </c>
      <c r="AD1636" t="s">
        <v>53</v>
      </c>
      <c r="AK1636">
        <v>0</v>
      </c>
      <c r="AU1636" s="3">
        <v>42433</v>
      </c>
      <c r="AV1636" s="3">
        <v>42433</v>
      </c>
      <c r="AW1636" t="s">
        <v>54</v>
      </c>
      <c r="AX1636" t="str">
        <f t="shared" si="215"/>
        <v>FOR</v>
      </c>
      <c r="AY1636" t="s">
        <v>55</v>
      </c>
    </row>
    <row r="1637" spans="1:51" hidden="1">
      <c r="A1637">
        <v>101541</v>
      </c>
      <c r="B1637" t="s">
        <v>254</v>
      </c>
      <c r="C1637" t="str">
        <f t="shared" si="216"/>
        <v>08230471008</v>
      </c>
      <c r="D1637" t="str">
        <f t="shared" si="216"/>
        <v>08230471008</v>
      </c>
      <c r="E1637" t="s">
        <v>52</v>
      </c>
      <c r="F1637">
        <v>2015</v>
      </c>
      <c r="G1637" t="str">
        <f>"               50111"</f>
        <v xml:space="preserve">               50111</v>
      </c>
      <c r="H1637" s="3">
        <v>42121</v>
      </c>
      <c r="I1637" s="3">
        <v>42172</v>
      </c>
      <c r="J1637" s="3">
        <v>42138</v>
      </c>
      <c r="K1637" s="3">
        <v>42198</v>
      </c>
      <c r="L1637"/>
      <c r="N1637"/>
      <c r="O1637">
        <v>250</v>
      </c>
      <c r="P1637">
        <v>235</v>
      </c>
      <c r="Q1637" s="4">
        <v>58750</v>
      </c>
      <c r="R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0</v>
      </c>
      <c r="AB1637" s="3">
        <v>42562</v>
      </c>
      <c r="AC1637" t="s">
        <v>53</v>
      </c>
      <c r="AD1637" t="s">
        <v>53</v>
      </c>
      <c r="AK1637">
        <v>0</v>
      </c>
      <c r="AU1637" s="3">
        <v>42433</v>
      </c>
      <c r="AV1637" s="3">
        <v>42433</v>
      </c>
      <c r="AW1637" t="s">
        <v>54</v>
      </c>
      <c r="AX1637" t="str">
        <f t="shared" si="215"/>
        <v>FOR</v>
      </c>
      <c r="AY1637" t="s">
        <v>55</v>
      </c>
    </row>
    <row r="1638" spans="1:51" hidden="1">
      <c r="A1638">
        <v>101541</v>
      </c>
      <c r="B1638" t="s">
        <v>254</v>
      </c>
      <c r="C1638" t="str">
        <f t="shared" ref="C1638:D1657" si="217">"08230471008"</f>
        <v>08230471008</v>
      </c>
      <c r="D1638" t="str">
        <f t="shared" si="217"/>
        <v>08230471008</v>
      </c>
      <c r="E1638" t="s">
        <v>52</v>
      </c>
      <c r="F1638">
        <v>2015</v>
      </c>
      <c r="G1638" t="str">
        <f>"               50112"</f>
        <v xml:space="preserve">               50112</v>
      </c>
      <c r="H1638" s="3">
        <v>42121</v>
      </c>
      <c r="I1638" s="3">
        <v>42174</v>
      </c>
      <c r="J1638" s="3">
        <v>42138</v>
      </c>
      <c r="K1638" s="3">
        <v>42198</v>
      </c>
      <c r="L1638"/>
      <c r="N1638"/>
      <c r="O1638">
        <v>250</v>
      </c>
      <c r="P1638">
        <v>235</v>
      </c>
      <c r="Q1638" s="4">
        <v>58750</v>
      </c>
      <c r="R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 s="3">
        <v>42562</v>
      </c>
      <c r="AC1638" t="s">
        <v>53</v>
      </c>
      <c r="AD1638" t="s">
        <v>53</v>
      </c>
      <c r="AK1638">
        <v>0</v>
      </c>
      <c r="AU1638" s="3">
        <v>42433</v>
      </c>
      <c r="AV1638" s="3">
        <v>42433</v>
      </c>
      <c r="AW1638" t="s">
        <v>54</v>
      </c>
      <c r="AX1638" t="str">
        <f t="shared" si="215"/>
        <v>FOR</v>
      </c>
      <c r="AY1638" t="s">
        <v>55</v>
      </c>
    </row>
    <row r="1639" spans="1:51" hidden="1">
      <c r="A1639">
        <v>101541</v>
      </c>
      <c r="B1639" t="s">
        <v>254</v>
      </c>
      <c r="C1639" t="str">
        <f t="shared" si="217"/>
        <v>08230471008</v>
      </c>
      <c r="D1639" t="str">
        <f t="shared" si="217"/>
        <v>08230471008</v>
      </c>
      <c r="E1639" t="s">
        <v>52</v>
      </c>
      <c r="F1639">
        <v>2015</v>
      </c>
      <c r="G1639" t="str">
        <f>"               50113"</f>
        <v xml:space="preserve">               50113</v>
      </c>
      <c r="H1639" s="3">
        <v>42121</v>
      </c>
      <c r="I1639" s="3">
        <v>42172</v>
      </c>
      <c r="J1639" s="3">
        <v>42138</v>
      </c>
      <c r="K1639" s="3">
        <v>42198</v>
      </c>
      <c r="L1639"/>
      <c r="N1639"/>
      <c r="O1639">
        <v>250</v>
      </c>
      <c r="P1639">
        <v>235</v>
      </c>
      <c r="Q1639" s="4">
        <v>58750</v>
      </c>
      <c r="R1639">
        <v>0</v>
      </c>
      <c r="V1639">
        <v>0</v>
      </c>
      <c r="W1639">
        <v>0</v>
      </c>
      <c r="X1639">
        <v>0</v>
      </c>
      <c r="Y1639">
        <v>0</v>
      </c>
      <c r="Z1639">
        <v>0</v>
      </c>
      <c r="AA1639">
        <v>0</v>
      </c>
      <c r="AB1639" s="3">
        <v>42562</v>
      </c>
      <c r="AC1639" t="s">
        <v>53</v>
      </c>
      <c r="AD1639" t="s">
        <v>53</v>
      </c>
      <c r="AK1639">
        <v>0</v>
      </c>
      <c r="AU1639" s="3">
        <v>42433</v>
      </c>
      <c r="AV1639" s="3">
        <v>42433</v>
      </c>
      <c r="AW1639" t="s">
        <v>54</v>
      </c>
      <c r="AX1639" t="str">
        <f t="shared" si="215"/>
        <v>FOR</v>
      </c>
      <c r="AY1639" t="s">
        <v>55</v>
      </c>
    </row>
    <row r="1640" spans="1:51" hidden="1">
      <c r="A1640">
        <v>101541</v>
      </c>
      <c r="B1640" t="s">
        <v>254</v>
      </c>
      <c r="C1640" t="str">
        <f t="shared" si="217"/>
        <v>08230471008</v>
      </c>
      <c r="D1640" t="str">
        <f t="shared" si="217"/>
        <v>08230471008</v>
      </c>
      <c r="E1640" t="s">
        <v>52</v>
      </c>
      <c r="F1640">
        <v>2015</v>
      </c>
      <c r="G1640" t="str">
        <f>"               50114"</f>
        <v xml:space="preserve">               50114</v>
      </c>
      <c r="H1640" s="3">
        <v>42121</v>
      </c>
      <c r="I1640" s="3">
        <v>42172</v>
      </c>
      <c r="J1640" s="3">
        <v>42138</v>
      </c>
      <c r="K1640" s="3">
        <v>42198</v>
      </c>
      <c r="L1640"/>
      <c r="N1640"/>
      <c r="O1640">
        <v>250</v>
      </c>
      <c r="P1640">
        <v>235</v>
      </c>
      <c r="Q1640" s="4">
        <v>58750</v>
      </c>
      <c r="R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 s="3">
        <v>42562</v>
      </c>
      <c r="AC1640" t="s">
        <v>53</v>
      </c>
      <c r="AD1640" t="s">
        <v>53</v>
      </c>
      <c r="AK1640">
        <v>0</v>
      </c>
      <c r="AU1640" s="3">
        <v>42433</v>
      </c>
      <c r="AV1640" s="3">
        <v>42433</v>
      </c>
      <c r="AW1640" t="s">
        <v>54</v>
      </c>
      <c r="AX1640" t="str">
        <f t="shared" si="215"/>
        <v>FOR</v>
      </c>
      <c r="AY1640" t="s">
        <v>55</v>
      </c>
    </row>
    <row r="1641" spans="1:51" hidden="1">
      <c r="A1641">
        <v>101541</v>
      </c>
      <c r="B1641" t="s">
        <v>254</v>
      </c>
      <c r="C1641" t="str">
        <f t="shared" si="217"/>
        <v>08230471008</v>
      </c>
      <c r="D1641" t="str">
        <f t="shared" si="217"/>
        <v>08230471008</v>
      </c>
      <c r="E1641" t="s">
        <v>52</v>
      </c>
      <c r="F1641">
        <v>2015</v>
      </c>
      <c r="G1641" t="str">
        <f>"               50115"</f>
        <v xml:space="preserve">               50115</v>
      </c>
      <c r="H1641" s="3">
        <v>42121</v>
      </c>
      <c r="I1641" s="3">
        <v>42172</v>
      </c>
      <c r="J1641" s="3">
        <v>42138</v>
      </c>
      <c r="K1641" s="3">
        <v>42198</v>
      </c>
      <c r="L1641"/>
      <c r="N1641"/>
      <c r="O1641">
        <v>250</v>
      </c>
      <c r="P1641">
        <v>235</v>
      </c>
      <c r="Q1641" s="4">
        <v>58750</v>
      </c>
      <c r="R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 s="3">
        <v>42562</v>
      </c>
      <c r="AC1641" t="s">
        <v>53</v>
      </c>
      <c r="AD1641" t="s">
        <v>53</v>
      </c>
      <c r="AK1641">
        <v>0</v>
      </c>
      <c r="AU1641" s="3">
        <v>42433</v>
      </c>
      <c r="AV1641" s="3">
        <v>42433</v>
      </c>
      <c r="AW1641" t="s">
        <v>54</v>
      </c>
      <c r="AX1641" t="str">
        <f t="shared" si="215"/>
        <v>FOR</v>
      </c>
      <c r="AY1641" t="s">
        <v>55</v>
      </c>
    </row>
    <row r="1642" spans="1:51" hidden="1">
      <c r="A1642">
        <v>101541</v>
      </c>
      <c r="B1642" t="s">
        <v>254</v>
      </c>
      <c r="C1642" t="str">
        <f t="shared" si="217"/>
        <v>08230471008</v>
      </c>
      <c r="D1642" t="str">
        <f t="shared" si="217"/>
        <v>08230471008</v>
      </c>
      <c r="E1642" t="s">
        <v>52</v>
      </c>
      <c r="F1642">
        <v>2015</v>
      </c>
      <c r="G1642" t="str">
        <f>"               50116"</f>
        <v xml:space="preserve">               50116</v>
      </c>
      <c r="H1642" s="3">
        <v>42121</v>
      </c>
      <c r="I1642" s="3">
        <v>42172</v>
      </c>
      <c r="J1642" s="3">
        <v>42138</v>
      </c>
      <c r="K1642" s="3">
        <v>42198</v>
      </c>
      <c r="L1642"/>
      <c r="N1642"/>
      <c r="O1642">
        <v>250</v>
      </c>
      <c r="P1642">
        <v>235</v>
      </c>
      <c r="Q1642" s="4">
        <v>58750</v>
      </c>
      <c r="R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0</v>
      </c>
      <c r="AB1642" s="3">
        <v>42562</v>
      </c>
      <c r="AC1642" t="s">
        <v>53</v>
      </c>
      <c r="AD1642" t="s">
        <v>53</v>
      </c>
      <c r="AK1642">
        <v>0</v>
      </c>
      <c r="AU1642" s="3">
        <v>42433</v>
      </c>
      <c r="AV1642" s="3">
        <v>42433</v>
      </c>
      <c r="AW1642" t="s">
        <v>54</v>
      </c>
      <c r="AX1642" t="str">
        <f t="shared" si="215"/>
        <v>FOR</v>
      </c>
      <c r="AY1642" t="s">
        <v>55</v>
      </c>
    </row>
    <row r="1643" spans="1:51" hidden="1">
      <c r="A1643">
        <v>101541</v>
      </c>
      <c r="B1643" t="s">
        <v>254</v>
      </c>
      <c r="C1643" t="str">
        <f t="shared" si="217"/>
        <v>08230471008</v>
      </c>
      <c r="D1643" t="str">
        <f t="shared" si="217"/>
        <v>08230471008</v>
      </c>
      <c r="E1643" t="s">
        <v>52</v>
      </c>
      <c r="F1643">
        <v>2015</v>
      </c>
      <c r="G1643" t="str">
        <f>"               50117"</f>
        <v xml:space="preserve">               50117</v>
      </c>
      <c r="H1643" s="3">
        <v>42121</v>
      </c>
      <c r="I1643" s="3">
        <v>42129</v>
      </c>
      <c r="J1643" s="3">
        <v>42128</v>
      </c>
      <c r="K1643" s="3">
        <v>42188</v>
      </c>
      <c r="L1643"/>
      <c r="N1643"/>
      <c r="O1643">
        <v>250</v>
      </c>
      <c r="P1643">
        <v>245</v>
      </c>
      <c r="Q1643" s="4">
        <v>61250</v>
      </c>
      <c r="R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 s="3">
        <v>42562</v>
      </c>
      <c r="AC1643" t="s">
        <v>53</v>
      </c>
      <c r="AD1643" t="s">
        <v>53</v>
      </c>
      <c r="AK1643">
        <v>0</v>
      </c>
      <c r="AU1643" s="3">
        <v>42433</v>
      </c>
      <c r="AV1643" s="3">
        <v>42433</v>
      </c>
      <c r="AW1643" t="s">
        <v>54</v>
      </c>
      <c r="AX1643" t="str">
        <f t="shared" ref="AX1643:AX1674" si="218">"FOR"</f>
        <v>FOR</v>
      </c>
      <c r="AY1643" t="s">
        <v>55</v>
      </c>
    </row>
    <row r="1644" spans="1:51" hidden="1">
      <c r="A1644">
        <v>101541</v>
      </c>
      <c r="B1644" t="s">
        <v>254</v>
      </c>
      <c r="C1644" t="str">
        <f t="shared" si="217"/>
        <v>08230471008</v>
      </c>
      <c r="D1644" t="str">
        <f t="shared" si="217"/>
        <v>08230471008</v>
      </c>
      <c r="E1644" t="s">
        <v>52</v>
      </c>
      <c r="F1644">
        <v>2015</v>
      </c>
      <c r="G1644" t="str">
        <f>"               50118"</f>
        <v xml:space="preserve">               50118</v>
      </c>
      <c r="H1644" s="3">
        <v>42121</v>
      </c>
      <c r="I1644" s="3">
        <v>42160</v>
      </c>
      <c r="J1644" s="3">
        <v>42149</v>
      </c>
      <c r="K1644" s="3">
        <v>42209</v>
      </c>
      <c r="L1644"/>
      <c r="N1644"/>
      <c r="O1644">
        <v>700</v>
      </c>
      <c r="P1644">
        <v>224</v>
      </c>
      <c r="Q1644" s="4">
        <v>156800</v>
      </c>
      <c r="R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 s="3">
        <v>42562</v>
      </c>
      <c r="AC1644" t="s">
        <v>53</v>
      </c>
      <c r="AD1644" t="s">
        <v>53</v>
      </c>
      <c r="AK1644">
        <v>0</v>
      </c>
      <c r="AU1644" s="3">
        <v>42433</v>
      </c>
      <c r="AV1644" s="3">
        <v>42433</v>
      </c>
      <c r="AW1644" t="s">
        <v>54</v>
      </c>
      <c r="AX1644" t="str">
        <f t="shared" si="218"/>
        <v>FOR</v>
      </c>
      <c r="AY1644" t="s">
        <v>55</v>
      </c>
    </row>
    <row r="1645" spans="1:51" hidden="1">
      <c r="A1645">
        <v>101541</v>
      </c>
      <c r="B1645" t="s">
        <v>254</v>
      </c>
      <c r="C1645" t="str">
        <f t="shared" si="217"/>
        <v>08230471008</v>
      </c>
      <c r="D1645" t="str">
        <f t="shared" si="217"/>
        <v>08230471008</v>
      </c>
      <c r="E1645" t="s">
        <v>52</v>
      </c>
      <c r="F1645">
        <v>2015</v>
      </c>
      <c r="G1645" t="str">
        <f>"               50119"</f>
        <v xml:space="preserve">               50119</v>
      </c>
      <c r="H1645" s="3">
        <v>42121</v>
      </c>
      <c r="I1645" s="3">
        <v>42160</v>
      </c>
      <c r="J1645" s="3">
        <v>42149</v>
      </c>
      <c r="K1645" s="3">
        <v>42209</v>
      </c>
      <c r="L1645"/>
      <c r="N1645"/>
      <c r="O1645">
        <v>250</v>
      </c>
      <c r="P1645">
        <v>224</v>
      </c>
      <c r="Q1645" s="4">
        <v>56000</v>
      </c>
      <c r="R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 s="3">
        <v>42562</v>
      </c>
      <c r="AC1645" t="s">
        <v>53</v>
      </c>
      <c r="AD1645" t="s">
        <v>53</v>
      </c>
      <c r="AK1645">
        <v>0</v>
      </c>
      <c r="AU1645" s="3">
        <v>42433</v>
      </c>
      <c r="AV1645" s="3">
        <v>42433</v>
      </c>
      <c r="AW1645" t="s">
        <v>54</v>
      </c>
      <c r="AX1645" t="str">
        <f t="shared" si="218"/>
        <v>FOR</v>
      </c>
      <c r="AY1645" t="s">
        <v>55</v>
      </c>
    </row>
    <row r="1646" spans="1:51" hidden="1">
      <c r="A1646">
        <v>101541</v>
      </c>
      <c r="B1646" t="s">
        <v>254</v>
      </c>
      <c r="C1646" t="str">
        <f t="shared" si="217"/>
        <v>08230471008</v>
      </c>
      <c r="D1646" t="str">
        <f t="shared" si="217"/>
        <v>08230471008</v>
      </c>
      <c r="E1646" t="s">
        <v>52</v>
      </c>
      <c r="F1646">
        <v>2015</v>
      </c>
      <c r="G1646" t="str">
        <f>"               50120"</f>
        <v xml:space="preserve">               50120</v>
      </c>
      <c r="H1646" s="3">
        <v>42121</v>
      </c>
      <c r="I1646" s="3">
        <v>42160</v>
      </c>
      <c r="J1646" s="3">
        <v>42149</v>
      </c>
      <c r="K1646" s="3">
        <v>42209</v>
      </c>
      <c r="L1646"/>
      <c r="N1646"/>
      <c r="O1646">
        <v>250</v>
      </c>
      <c r="P1646">
        <v>224</v>
      </c>
      <c r="Q1646" s="4">
        <v>56000</v>
      </c>
      <c r="R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 s="3">
        <v>42562</v>
      </c>
      <c r="AC1646" t="s">
        <v>53</v>
      </c>
      <c r="AD1646" t="s">
        <v>53</v>
      </c>
      <c r="AK1646">
        <v>0</v>
      </c>
      <c r="AU1646" s="3">
        <v>42433</v>
      </c>
      <c r="AV1646" s="3">
        <v>42433</v>
      </c>
      <c r="AW1646" t="s">
        <v>54</v>
      </c>
      <c r="AX1646" t="str">
        <f t="shared" si="218"/>
        <v>FOR</v>
      </c>
      <c r="AY1646" t="s">
        <v>55</v>
      </c>
    </row>
    <row r="1647" spans="1:51" hidden="1">
      <c r="A1647">
        <v>101541</v>
      </c>
      <c r="B1647" t="s">
        <v>254</v>
      </c>
      <c r="C1647" t="str">
        <f t="shared" si="217"/>
        <v>08230471008</v>
      </c>
      <c r="D1647" t="str">
        <f t="shared" si="217"/>
        <v>08230471008</v>
      </c>
      <c r="E1647" t="s">
        <v>52</v>
      </c>
      <c r="F1647">
        <v>2015</v>
      </c>
      <c r="G1647" t="str">
        <f>"               50121"</f>
        <v xml:space="preserve">               50121</v>
      </c>
      <c r="H1647" s="3">
        <v>42121</v>
      </c>
      <c r="I1647" s="3">
        <v>42160</v>
      </c>
      <c r="J1647" s="3">
        <v>42149</v>
      </c>
      <c r="K1647" s="3">
        <v>42209</v>
      </c>
      <c r="L1647"/>
      <c r="N1647"/>
      <c r="O1647">
        <v>250</v>
      </c>
      <c r="P1647">
        <v>224</v>
      </c>
      <c r="Q1647" s="4">
        <v>56000</v>
      </c>
      <c r="R1647">
        <v>0</v>
      </c>
      <c r="V1647">
        <v>0</v>
      </c>
      <c r="W1647">
        <v>0</v>
      </c>
      <c r="X1647">
        <v>0</v>
      </c>
      <c r="Y1647">
        <v>0</v>
      </c>
      <c r="Z1647">
        <v>0</v>
      </c>
      <c r="AA1647">
        <v>0</v>
      </c>
      <c r="AB1647" s="3">
        <v>42562</v>
      </c>
      <c r="AC1647" t="s">
        <v>53</v>
      </c>
      <c r="AD1647" t="s">
        <v>53</v>
      </c>
      <c r="AK1647">
        <v>0</v>
      </c>
      <c r="AU1647" s="3">
        <v>42433</v>
      </c>
      <c r="AV1647" s="3">
        <v>42433</v>
      </c>
      <c r="AW1647" t="s">
        <v>54</v>
      </c>
      <c r="AX1647" t="str">
        <f t="shared" si="218"/>
        <v>FOR</v>
      </c>
      <c r="AY1647" t="s">
        <v>55</v>
      </c>
    </row>
    <row r="1648" spans="1:51" hidden="1">
      <c r="A1648">
        <v>101541</v>
      </c>
      <c r="B1648" t="s">
        <v>254</v>
      </c>
      <c r="C1648" t="str">
        <f t="shared" si="217"/>
        <v>08230471008</v>
      </c>
      <c r="D1648" t="str">
        <f t="shared" si="217"/>
        <v>08230471008</v>
      </c>
      <c r="E1648" t="s">
        <v>52</v>
      </c>
      <c r="F1648">
        <v>2015</v>
      </c>
      <c r="G1648" t="str">
        <f>"               50122"</f>
        <v xml:space="preserve">               50122</v>
      </c>
      <c r="H1648" s="3">
        <v>42121</v>
      </c>
      <c r="I1648" s="3">
        <v>42129</v>
      </c>
      <c r="J1648" s="3">
        <v>42128</v>
      </c>
      <c r="K1648" s="3">
        <v>42188</v>
      </c>
      <c r="L1648"/>
      <c r="N1648"/>
      <c r="O1648">
        <v>250</v>
      </c>
      <c r="P1648">
        <v>245</v>
      </c>
      <c r="Q1648" s="4">
        <v>61250</v>
      </c>
      <c r="R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 s="3">
        <v>42562</v>
      </c>
      <c r="AC1648" t="s">
        <v>53</v>
      </c>
      <c r="AD1648" t="s">
        <v>53</v>
      </c>
      <c r="AK1648">
        <v>0</v>
      </c>
      <c r="AU1648" s="3">
        <v>42433</v>
      </c>
      <c r="AV1648" s="3">
        <v>42433</v>
      </c>
      <c r="AW1648" t="s">
        <v>54</v>
      </c>
      <c r="AX1648" t="str">
        <f t="shared" si="218"/>
        <v>FOR</v>
      </c>
      <c r="AY1648" t="s">
        <v>55</v>
      </c>
    </row>
    <row r="1649" spans="1:51" hidden="1">
      <c r="A1649">
        <v>101541</v>
      </c>
      <c r="B1649" t="s">
        <v>254</v>
      </c>
      <c r="C1649" t="str">
        <f t="shared" si="217"/>
        <v>08230471008</v>
      </c>
      <c r="D1649" t="str">
        <f t="shared" si="217"/>
        <v>08230471008</v>
      </c>
      <c r="E1649" t="s">
        <v>52</v>
      </c>
      <c r="F1649">
        <v>2015</v>
      </c>
      <c r="G1649" t="str">
        <f>"               50123"</f>
        <v xml:space="preserve">               50123</v>
      </c>
      <c r="H1649" s="3">
        <v>42121</v>
      </c>
      <c r="I1649" s="3">
        <v>42160</v>
      </c>
      <c r="J1649" s="3">
        <v>42149</v>
      </c>
      <c r="K1649" s="3">
        <v>42209</v>
      </c>
      <c r="L1649"/>
      <c r="N1649"/>
      <c r="O1649">
        <v>250</v>
      </c>
      <c r="P1649">
        <v>224</v>
      </c>
      <c r="Q1649" s="4">
        <v>56000</v>
      </c>
      <c r="R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 s="3">
        <v>42562</v>
      </c>
      <c r="AC1649" t="s">
        <v>53</v>
      </c>
      <c r="AD1649" t="s">
        <v>53</v>
      </c>
      <c r="AK1649">
        <v>0</v>
      </c>
      <c r="AU1649" s="3">
        <v>42433</v>
      </c>
      <c r="AV1649" s="3">
        <v>42433</v>
      </c>
      <c r="AW1649" t="s">
        <v>54</v>
      </c>
      <c r="AX1649" t="str">
        <f t="shared" si="218"/>
        <v>FOR</v>
      </c>
      <c r="AY1649" t="s">
        <v>55</v>
      </c>
    </row>
    <row r="1650" spans="1:51" hidden="1">
      <c r="A1650">
        <v>101541</v>
      </c>
      <c r="B1650" t="s">
        <v>254</v>
      </c>
      <c r="C1650" t="str">
        <f t="shared" si="217"/>
        <v>08230471008</v>
      </c>
      <c r="D1650" t="str">
        <f t="shared" si="217"/>
        <v>08230471008</v>
      </c>
      <c r="E1650" t="s">
        <v>52</v>
      </c>
      <c r="F1650">
        <v>2015</v>
      </c>
      <c r="G1650" t="str">
        <f>"               50124"</f>
        <v xml:space="preserve">               50124</v>
      </c>
      <c r="H1650" s="3">
        <v>42121</v>
      </c>
      <c r="I1650" s="3">
        <v>42160</v>
      </c>
      <c r="J1650" s="3">
        <v>42149</v>
      </c>
      <c r="K1650" s="3">
        <v>42209</v>
      </c>
      <c r="L1650"/>
      <c r="N1650"/>
      <c r="O1650">
        <v>250</v>
      </c>
      <c r="P1650">
        <v>224</v>
      </c>
      <c r="Q1650" s="4">
        <v>56000</v>
      </c>
      <c r="R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0</v>
      </c>
      <c r="AB1650" s="3">
        <v>42562</v>
      </c>
      <c r="AC1650" t="s">
        <v>53</v>
      </c>
      <c r="AD1650" t="s">
        <v>53</v>
      </c>
      <c r="AK1650">
        <v>0</v>
      </c>
      <c r="AU1650" s="3">
        <v>42433</v>
      </c>
      <c r="AV1650" s="3">
        <v>42433</v>
      </c>
      <c r="AW1650" t="s">
        <v>54</v>
      </c>
      <c r="AX1650" t="str">
        <f t="shared" si="218"/>
        <v>FOR</v>
      </c>
      <c r="AY1650" t="s">
        <v>55</v>
      </c>
    </row>
    <row r="1651" spans="1:51" hidden="1">
      <c r="A1651">
        <v>101541</v>
      </c>
      <c r="B1651" t="s">
        <v>254</v>
      </c>
      <c r="C1651" t="str">
        <f t="shared" si="217"/>
        <v>08230471008</v>
      </c>
      <c r="D1651" t="str">
        <f t="shared" si="217"/>
        <v>08230471008</v>
      </c>
      <c r="E1651" t="s">
        <v>52</v>
      </c>
      <c r="F1651">
        <v>2015</v>
      </c>
      <c r="G1651" t="str">
        <f>"               50125"</f>
        <v xml:space="preserve">               50125</v>
      </c>
      <c r="H1651" s="3">
        <v>42121</v>
      </c>
      <c r="I1651" s="3">
        <v>42160</v>
      </c>
      <c r="J1651" s="3">
        <v>42149</v>
      </c>
      <c r="K1651" s="3">
        <v>42209</v>
      </c>
      <c r="L1651"/>
      <c r="N1651"/>
      <c r="O1651">
        <v>250</v>
      </c>
      <c r="P1651">
        <v>224</v>
      </c>
      <c r="Q1651" s="4">
        <v>56000</v>
      </c>
      <c r="R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0</v>
      </c>
      <c r="AB1651" s="3">
        <v>42562</v>
      </c>
      <c r="AC1651" t="s">
        <v>53</v>
      </c>
      <c r="AD1651" t="s">
        <v>53</v>
      </c>
      <c r="AK1651">
        <v>0</v>
      </c>
      <c r="AU1651" s="3">
        <v>42433</v>
      </c>
      <c r="AV1651" s="3">
        <v>42433</v>
      </c>
      <c r="AW1651" t="s">
        <v>54</v>
      </c>
      <c r="AX1651" t="str">
        <f t="shared" si="218"/>
        <v>FOR</v>
      </c>
      <c r="AY1651" t="s">
        <v>55</v>
      </c>
    </row>
    <row r="1652" spans="1:51" hidden="1">
      <c r="A1652">
        <v>101541</v>
      </c>
      <c r="B1652" t="s">
        <v>254</v>
      </c>
      <c r="C1652" t="str">
        <f t="shared" si="217"/>
        <v>08230471008</v>
      </c>
      <c r="D1652" t="str">
        <f t="shared" si="217"/>
        <v>08230471008</v>
      </c>
      <c r="E1652" t="s">
        <v>52</v>
      </c>
      <c r="F1652">
        <v>2015</v>
      </c>
      <c r="G1652" t="str">
        <f>"               50126"</f>
        <v xml:space="preserve">               50126</v>
      </c>
      <c r="H1652" s="3">
        <v>42121</v>
      </c>
      <c r="I1652" s="3">
        <v>42160</v>
      </c>
      <c r="J1652" s="3">
        <v>42149</v>
      </c>
      <c r="K1652" s="3">
        <v>42209</v>
      </c>
      <c r="L1652"/>
      <c r="N1652"/>
      <c r="O1652">
        <v>250</v>
      </c>
      <c r="P1652">
        <v>224</v>
      </c>
      <c r="Q1652" s="4">
        <v>56000</v>
      </c>
      <c r="R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 s="3">
        <v>42562</v>
      </c>
      <c r="AC1652" t="s">
        <v>53</v>
      </c>
      <c r="AD1652" t="s">
        <v>53</v>
      </c>
      <c r="AK1652">
        <v>0</v>
      </c>
      <c r="AU1652" s="3">
        <v>42433</v>
      </c>
      <c r="AV1652" s="3">
        <v>42433</v>
      </c>
      <c r="AW1652" t="s">
        <v>54</v>
      </c>
      <c r="AX1652" t="str">
        <f t="shared" si="218"/>
        <v>FOR</v>
      </c>
      <c r="AY1652" t="s">
        <v>55</v>
      </c>
    </row>
    <row r="1653" spans="1:51" hidden="1">
      <c r="A1653">
        <v>101541</v>
      </c>
      <c r="B1653" t="s">
        <v>254</v>
      </c>
      <c r="C1653" t="str">
        <f t="shared" si="217"/>
        <v>08230471008</v>
      </c>
      <c r="D1653" t="str">
        <f t="shared" si="217"/>
        <v>08230471008</v>
      </c>
      <c r="E1653" t="s">
        <v>52</v>
      </c>
      <c r="F1653">
        <v>2015</v>
      </c>
      <c r="G1653" t="str">
        <f>"               50645"</f>
        <v xml:space="preserve">               50645</v>
      </c>
      <c r="H1653" s="3">
        <v>42124</v>
      </c>
      <c r="I1653" s="3">
        <v>42174</v>
      </c>
      <c r="J1653" s="3">
        <v>42139</v>
      </c>
      <c r="K1653" s="3">
        <v>42199</v>
      </c>
      <c r="L1653"/>
      <c r="N1653"/>
      <c r="O1653" s="4">
        <v>4554</v>
      </c>
      <c r="P1653">
        <v>234</v>
      </c>
      <c r="Q1653" s="4">
        <v>1065636</v>
      </c>
      <c r="R1653">
        <v>0</v>
      </c>
      <c r="V1653">
        <v>0</v>
      </c>
      <c r="W1653">
        <v>0</v>
      </c>
      <c r="X1653">
        <v>0</v>
      </c>
      <c r="Y1653">
        <v>0</v>
      </c>
      <c r="Z1653">
        <v>0</v>
      </c>
      <c r="AA1653">
        <v>0</v>
      </c>
      <c r="AB1653" s="3">
        <v>42562</v>
      </c>
      <c r="AC1653" t="s">
        <v>53</v>
      </c>
      <c r="AD1653" t="s">
        <v>53</v>
      </c>
      <c r="AK1653">
        <v>0</v>
      </c>
      <c r="AU1653" s="3">
        <v>42433</v>
      </c>
      <c r="AV1653" s="3">
        <v>42433</v>
      </c>
      <c r="AW1653" t="s">
        <v>54</v>
      </c>
      <c r="AX1653" t="str">
        <f t="shared" si="218"/>
        <v>FOR</v>
      </c>
      <c r="AY1653" t="s">
        <v>55</v>
      </c>
    </row>
    <row r="1654" spans="1:51" hidden="1">
      <c r="A1654">
        <v>101541</v>
      </c>
      <c r="B1654" t="s">
        <v>254</v>
      </c>
      <c r="C1654" t="str">
        <f t="shared" si="217"/>
        <v>08230471008</v>
      </c>
      <c r="D1654" t="str">
        <f t="shared" si="217"/>
        <v>08230471008</v>
      </c>
      <c r="E1654" t="s">
        <v>52</v>
      </c>
      <c r="F1654">
        <v>2015</v>
      </c>
      <c r="G1654" t="str">
        <f>"               50646"</f>
        <v xml:space="preserve">               50646</v>
      </c>
      <c r="H1654" s="3">
        <v>42124</v>
      </c>
      <c r="I1654" s="3">
        <v>42172</v>
      </c>
      <c r="J1654" s="3">
        <v>42138</v>
      </c>
      <c r="K1654" s="3">
        <v>42198</v>
      </c>
      <c r="L1654"/>
      <c r="N1654"/>
      <c r="O1654">
        <v>360</v>
      </c>
      <c r="P1654">
        <v>235</v>
      </c>
      <c r="Q1654" s="4">
        <v>84600</v>
      </c>
      <c r="R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 s="3">
        <v>42562</v>
      </c>
      <c r="AC1654" t="s">
        <v>53</v>
      </c>
      <c r="AD1654" t="s">
        <v>53</v>
      </c>
      <c r="AK1654">
        <v>0</v>
      </c>
      <c r="AU1654" s="3">
        <v>42433</v>
      </c>
      <c r="AV1654" s="3">
        <v>42433</v>
      </c>
      <c r="AW1654" t="s">
        <v>54</v>
      </c>
      <c r="AX1654" t="str">
        <f t="shared" si="218"/>
        <v>FOR</v>
      </c>
      <c r="AY1654" t="s">
        <v>55</v>
      </c>
    </row>
    <row r="1655" spans="1:51" hidden="1">
      <c r="A1655">
        <v>101541</v>
      </c>
      <c r="B1655" t="s">
        <v>254</v>
      </c>
      <c r="C1655" t="str">
        <f t="shared" si="217"/>
        <v>08230471008</v>
      </c>
      <c r="D1655" t="str">
        <f t="shared" si="217"/>
        <v>08230471008</v>
      </c>
      <c r="E1655" t="s">
        <v>52</v>
      </c>
      <c r="F1655">
        <v>2015</v>
      </c>
      <c r="G1655" t="str">
        <f>"               50647"</f>
        <v xml:space="preserve">               50647</v>
      </c>
      <c r="H1655" s="3">
        <v>42124</v>
      </c>
      <c r="I1655" s="3">
        <v>42129</v>
      </c>
      <c r="J1655" s="3">
        <v>42129</v>
      </c>
      <c r="K1655" s="3">
        <v>42189</v>
      </c>
      <c r="L1655"/>
      <c r="N1655"/>
      <c r="O1655">
        <v>250</v>
      </c>
      <c r="P1655">
        <v>244</v>
      </c>
      <c r="Q1655" s="4">
        <v>61000</v>
      </c>
      <c r="R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 s="3">
        <v>42562</v>
      </c>
      <c r="AC1655" t="s">
        <v>53</v>
      </c>
      <c r="AD1655" t="s">
        <v>53</v>
      </c>
      <c r="AK1655">
        <v>0</v>
      </c>
      <c r="AU1655" s="3">
        <v>42433</v>
      </c>
      <c r="AV1655" s="3">
        <v>42433</v>
      </c>
      <c r="AW1655" t="s">
        <v>54</v>
      </c>
      <c r="AX1655" t="str">
        <f t="shared" si="218"/>
        <v>FOR</v>
      </c>
      <c r="AY1655" t="s">
        <v>55</v>
      </c>
    </row>
    <row r="1656" spans="1:51" hidden="1">
      <c r="A1656">
        <v>101541</v>
      </c>
      <c r="B1656" t="s">
        <v>254</v>
      </c>
      <c r="C1656" t="str">
        <f t="shared" si="217"/>
        <v>08230471008</v>
      </c>
      <c r="D1656" t="str">
        <f t="shared" si="217"/>
        <v>08230471008</v>
      </c>
      <c r="E1656" t="s">
        <v>52</v>
      </c>
      <c r="F1656">
        <v>2015</v>
      </c>
      <c r="G1656" t="str">
        <f>"               50648"</f>
        <v xml:space="preserve">               50648</v>
      </c>
      <c r="H1656" s="3">
        <v>42124</v>
      </c>
      <c r="I1656" s="3">
        <v>42129</v>
      </c>
      <c r="J1656" s="3">
        <v>42129</v>
      </c>
      <c r="K1656" s="3">
        <v>42189</v>
      </c>
      <c r="L1656"/>
      <c r="N1656"/>
      <c r="O1656">
        <v>250</v>
      </c>
      <c r="P1656">
        <v>244</v>
      </c>
      <c r="Q1656" s="4">
        <v>61000</v>
      </c>
      <c r="R1656">
        <v>0</v>
      </c>
      <c r="V1656">
        <v>0</v>
      </c>
      <c r="W1656">
        <v>0</v>
      </c>
      <c r="X1656">
        <v>0</v>
      </c>
      <c r="Y1656">
        <v>0</v>
      </c>
      <c r="Z1656">
        <v>0</v>
      </c>
      <c r="AA1656">
        <v>0</v>
      </c>
      <c r="AB1656" s="3">
        <v>42562</v>
      </c>
      <c r="AC1656" t="s">
        <v>53</v>
      </c>
      <c r="AD1656" t="s">
        <v>53</v>
      </c>
      <c r="AK1656">
        <v>0</v>
      </c>
      <c r="AU1656" s="3">
        <v>42433</v>
      </c>
      <c r="AV1656" s="3">
        <v>42433</v>
      </c>
      <c r="AW1656" t="s">
        <v>54</v>
      </c>
      <c r="AX1656" t="str">
        <f t="shared" si="218"/>
        <v>FOR</v>
      </c>
      <c r="AY1656" t="s">
        <v>55</v>
      </c>
    </row>
    <row r="1657" spans="1:51" hidden="1">
      <c r="A1657">
        <v>101541</v>
      </c>
      <c r="B1657" t="s">
        <v>254</v>
      </c>
      <c r="C1657" t="str">
        <f t="shared" si="217"/>
        <v>08230471008</v>
      </c>
      <c r="D1657" t="str">
        <f t="shared" si="217"/>
        <v>08230471008</v>
      </c>
      <c r="E1657" t="s">
        <v>52</v>
      </c>
      <c r="F1657">
        <v>2015</v>
      </c>
      <c r="G1657" t="str">
        <f>"               50649"</f>
        <v xml:space="preserve">               50649</v>
      </c>
      <c r="H1657" s="3">
        <v>42124</v>
      </c>
      <c r="I1657" s="3">
        <v>42129</v>
      </c>
      <c r="J1657" s="3">
        <v>42128</v>
      </c>
      <c r="K1657" s="3">
        <v>42188</v>
      </c>
      <c r="L1657"/>
      <c r="N1657"/>
      <c r="O1657">
        <v>250</v>
      </c>
      <c r="P1657">
        <v>245</v>
      </c>
      <c r="Q1657" s="4">
        <v>61250</v>
      </c>
      <c r="R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 s="3">
        <v>42562</v>
      </c>
      <c r="AC1657" t="s">
        <v>53</v>
      </c>
      <c r="AD1657" t="s">
        <v>53</v>
      </c>
      <c r="AK1657">
        <v>0</v>
      </c>
      <c r="AU1657" s="3">
        <v>42433</v>
      </c>
      <c r="AV1657" s="3">
        <v>42433</v>
      </c>
      <c r="AW1657" t="s">
        <v>54</v>
      </c>
      <c r="AX1657" t="str">
        <f t="shared" si="218"/>
        <v>FOR</v>
      </c>
      <c r="AY1657" t="s">
        <v>55</v>
      </c>
    </row>
    <row r="1658" spans="1:51" hidden="1">
      <c r="A1658">
        <v>101541</v>
      </c>
      <c r="B1658" t="s">
        <v>254</v>
      </c>
      <c r="C1658" t="str">
        <f t="shared" ref="C1658:D1677" si="219">"08230471008"</f>
        <v>08230471008</v>
      </c>
      <c r="D1658" t="str">
        <f t="shared" si="219"/>
        <v>08230471008</v>
      </c>
      <c r="E1658" t="s">
        <v>52</v>
      </c>
      <c r="F1658">
        <v>2015</v>
      </c>
      <c r="G1658" t="str">
        <f>"               50650"</f>
        <v xml:space="preserve">               50650</v>
      </c>
      <c r="H1658" s="3">
        <v>42124</v>
      </c>
      <c r="I1658" s="3">
        <v>42129</v>
      </c>
      <c r="J1658" s="3">
        <v>42129</v>
      </c>
      <c r="K1658" s="3">
        <v>42189</v>
      </c>
      <c r="L1658"/>
      <c r="N1658"/>
      <c r="O1658">
        <v>250</v>
      </c>
      <c r="P1658">
        <v>244</v>
      </c>
      <c r="Q1658" s="4">
        <v>61000</v>
      </c>
      <c r="R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 s="3">
        <v>42562</v>
      </c>
      <c r="AC1658" t="s">
        <v>53</v>
      </c>
      <c r="AD1658" t="s">
        <v>53</v>
      </c>
      <c r="AK1658">
        <v>0</v>
      </c>
      <c r="AU1658" s="3">
        <v>42433</v>
      </c>
      <c r="AV1658" s="3">
        <v>42433</v>
      </c>
      <c r="AW1658" t="s">
        <v>54</v>
      </c>
      <c r="AX1658" t="str">
        <f t="shared" si="218"/>
        <v>FOR</v>
      </c>
      <c r="AY1658" t="s">
        <v>55</v>
      </c>
    </row>
    <row r="1659" spans="1:51" hidden="1">
      <c r="A1659">
        <v>101541</v>
      </c>
      <c r="B1659" t="s">
        <v>254</v>
      </c>
      <c r="C1659" t="str">
        <f t="shared" si="219"/>
        <v>08230471008</v>
      </c>
      <c r="D1659" t="str">
        <f t="shared" si="219"/>
        <v>08230471008</v>
      </c>
      <c r="E1659" t="s">
        <v>52</v>
      </c>
      <c r="F1659">
        <v>2015</v>
      </c>
      <c r="G1659" t="str">
        <f>"               50651"</f>
        <v xml:space="preserve">               50651</v>
      </c>
      <c r="H1659" s="3">
        <v>42124</v>
      </c>
      <c r="I1659" s="3">
        <v>42185</v>
      </c>
      <c r="J1659" s="3">
        <v>42181</v>
      </c>
      <c r="K1659" s="3">
        <v>42241</v>
      </c>
      <c r="L1659"/>
      <c r="N1659"/>
      <c r="O1659">
        <v>250</v>
      </c>
      <c r="P1659">
        <v>192</v>
      </c>
      <c r="Q1659" s="4">
        <v>48000</v>
      </c>
      <c r="R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0</v>
      </c>
      <c r="AB1659" s="3">
        <v>42562</v>
      </c>
      <c r="AC1659" t="s">
        <v>53</v>
      </c>
      <c r="AD1659" t="s">
        <v>53</v>
      </c>
      <c r="AK1659">
        <v>0</v>
      </c>
      <c r="AU1659" s="3">
        <v>42433</v>
      </c>
      <c r="AV1659" s="3">
        <v>42433</v>
      </c>
      <c r="AW1659" t="s">
        <v>54</v>
      </c>
      <c r="AX1659" t="str">
        <f t="shared" si="218"/>
        <v>FOR</v>
      </c>
      <c r="AY1659" t="s">
        <v>55</v>
      </c>
    </row>
    <row r="1660" spans="1:51" hidden="1">
      <c r="A1660">
        <v>101541</v>
      </c>
      <c r="B1660" t="s">
        <v>254</v>
      </c>
      <c r="C1660" t="str">
        <f t="shared" si="219"/>
        <v>08230471008</v>
      </c>
      <c r="D1660" t="str">
        <f t="shared" si="219"/>
        <v>08230471008</v>
      </c>
      <c r="E1660" t="s">
        <v>52</v>
      </c>
      <c r="F1660">
        <v>2015</v>
      </c>
      <c r="G1660" t="str">
        <f>"               50652"</f>
        <v xml:space="preserve">               50652</v>
      </c>
      <c r="H1660" s="3">
        <v>42124</v>
      </c>
      <c r="I1660" s="3">
        <v>42129</v>
      </c>
      <c r="J1660" s="3">
        <v>42128</v>
      </c>
      <c r="K1660" s="3">
        <v>42188</v>
      </c>
      <c r="L1660"/>
      <c r="N1660"/>
      <c r="O1660">
        <v>250</v>
      </c>
      <c r="P1660">
        <v>245</v>
      </c>
      <c r="Q1660" s="4">
        <v>61250</v>
      </c>
      <c r="R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0</v>
      </c>
      <c r="AB1660" s="3">
        <v>42562</v>
      </c>
      <c r="AC1660" t="s">
        <v>53</v>
      </c>
      <c r="AD1660" t="s">
        <v>53</v>
      </c>
      <c r="AK1660">
        <v>0</v>
      </c>
      <c r="AU1660" s="3">
        <v>42433</v>
      </c>
      <c r="AV1660" s="3">
        <v>42433</v>
      </c>
      <c r="AW1660" t="s">
        <v>54</v>
      </c>
      <c r="AX1660" t="str">
        <f t="shared" si="218"/>
        <v>FOR</v>
      </c>
      <c r="AY1660" t="s">
        <v>55</v>
      </c>
    </row>
    <row r="1661" spans="1:51" hidden="1">
      <c r="A1661">
        <v>101541</v>
      </c>
      <c r="B1661" t="s">
        <v>254</v>
      </c>
      <c r="C1661" t="str">
        <f t="shared" si="219"/>
        <v>08230471008</v>
      </c>
      <c r="D1661" t="str">
        <f t="shared" si="219"/>
        <v>08230471008</v>
      </c>
      <c r="E1661" t="s">
        <v>52</v>
      </c>
      <c r="F1661">
        <v>2015</v>
      </c>
      <c r="G1661" t="str">
        <f>"               50653"</f>
        <v xml:space="preserve">               50653</v>
      </c>
      <c r="H1661" s="3">
        <v>42124</v>
      </c>
      <c r="I1661" s="3">
        <v>42185</v>
      </c>
      <c r="J1661" s="3">
        <v>42181</v>
      </c>
      <c r="K1661" s="3">
        <v>42241</v>
      </c>
      <c r="L1661"/>
      <c r="N1661"/>
      <c r="O1661">
        <v>700</v>
      </c>
      <c r="P1661">
        <v>192</v>
      </c>
      <c r="Q1661" s="4">
        <v>134400</v>
      </c>
      <c r="R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 s="3">
        <v>42562</v>
      </c>
      <c r="AC1661" t="s">
        <v>53</v>
      </c>
      <c r="AD1661" t="s">
        <v>53</v>
      </c>
      <c r="AK1661">
        <v>0</v>
      </c>
      <c r="AU1661" s="3">
        <v>42433</v>
      </c>
      <c r="AV1661" s="3">
        <v>42433</v>
      </c>
      <c r="AW1661" t="s">
        <v>54</v>
      </c>
      <c r="AX1661" t="str">
        <f t="shared" si="218"/>
        <v>FOR</v>
      </c>
      <c r="AY1661" t="s">
        <v>55</v>
      </c>
    </row>
    <row r="1662" spans="1:51" hidden="1">
      <c r="A1662">
        <v>101541</v>
      </c>
      <c r="B1662" t="s">
        <v>254</v>
      </c>
      <c r="C1662" t="str">
        <f t="shared" si="219"/>
        <v>08230471008</v>
      </c>
      <c r="D1662" t="str">
        <f t="shared" si="219"/>
        <v>08230471008</v>
      </c>
      <c r="E1662" t="s">
        <v>52</v>
      </c>
      <c r="F1662">
        <v>2015</v>
      </c>
      <c r="G1662" t="str">
        <f>"               50654"</f>
        <v xml:space="preserve">               50654</v>
      </c>
      <c r="H1662" s="3">
        <v>42124</v>
      </c>
      <c r="I1662" s="3">
        <v>42129</v>
      </c>
      <c r="J1662" s="3">
        <v>42128</v>
      </c>
      <c r="K1662" s="3">
        <v>42188</v>
      </c>
      <c r="L1662"/>
      <c r="N1662"/>
      <c r="O1662">
        <v>700</v>
      </c>
      <c r="P1662">
        <v>245</v>
      </c>
      <c r="Q1662" s="4">
        <v>171500</v>
      </c>
      <c r="R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0</v>
      </c>
      <c r="AB1662" s="3">
        <v>42562</v>
      </c>
      <c r="AC1662" t="s">
        <v>53</v>
      </c>
      <c r="AD1662" t="s">
        <v>53</v>
      </c>
      <c r="AK1662">
        <v>0</v>
      </c>
      <c r="AU1662" s="3">
        <v>42433</v>
      </c>
      <c r="AV1662" s="3">
        <v>42433</v>
      </c>
      <c r="AW1662" t="s">
        <v>54</v>
      </c>
      <c r="AX1662" t="str">
        <f t="shared" si="218"/>
        <v>FOR</v>
      </c>
      <c r="AY1662" t="s">
        <v>55</v>
      </c>
    </row>
    <row r="1663" spans="1:51" hidden="1">
      <c r="A1663">
        <v>101541</v>
      </c>
      <c r="B1663" t="s">
        <v>254</v>
      </c>
      <c r="C1663" t="str">
        <f t="shared" si="219"/>
        <v>08230471008</v>
      </c>
      <c r="D1663" t="str">
        <f t="shared" si="219"/>
        <v>08230471008</v>
      </c>
      <c r="E1663" t="s">
        <v>52</v>
      </c>
      <c r="F1663">
        <v>2015</v>
      </c>
      <c r="G1663" t="str">
        <f>"               50655"</f>
        <v xml:space="preserve">               50655</v>
      </c>
      <c r="H1663" s="3">
        <v>42124</v>
      </c>
      <c r="I1663" s="3">
        <v>42185</v>
      </c>
      <c r="J1663" s="3">
        <v>42181</v>
      </c>
      <c r="K1663" s="3">
        <v>42241</v>
      </c>
      <c r="L1663"/>
      <c r="N1663"/>
      <c r="O1663">
        <v>250</v>
      </c>
      <c r="P1663">
        <v>192</v>
      </c>
      <c r="Q1663" s="4">
        <v>48000</v>
      </c>
      <c r="R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 s="3">
        <v>42562</v>
      </c>
      <c r="AC1663" t="s">
        <v>53</v>
      </c>
      <c r="AD1663" t="s">
        <v>53</v>
      </c>
      <c r="AK1663">
        <v>0</v>
      </c>
      <c r="AU1663" s="3">
        <v>42433</v>
      </c>
      <c r="AV1663" s="3">
        <v>42433</v>
      </c>
      <c r="AW1663" t="s">
        <v>54</v>
      </c>
      <c r="AX1663" t="str">
        <f t="shared" si="218"/>
        <v>FOR</v>
      </c>
      <c r="AY1663" t="s">
        <v>55</v>
      </c>
    </row>
    <row r="1664" spans="1:51" hidden="1">
      <c r="A1664">
        <v>101541</v>
      </c>
      <c r="B1664" t="s">
        <v>254</v>
      </c>
      <c r="C1664" t="str">
        <f t="shared" si="219"/>
        <v>08230471008</v>
      </c>
      <c r="D1664" t="str">
        <f t="shared" si="219"/>
        <v>08230471008</v>
      </c>
      <c r="E1664" t="s">
        <v>52</v>
      </c>
      <c r="F1664">
        <v>2015</v>
      </c>
      <c r="G1664" t="str">
        <f>"               50656"</f>
        <v xml:space="preserve">               50656</v>
      </c>
      <c r="H1664" s="3">
        <v>42124</v>
      </c>
      <c r="I1664" s="3">
        <v>42129</v>
      </c>
      <c r="J1664" s="3">
        <v>42129</v>
      </c>
      <c r="K1664" s="3">
        <v>42189</v>
      </c>
      <c r="L1664"/>
      <c r="N1664"/>
      <c r="O1664">
        <v>250</v>
      </c>
      <c r="P1664">
        <v>244</v>
      </c>
      <c r="Q1664" s="4">
        <v>61000</v>
      </c>
      <c r="R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 s="3">
        <v>42562</v>
      </c>
      <c r="AC1664" t="s">
        <v>53</v>
      </c>
      <c r="AD1664" t="s">
        <v>53</v>
      </c>
      <c r="AK1664">
        <v>0</v>
      </c>
      <c r="AU1664" s="3">
        <v>42433</v>
      </c>
      <c r="AV1664" s="3">
        <v>42433</v>
      </c>
      <c r="AW1664" t="s">
        <v>54</v>
      </c>
      <c r="AX1664" t="str">
        <f t="shared" si="218"/>
        <v>FOR</v>
      </c>
      <c r="AY1664" t="s">
        <v>55</v>
      </c>
    </row>
    <row r="1665" spans="1:51" hidden="1">
      <c r="A1665">
        <v>101541</v>
      </c>
      <c r="B1665" t="s">
        <v>254</v>
      </c>
      <c r="C1665" t="str">
        <f t="shared" si="219"/>
        <v>08230471008</v>
      </c>
      <c r="D1665" t="str">
        <f t="shared" si="219"/>
        <v>08230471008</v>
      </c>
      <c r="E1665" t="s">
        <v>52</v>
      </c>
      <c r="F1665">
        <v>2015</v>
      </c>
      <c r="G1665" t="str">
        <f>"               50657"</f>
        <v xml:space="preserve">               50657</v>
      </c>
      <c r="H1665" s="3">
        <v>42124</v>
      </c>
      <c r="I1665" s="3">
        <v>42185</v>
      </c>
      <c r="J1665" s="3">
        <v>42181</v>
      </c>
      <c r="K1665" s="3">
        <v>42241</v>
      </c>
      <c r="L1665"/>
      <c r="N1665"/>
      <c r="O1665">
        <v>250</v>
      </c>
      <c r="P1665">
        <v>192</v>
      </c>
      <c r="Q1665" s="4">
        <v>48000</v>
      </c>
      <c r="R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 s="3">
        <v>42562</v>
      </c>
      <c r="AC1665" t="s">
        <v>53</v>
      </c>
      <c r="AD1665" t="s">
        <v>53</v>
      </c>
      <c r="AK1665">
        <v>0</v>
      </c>
      <c r="AU1665" s="3">
        <v>42433</v>
      </c>
      <c r="AV1665" s="3">
        <v>42433</v>
      </c>
      <c r="AW1665" t="s">
        <v>54</v>
      </c>
      <c r="AX1665" t="str">
        <f t="shared" si="218"/>
        <v>FOR</v>
      </c>
      <c r="AY1665" t="s">
        <v>55</v>
      </c>
    </row>
    <row r="1666" spans="1:51" hidden="1">
      <c r="A1666">
        <v>101541</v>
      </c>
      <c r="B1666" t="s">
        <v>254</v>
      </c>
      <c r="C1666" t="str">
        <f t="shared" si="219"/>
        <v>08230471008</v>
      </c>
      <c r="D1666" t="str">
        <f t="shared" si="219"/>
        <v>08230471008</v>
      </c>
      <c r="E1666" t="s">
        <v>52</v>
      </c>
      <c r="F1666">
        <v>2015</v>
      </c>
      <c r="G1666" t="str">
        <f>"               50658"</f>
        <v xml:space="preserve">               50658</v>
      </c>
      <c r="H1666" s="3">
        <v>42124</v>
      </c>
      <c r="I1666" s="3">
        <v>42129</v>
      </c>
      <c r="J1666" s="3">
        <v>42128</v>
      </c>
      <c r="K1666" s="3">
        <v>42188</v>
      </c>
      <c r="L1666"/>
      <c r="N1666"/>
      <c r="O1666">
        <v>250</v>
      </c>
      <c r="P1666">
        <v>245</v>
      </c>
      <c r="Q1666" s="4">
        <v>61250</v>
      </c>
      <c r="R1666">
        <v>0</v>
      </c>
      <c r="V1666">
        <v>0</v>
      </c>
      <c r="W1666">
        <v>0</v>
      </c>
      <c r="X1666">
        <v>0</v>
      </c>
      <c r="Y1666">
        <v>0</v>
      </c>
      <c r="Z1666">
        <v>0</v>
      </c>
      <c r="AA1666">
        <v>0</v>
      </c>
      <c r="AB1666" s="3">
        <v>42562</v>
      </c>
      <c r="AC1666" t="s">
        <v>53</v>
      </c>
      <c r="AD1666" t="s">
        <v>53</v>
      </c>
      <c r="AK1666">
        <v>0</v>
      </c>
      <c r="AU1666" s="3">
        <v>42433</v>
      </c>
      <c r="AV1666" s="3">
        <v>42433</v>
      </c>
      <c r="AW1666" t="s">
        <v>54</v>
      </c>
      <c r="AX1666" t="str">
        <f t="shared" si="218"/>
        <v>FOR</v>
      </c>
      <c r="AY1666" t="s">
        <v>55</v>
      </c>
    </row>
    <row r="1667" spans="1:51" hidden="1">
      <c r="A1667">
        <v>101541</v>
      </c>
      <c r="B1667" t="s">
        <v>254</v>
      </c>
      <c r="C1667" t="str">
        <f t="shared" si="219"/>
        <v>08230471008</v>
      </c>
      <c r="D1667" t="str">
        <f t="shared" si="219"/>
        <v>08230471008</v>
      </c>
      <c r="E1667" t="s">
        <v>52</v>
      </c>
      <c r="F1667">
        <v>2015</v>
      </c>
      <c r="G1667" t="str">
        <f>"               50659"</f>
        <v xml:space="preserve">               50659</v>
      </c>
      <c r="H1667" s="3">
        <v>42124</v>
      </c>
      <c r="I1667" s="3">
        <v>42185</v>
      </c>
      <c r="J1667" s="3">
        <v>42181</v>
      </c>
      <c r="K1667" s="3">
        <v>42241</v>
      </c>
      <c r="L1667"/>
      <c r="N1667"/>
      <c r="O1667">
        <v>250</v>
      </c>
      <c r="P1667">
        <v>192</v>
      </c>
      <c r="Q1667" s="4">
        <v>48000</v>
      </c>
      <c r="R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0</v>
      </c>
      <c r="AB1667" s="3">
        <v>42562</v>
      </c>
      <c r="AC1667" t="s">
        <v>53</v>
      </c>
      <c r="AD1667" t="s">
        <v>53</v>
      </c>
      <c r="AK1667">
        <v>0</v>
      </c>
      <c r="AU1667" s="3">
        <v>42433</v>
      </c>
      <c r="AV1667" s="3">
        <v>42433</v>
      </c>
      <c r="AW1667" t="s">
        <v>54</v>
      </c>
      <c r="AX1667" t="str">
        <f t="shared" si="218"/>
        <v>FOR</v>
      </c>
      <c r="AY1667" t="s">
        <v>55</v>
      </c>
    </row>
    <row r="1668" spans="1:51" hidden="1">
      <c r="A1668">
        <v>101541</v>
      </c>
      <c r="B1668" t="s">
        <v>254</v>
      </c>
      <c r="C1668" t="str">
        <f t="shared" si="219"/>
        <v>08230471008</v>
      </c>
      <c r="D1668" t="str">
        <f t="shared" si="219"/>
        <v>08230471008</v>
      </c>
      <c r="E1668" t="s">
        <v>52</v>
      </c>
      <c r="F1668">
        <v>2015</v>
      </c>
      <c r="G1668" t="str">
        <f>"               50660"</f>
        <v xml:space="preserve">               50660</v>
      </c>
      <c r="H1668" s="3">
        <v>42124</v>
      </c>
      <c r="I1668" s="3">
        <v>42129</v>
      </c>
      <c r="J1668" s="3">
        <v>42128</v>
      </c>
      <c r="K1668" s="3">
        <v>42188</v>
      </c>
      <c r="L1668"/>
      <c r="N1668"/>
      <c r="O1668">
        <v>700</v>
      </c>
      <c r="P1668">
        <v>245</v>
      </c>
      <c r="Q1668" s="4">
        <v>171500</v>
      </c>
      <c r="R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0</v>
      </c>
      <c r="AB1668" s="3">
        <v>42562</v>
      </c>
      <c r="AC1668" t="s">
        <v>53</v>
      </c>
      <c r="AD1668" t="s">
        <v>53</v>
      </c>
      <c r="AK1668">
        <v>0</v>
      </c>
      <c r="AU1668" s="3">
        <v>42433</v>
      </c>
      <c r="AV1668" s="3">
        <v>42433</v>
      </c>
      <c r="AW1668" t="s">
        <v>54</v>
      </c>
      <c r="AX1668" t="str">
        <f t="shared" si="218"/>
        <v>FOR</v>
      </c>
      <c r="AY1668" t="s">
        <v>55</v>
      </c>
    </row>
    <row r="1669" spans="1:51" hidden="1">
      <c r="A1669">
        <v>101541</v>
      </c>
      <c r="B1669" t="s">
        <v>254</v>
      </c>
      <c r="C1669" t="str">
        <f t="shared" si="219"/>
        <v>08230471008</v>
      </c>
      <c r="D1669" t="str">
        <f t="shared" si="219"/>
        <v>08230471008</v>
      </c>
      <c r="E1669" t="s">
        <v>52</v>
      </c>
      <c r="F1669">
        <v>2015</v>
      </c>
      <c r="G1669" t="str">
        <f>"               51077"</f>
        <v xml:space="preserve">               51077</v>
      </c>
      <c r="H1669" s="3">
        <v>42124</v>
      </c>
      <c r="I1669" s="3">
        <v>42135</v>
      </c>
      <c r="J1669" s="3">
        <v>42133</v>
      </c>
      <c r="K1669" s="3">
        <v>42193</v>
      </c>
      <c r="L1669"/>
      <c r="N1669"/>
      <c r="O1669" s="4">
        <v>2500</v>
      </c>
      <c r="P1669">
        <v>240</v>
      </c>
      <c r="Q1669" s="4">
        <v>600000</v>
      </c>
      <c r="R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 s="3">
        <v>42562</v>
      </c>
      <c r="AC1669" t="s">
        <v>53</v>
      </c>
      <c r="AD1669" t="s">
        <v>53</v>
      </c>
      <c r="AK1669">
        <v>0</v>
      </c>
      <c r="AU1669" s="3">
        <v>42433</v>
      </c>
      <c r="AV1669" s="3">
        <v>42433</v>
      </c>
      <c r="AW1669" t="s">
        <v>54</v>
      </c>
      <c r="AX1669" t="str">
        <f t="shared" si="218"/>
        <v>FOR</v>
      </c>
      <c r="AY1669" t="s">
        <v>55</v>
      </c>
    </row>
    <row r="1670" spans="1:51" hidden="1">
      <c r="A1670">
        <v>101541</v>
      </c>
      <c r="B1670" t="s">
        <v>254</v>
      </c>
      <c r="C1670" t="str">
        <f t="shared" si="219"/>
        <v>08230471008</v>
      </c>
      <c r="D1670" t="str">
        <f t="shared" si="219"/>
        <v>08230471008</v>
      </c>
      <c r="E1670" t="s">
        <v>52</v>
      </c>
      <c r="F1670">
        <v>2015</v>
      </c>
      <c r="G1670" t="str">
        <f>"               51078"</f>
        <v xml:space="preserve">               51078</v>
      </c>
      <c r="H1670" s="3">
        <v>42124</v>
      </c>
      <c r="I1670" s="3">
        <v>42135</v>
      </c>
      <c r="J1670" s="3">
        <v>42133</v>
      </c>
      <c r="K1670" s="3">
        <v>42193</v>
      </c>
      <c r="L1670"/>
      <c r="N1670"/>
      <c r="O1670">
        <v>250</v>
      </c>
      <c r="P1670">
        <v>240</v>
      </c>
      <c r="Q1670" s="4">
        <v>60000</v>
      </c>
      <c r="R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 s="3">
        <v>42562</v>
      </c>
      <c r="AC1670" t="s">
        <v>53</v>
      </c>
      <c r="AD1670" t="s">
        <v>53</v>
      </c>
      <c r="AK1670">
        <v>0</v>
      </c>
      <c r="AU1670" s="3">
        <v>42433</v>
      </c>
      <c r="AV1670" s="3">
        <v>42433</v>
      </c>
      <c r="AW1670" t="s">
        <v>54</v>
      </c>
      <c r="AX1670" t="str">
        <f t="shared" si="218"/>
        <v>FOR</v>
      </c>
      <c r="AY1670" t="s">
        <v>55</v>
      </c>
    </row>
    <row r="1671" spans="1:51" hidden="1">
      <c r="A1671">
        <v>101541</v>
      </c>
      <c r="B1671" t="s">
        <v>254</v>
      </c>
      <c r="C1671" t="str">
        <f t="shared" si="219"/>
        <v>08230471008</v>
      </c>
      <c r="D1671" t="str">
        <f t="shared" si="219"/>
        <v>08230471008</v>
      </c>
      <c r="E1671" t="s">
        <v>52</v>
      </c>
      <c r="F1671">
        <v>2015</v>
      </c>
      <c r="G1671" t="str">
        <f>"               51079"</f>
        <v xml:space="preserve">               51079</v>
      </c>
      <c r="H1671" s="3">
        <v>42124</v>
      </c>
      <c r="I1671" s="3">
        <v>42135</v>
      </c>
      <c r="J1671" s="3">
        <v>42133</v>
      </c>
      <c r="K1671" s="3">
        <v>42193</v>
      </c>
      <c r="L1671"/>
      <c r="N1671"/>
      <c r="O1671">
        <v>250</v>
      </c>
      <c r="P1671">
        <v>240</v>
      </c>
      <c r="Q1671" s="4">
        <v>60000</v>
      </c>
      <c r="R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 s="3">
        <v>42562</v>
      </c>
      <c r="AC1671" t="s">
        <v>53</v>
      </c>
      <c r="AD1671" t="s">
        <v>53</v>
      </c>
      <c r="AK1671">
        <v>0</v>
      </c>
      <c r="AU1671" s="3">
        <v>42433</v>
      </c>
      <c r="AV1671" s="3">
        <v>42433</v>
      </c>
      <c r="AW1671" t="s">
        <v>54</v>
      </c>
      <c r="AX1671" t="str">
        <f t="shared" si="218"/>
        <v>FOR</v>
      </c>
      <c r="AY1671" t="s">
        <v>55</v>
      </c>
    </row>
    <row r="1672" spans="1:51" hidden="1">
      <c r="A1672">
        <v>101541</v>
      </c>
      <c r="B1672" t="s">
        <v>254</v>
      </c>
      <c r="C1672" t="str">
        <f t="shared" si="219"/>
        <v>08230471008</v>
      </c>
      <c r="D1672" t="str">
        <f t="shared" si="219"/>
        <v>08230471008</v>
      </c>
      <c r="E1672" t="s">
        <v>52</v>
      </c>
      <c r="F1672">
        <v>2015</v>
      </c>
      <c r="G1672" t="str">
        <f>"               51080"</f>
        <v xml:space="preserve">               51080</v>
      </c>
      <c r="H1672" s="3">
        <v>42124</v>
      </c>
      <c r="I1672" s="3">
        <v>42135</v>
      </c>
      <c r="J1672" s="3">
        <v>42133</v>
      </c>
      <c r="K1672" s="3">
        <v>42193</v>
      </c>
      <c r="L1672"/>
      <c r="N1672"/>
      <c r="O1672">
        <v>250</v>
      </c>
      <c r="P1672">
        <v>240</v>
      </c>
      <c r="Q1672" s="4">
        <v>60000</v>
      </c>
      <c r="R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 s="3">
        <v>42562</v>
      </c>
      <c r="AC1672" t="s">
        <v>53</v>
      </c>
      <c r="AD1672" t="s">
        <v>53</v>
      </c>
      <c r="AK1672">
        <v>0</v>
      </c>
      <c r="AU1672" s="3">
        <v>42433</v>
      </c>
      <c r="AV1672" s="3">
        <v>42433</v>
      </c>
      <c r="AW1672" t="s">
        <v>54</v>
      </c>
      <c r="AX1672" t="str">
        <f t="shared" si="218"/>
        <v>FOR</v>
      </c>
      <c r="AY1672" t="s">
        <v>55</v>
      </c>
    </row>
    <row r="1673" spans="1:51" hidden="1">
      <c r="A1673">
        <v>101541</v>
      </c>
      <c r="B1673" t="s">
        <v>254</v>
      </c>
      <c r="C1673" t="str">
        <f t="shared" si="219"/>
        <v>08230471008</v>
      </c>
      <c r="D1673" t="str">
        <f t="shared" si="219"/>
        <v>08230471008</v>
      </c>
      <c r="E1673" t="s">
        <v>52</v>
      </c>
      <c r="F1673">
        <v>2015</v>
      </c>
      <c r="G1673" t="str">
        <f>"               51081"</f>
        <v xml:space="preserve">               51081</v>
      </c>
      <c r="H1673" s="3">
        <v>42124</v>
      </c>
      <c r="I1673" s="3">
        <v>42135</v>
      </c>
      <c r="J1673" s="3">
        <v>42133</v>
      </c>
      <c r="K1673" s="3">
        <v>42193</v>
      </c>
      <c r="L1673"/>
      <c r="N1673"/>
      <c r="O1673">
        <v>250</v>
      </c>
      <c r="P1673">
        <v>240</v>
      </c>
      <c r="Q1673" s="4">
        <v>60000</v>
      </c>
      <c r="R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0</v>
      </c>
      <c r="AB1673" s="3">
        <v>42562</v>
      </c>
      <c r="AC1673" t="s">
        <v>53</v>
      </c>
      <c r="AD1673" t="s">
        <v>53</v>
      </c>
      <c r="AK1673">
        <v>0</v>
      </c>
      <c r="AU1673" s="3">
        <v>42433</v>
      </c>
      <c r="AV1673" s="3">
        <v>42433</v>
      </c>
      <c r="AW1673" t="s">
        <v>54</v>
      </c>
      <c r="AX1673" t="str">
        <f t="shared" si="218"/>
        <v>FOR</v>
      </c>
      <c r="AY1673" t="s">
        <v>55</v>
      </c>
    </row>
    <row r="1674" spans="1:51" hidden="1">
      <c r="A1674">
        <v>101541</v>
      </c>
      <c r="B1674" t="s">
        <v>254</v>
      </c>
      <c r="C1674" t="str">
        <f t="shared" si="219"/>
        <v>08230471008</v>
      </c>
      <c r="D1674" t="str">
        <f t="shared" si="219"/>
        <v>08230471008</v>
      </c>
      <c r="E1674" t="s">
        <v>52</v>
      </c>
      <c r="F1674">
        <v>2015</v>
      </c>
      <c r="G1674" t="str">
        <f>"               51082"</f>
        <v xml:space="preserve">               51082</v>
      </c>
      <c r="H1674" s="3">
        <v>42124</v>
      </c>
      <c r="I1674" s="3">
        <v>42135</v>
      </c>
      <c r="J1674" s="3">
        <v>42133</v>
      </c>
      <c r="K1674" s="3">
        <v>42193</v>
      </c>
      <c r="L1674"/>
      <c r="N1674"/>
      <c r="O1674">
        <v>250</v>
      </c>
      <c r="P1674">
        <v>240</v>
      </c>
      <c r="Q1674" s="4">
        <v>60000</v>
      </c>
      <c r="R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 s="3">
        <v>42562</v>
      </c>
      <c r="AC1674" t="s">
        <v>53</v>
      </c>
      <c r="AD1674" t="s">
        <v>53</v>
      </c>
      <c r="AK1674">
        <v>0</v>
      </c>
      <c r="AU1674" s="3">
        <v>42433</v>
      </c>
      <c r="AV1674" s="3">
        <v>42433</v>
      </c>
      <c r="AW1674" t="s">
        <v>54</v>
      </c>
      <c r="AX1674" t="str">
        <f t="shared" si="218"/>
        <v>FOR</v>
      </c>
      <c r="AY1674" t="s">
        <v>55</v>
      </c>
    </row>
    <row r="1675" spans="1:51" hidden="1">
      <c r="A1675">
        <v>101541</v>
      </c>
      <c r="B1675" t="s">
        <v>254</v>
      </c>
      <c r="C1675" t="str">
        <f t="shared" si="219"/>
        <v>08230471008</v>
      </c>
      <c r="D1675" t="str">
        <f t="shared" si="219"/>
        <v>08230471008</v>
      </c>
      <c r="E1675" t="s">
        <v>52</v>
      </c>
      <c r="F1675">
        <v>2015</v>
      </c>
      <c r="G1675" t="str">
        <f>"               51083"</f>
        <v xml:space="preserve">               51083</v>
      </c>
      <c r="H1675" s="3">
        <v>42124</v>
      </c>
      <c r="I1675" s="3">
        <v>42135</v>
      </c>
      <c r="J1675" s="3">
        <v>42133</v>
      </c>
      <c r="K1675" s="3">
        <v>42193</v>
      </c>
      <c r="L1675"/>
      <c r="N1675"/>
      <c r="O1675">
        <v>250</v>
      </c>
      <c r="P1675">
        <v>240</v>
      </c>
      <c r="Q1675" s="4">
        <v>60000</v>
      </c>
      <c r="R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 s="3">
        <v>42562</v>
      </c>
      <c r="AC1675" t="s">
        <v>53</v>
      </c>
      <c r="AD1675" t="s">
        <v>53</v>
      </c>
      <c r="AK1675">
        <v>0</v>
      </c>
      <c r="AU1675" s="3">
        <v>42433</v>
      </c>
      <c r="AV1675" s="3">
        <v>42433</v>
      </c>
      <c r="AW1675" t="s">
        <v>54</v>
      </c>
      <c r="AX1675" t="str">
        <f t="shared" ref="AX1675:AX1706" si="220">"FOR"</f>
        <v>FOR</v>
      </c>
      <c r="AY1675" t="s">
        <v>55</v>
      </c>
    </row>
    <row r="1676" spans="1:51" hidden="1">
      <c r="A1676">
        <v>101541</v>
      </c>
      <c r="B1676" t="s">
        <v>254</v>
      </c>
      <c r="C1676" t="str">
        <f t="shared" si="219"/>
        <v>08230471008</v>
      </c>
      <c r="D1676" t="str">
        <f t="shared" si="219"/>
        <v>08230471008</v>
      </c>
      <c r="E1676" t="s">
        <v>52</v>
      </c>
      <c r="F1676">
        <v>2015</v>
      </c>
      <c r="G1676" t="str">
        <f>"               51084"</f>
        <v xml:space="preserve">               51084</v>
      </c>
      <c r="H1676" s="3">
        <v>42124</v>
      </c>
      <c r="I1676" s="3">
        <v>42135</v>
      </c>
      <c r="J1676" s="3">
        <v>42133</v>
      </c>
      <c r="K1676" s="3">
        <v>42193</v>
      </c>
      <c r="L1676"/>
      <c r="N1676"/>
      <c r="O1676">
        <v>250</v>
      </c>
      <c r="P1676">
        <v>240</v>
      </c>
      <c r="Q1676" s="4">
        <v>60000</v>
      </c>
      <c r="R1676">
        <v>0</v>
      </c>
      <c r="V1676">
        <v>0</v>
      </c>
      <c r="W1676">
        <v>0</v>
      </c>
      <c r="X1676">
        <v>0</v>
      </c>
      <c r="Y1676">
        <v>0</v>
      </c>
      <c r="Z1676">
        <v>0</v>
      </c>
      <c r="AA1676">
        <v>0</v>
      </c>
      <c r="AB1676" s="3">
        <v>42562</v>
      </c>
      <c r="AC1676" t="s">
        <v>53</v>
      </c>
      <c r="AD1676" t="s">
        <v>53</v>
      </c>
      <c r="AK1676">
        <v>0</v>
      </c>
      <c r="AU1676" s="3">
        <v>42433</v>
      </c>
      <c r="AV1676" s="3">
        <v>42433</v>
      </c>
      <c r="AW1676" t="s">
        <v>54</v>
      </c>
      <c r="AX1676" t="str">
        <f t="shared" si="220"/>
        <v>FOR</v>
      </c>
      <c r="AY1676" t="s">
        <v>55</v>
      </c>
    </row>
    <row r="1677" spans="1:51" hidden="1">
      <c r="A1677">
        <v>101541</v>
      </c>
      <c r="B1677" t="s">
        <v>254</v>
      </c>
      <c r="C1677" t="str">
        <f t="shared" si="219"/>
        <v>08230471008</v>
      </c>
      <c r="D1677" t="str">
        <f t="shared" si="219"/>
        <v>08230471008</v>
      </c>
      <c r="E1677" t="s">
        <v>52</v>
      </c>
      <c r="F1677">
        <v>2015</v>
      </c>
      <c r="G1677" t="str">
        <f>"               51085"</f>
        <v xml:space="preserve">               51085</v>
      </c>
      <c r="H1677" s="3">
        <v>42124</v>
      </c>
      <c r="I1677" s="3">
        <v>42135</v>
      </c>
      <c r="J1677" s="3">
        <v>42133</v>
      </c>
      <c r="K1677" s="3">
        <v>42193</v>
      </c>
      <c r="L1677"/>
      <c r="N1677"/>
      <c r="O1677">
        <v>250</v>
      </c>
      <c r="P1677">
        <v>240</v>
      </c>
      <c r="Q1677" s="4">
        <v>60000</v>
      </c>
      <c r="R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 s="3">
        <v>42562</v>
      </c>
      <c r="AC1677" t="s">
        <v>53</v>
      </c>
      <c r="AD1677" t="s">
        <v>53</v>
      </c>
      <c r="AK1677">
        <v>0</v>
      </c>
      <c r="AU1677" s="3">
        <v>42433</v>
      </c>
      <c r="AV1677" s="3">
        <v>42433</v>
      </c>
      <c r="AW1677" t="s">
        <v>54</v>
      </c>
      <c r="AX1677" t="str">
        <f t="shared" si="220"/>
        <v>FOR</v>
      </c>
      <c r="AY1677" t="s">
        <v>55</v>
      </c>
    </row>
    <row r="1678" spans="1:51" hidden="1">
      <c r="A1678">
        <v>101541</v>
      </c>
      <c r="B1678" t="s">
        <v>254</v>
      </c>
      <c r="C1678" t="str">
        <f t="shared" ref="C1678:D1697" si="221">"08230471008"</f>
        <v>08230471008</v>
      </c>
      <c r="D1678" t="str">
        <f t="shared" si="221"/>
        <v>08230471008</v>
      </c>
      <c r="E1678" t="s">
        <v>52</v>
      </c>
      <c r="F1678">
        <v>2015</v>
      </c>
      <c r="G1678" t="str">
        <f>"               51086"</f>
        <v xml:space="preserve">               51086</v>
      </c>
      <c r="H1678" s="3">
        <v>42124</v>
      </c>
      <c r="I1678" s="3">
        <v>42138</v>
      </c>
      <c r="J1678" s="3">
        <v>42137</v>
      </c>
      <c r="K1678" s="3">
        <v>42197</v>
      </c>
      <c r="L1678"/>
      <c r="N1678"/>
      <c r="O1678">
        <v>250</v>
      </c>
      <c r="P1678">
        <v>236</v>
      </c>
      <c r="Q1678" s="4">
        <v>59000</v>
      </c>
      <c r="R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 s="3">
        <v>42562</v>
      </c>
      <c r="AC1678" t="s">
        <v>53</v>
      </c>
      <c r="AD1678" t="s">
        <v>53</v>
      </c>
      <c r="AK1678">
        <v>0</v>
      </c>
      <c r="AU1678" s="3">
        <v>42433</v>
      </c>
      <c r="AV1678" s="3">
        <v>42433</v>
      </c>
      <c r="AW1678" t="s">
        <v>54</v>
      </c>
      <c r="AX1678" t="str">
        <f t="shared" si="220"/>
        <v>FOR</v>
      </c>
      <c r="AY1678" t="s">
        <v>55</v>
      </c>
    </row>
    <row r="1679" spans="1:51" hidden="1">
      <c r="A1679">
        <v>101541</v>
      </c>
      <c r="B1679" t="s">
        <v>254</v>
      </c>
      <c r="C1679" t="str">
        <f t="shared" si="221"/>
        <v>08230471008</v>
      </c>
      <c r="D1679" t="str">
        <f t="shared" si="221"/>
        <v>08230471008</v>
      </c>
      <c r="E1679" t="s">
        <v>52</v>
      </c>
      <c r="F1679">
        <v>2015</v>
      </c>
      <c r="G1679" t="str">
        <f>"               51087"</f>
        <v xml:space="preserve">               51087</v>
      </c>
      <c r="H1679" s="3">
        <v>42124</v>
      </c>
      <c r="I1679" s="3">
        <v>42135</v>
      </c>
      <c r="J1679" s="3">
        <v>42133</v>
      </c>
      <c r="K1679" s="3">
        <v>42193</v>
      </c>
      <c r="L1679"/>
      <c r="N1679"/>
      <c r="O1679">
        <v>250</v>
      </c>
      <c r="P1679">
        <v>240</v>
      </c>
      <c r="Q1679" s="4">
        <v>60000</v>
      </c>
      <c r="R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0</v>
      </c>
      <c r="AB1679" s="3">
        <v>42562</v>
      </c>
      <c r="AC1679" t="s">
        <v>53</v>
      </c>
      <c r="AD1679" t="s">
        <v>53</v>
      </c>
      <c r="AK1679">
        <v>0</v>
      </c>
      <c r="AU1679" s="3">
        <v>42433</v>
      </c>
      <c r="AV1679" s="3">
        <v>42433</v>
      </c>
      <c r="AW1679" t="s">
        <v>54</v>
      </c>
      <c r="AX1679" t="str">
        <f t="shared" si="220"/>
        <v>FOR</v>
      </c>
      <c r="AY1679" t="s">
        <v>55</v>
      </c>
    </row>
    <row r="1680" spans="1:51" hidden="1">
      <c r="A1680">
        <v>101541</v>
      </c>
      <c r="B1680" t="s">
        <v>254</v>
      </c>
      <c r="C1680" t="str">
        <f t="shared" si="221"/>
        <v>08230471008</v>
      </c>
      <c r="D1680" t="str">
        <f t="shared" si="221"/>
        <v>08230471008</v>
      </c>
      <c r="E1680" t="s">
        <v>52</v>
      </c>
      <c r="F1680">
        <v>2015</v>
      </c>
      <c r="G1680" t="str">
        <f>"               51295"</f>
        <v xml:space="preserve">               51295</v>
      </c>
      <c r="H1680" s="3">
        <v>42132</v>
      </c>
      <c r="I1680" s="3">
        <v>42160</v>
      </c>
      <c r="J1680" s="3">
        <v>42149</v>
      </c>
      <c r="K1680" s="3">
        <v>42209</v>
      </c>
      <c r="L1680"/>
      <c r="N1680"/>
      <c r="O1680">
        <v>360</v>
      </c>
      <c r="P1680">
        <v>243</v>
      </c>
      <c r="Q1680" s="4">
        <v>87480</v>
      </c>
      <c r="R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 s="3">
        <v>42562</v>
      </c>
      <c r="AC1680" t="s">
        <v>53</v>
      </c>
      <c r="AD1680" t="s">
        <v>53</v>
      </c>
      <c r="AK1680">
        <v>0</v>
      </c>
      <c r="AU1680" s="3">
        <v>42452</v>
      </c>
      <c r="AV1680" s="3">
        <v>42452</v>
      </c>
      <c r="AW1680" t="s">
        <v>54</v>
      </c>
      <c r="AX1680" t="str">
        <f t="shared" si="220"/>
        <v>FOR</v>
      </c>
      <c r="AY1680" t="s">
        <v>55</v>
      </c>
    </row>
    <row r="1681" spans="1:51" hidden="1">
      <c r="A1681">
        <v>101541</v>
      </c>
      <c r="B1681" t="s">
        <v>254</v>
      </c>
      <c r="C1681" t="str">
        <f t="shared" si="221"/>
        <v>08230471008</v>
      </c>
      <c r="D1681" t="str">
        <f t="shared" si="221"/>
        <v>08230471008</v>
      </c>
      <c r="E1681" t="s">
        <v>52</v>
      </c>
      <c r="F1681">
        <v>2015</v>
      </c>
      <c r="G1681" t="str">
        <f>"               51402"</f>
        <v xml:space="preserve">               51402</v>
      </c>
      <c r="H1681" s="3">
        <v>42139</v>
      </c>
      <c r="I1681" s="3">
        <v>42160</v>
      </c>
      <c r="J1681" s="3">
        <v>42148</v>
      </c>
      <c r="K1681" s="3">
        <v>42208</v>
      </c>
      <c r="L1681"/>
      <c r="N1681"/>
      <c r="O1681">
        <v>250</v>
      </c>
      <c r="P1681">
        <v>244</v>
      </c>
      <c r="Q1681" s="4">
        <v>61000</v>
      </c>
      <c r="R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 s="3">
        <v>42562</v>
      </c>
      <c r="AC1681" t="s">
        <v>53</v>
      </c>
      <c r="AD1681" t="s">
        <v>53</v>
      </c>
      <c r="AK1681">
        <v>0</v>
      </c>
      <c r="AU1681" s="3">
        <v>42452</v>
      </c>
      <c r="AV1681" s="3">
        <v>42452</v>
      </c>
      <c r="AW1681" t="s">
        <v>54</v>
      </c>
      <c r="AX1681" t="str">
        <f t="shared" si="220"/>
        <v>FOR</v>
      </c>
      <c r="AY1681" t="s">
        <v>55</v>
      </c>
    </row>
    <row r="1682" spans="1:51" hidden="1">
      <c r="A1682">
        <v>101541</v>
      </c>
      <c r="B1682" t="s">
        <v>254</v>
      </c>
      <c r="C1682" t="str">
        <f t="shared" si="221"/>
        <v>08230471008</v>
      </c>
      <c r="D1682" t="str">
        <f t="shared" si="221"/>
        <v>08230471008</v>
      </c>
      <c r="E1682" t="s">
        <v>52</v>
      </c>
      <c r="F1682">
        <v>2015</v>
      </c>
      <c r="G1682" t="str">
        <f>"               51403"</f>
        <v xml:space="preserve">               51403</v>
      </c>
      <c r="H1682" s="3">
        <v>42139</v>
      </c>
      <c r="I1682" s="3">
        <v>42160</v>
      </c>
      <c r="J1682" s="3">
        <v>42148</v>
      </c>
      <c r="K1682" s="3">
        <v>42208</v>
      </c>
      <c r="L1682"/>
      <c r="N1682"/>
      <c r="O1682">
        <v>250</v>
      </c>
      <c r="P1682">
        <v>244</v>
      </c>
      <c r="Q1682" s="4">
        <v>61000</v>
      </c>
      <c r="R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 s="3">
        <v>42562</v>
      </c>
      <c r="AC1682" t="s">
        <v>53</v>
      </c>
      <c r="AD1682" t="s">
        <v>53</v>
      </c>
      <c r="AK1682">
        <v>0</v>
      </c>
      <c r="AU1682" s="3">
        <v>42452</v>
      </c>
      <c r="AV1682" s="3">
        <v>42452</v>
      </c>
      <c r="AW1682" t="s">
        <v>54</v>
      </c>
      <c r="AX1682" t="str">
        <f t="shared" si="220"/>
        <v>FOR</v>
      </c>
      <c r="AY1682" t="s">
        <v>55</v>
      </c>
    </row>
    <row r="1683" spans="1:51" hidden="1">
      <c r="A1683">
        <v>101541</v>
      </c>
      <c r="B1683" t="s">
        <v>254</v>
      </c>
      <c r="C1683" t="str">
        <f t="shared" si="221"/>
        <v>08230471008</v>
      </c>
      <c r="D1683" t="str">
        <f t="shared" si="221"/>
        <v>08230471008</v>
      </c>
      <c r="E1683" t="s">
        <v>52</v>
      </c>
      <c r="F1683">
        <v>2015</v>
      </c>
      <c r="G1683" t="str">
        <f>"               51404"</f>
        <v xml:space="preserve">               51404</v>
      </c>
      <c r="H1683" s="3">
        <v>42139</v>
      </c>
      <c r="I1683" s="3">
        <v>42160</v>
      </c>
      <c r="J1683" s="3">
        <v>42148</v>
      </c>
      <c r="K1683" s="3">
        <v>42208</v>
      </c>
      <c r="L1683"/>
      <c r="N1683"/>
      <c r="O1683">
        <v>700</v>
      </c>
      <c r="P1683">
        <v>244</v>
      </c>
      <c r="Q1683" s="4">
        <v>170800</v>
      </c>
      <c r="R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0</v>
      </c>
      <c r="AB1683" s="3">
        <v>42562</v>
      </c>
      <c r="AC1683" t="s">
        <v>53</v>
      </c>
      <c r="AD1683" t="s">
        <v>53</v>
      </c>
      <c r="AK1683">
        <v>0</v>
      </c>
      <c r="AU1683" s="3">
        <v>42452</v>
      </c>
      <c r="AV1683" s="3">
        <v>42452</v>
      </c>
      <c r="AW1683" t="s">
        <v>54</v>
      </c>
      <c r="AX1683" t="str">
        <f t="shared" si="220"/>
        <v>FOR</v>
      </c>
      <c r="AY1683" t="s">
        <v>55</v>
      </c>
    </row>
    <row r="1684" spans="1:51" hidden="1">
      <c r="A1684">
        <v>101541</v>
      </c>
      <c r="B1684" t="s">
        <v>254</v>
      </c>
      <c r="C1684" t="str">
        <f t="shared" si="221"/>
        <v>08230471008</v>
      </c>
      <c r="D1684" t="str">
        <f t="shared" si="221"/>
        <v>08230471008</v>
      </c>
      <c r="E1684" t="s">
        <v>52</v>
      </c>
      <c r="F1684">
        <v>2015</v>
      </c>
      <c r="G1684" t="str">
        <f>"               51405"</f>
        <v xml:space="preserve">               51405</v>
      </c>
      <c r="H1684" s="3">
        <v>42139</v>
      </c>
      <c r="I1684" s="3">
        <v>42160</v>
      </c>
      <c r="J1684" s="3">
        <v>42148</v>
      </c>
      <c r="K1684" s="3">
        <v>42208</v>
      </c>
      <c r="L1684"/>
      <c r="N1684"/>
      <c r="O1684">
        <v>700</v>
      </c>
      <c r="P1684">
        <v>244</v>
      </c>
      <c r="Q1684" s="4">
        <v>170800</v>
      </c>
      <c r="R1684">
        <v>0</v>
      </c>
      <c r="V1684">
        <v>0</v>
      </c>
      <c r="W1684">
        <v>0</v>
      </c>
      <c r="X1684">
        <v>0</v>
      </c>
      <c r="Y1684">
        <v>0</v>
      </c>
      <c r="Z1684">
        <v>0</v>
      </c>
      <c r="AA1684">
        <v>0</v>
      </c>
      <c r="AB1684" s="3">
        <v>42562</v>
      </c>
      <c r="AC1684" t="s">
        <v>53</v>
      </c>
      <c r="AD1684" t="s">
        <v>53</v>
      </c>
      <c r="AK1684">
        <v>0</v>
      </c>
      <c r="AU1684" s="3">
        <v>42452</v>
      </c>
      <c r="AV1684" s="3">
        <v>42452</v>
      </c>
      <c r="AW1684" t="s">
        <v>54</v>
      </c>
      <c r="AX1684" t="str">
        <f t="shared" si="220"/>
        <v>FOR</v>
      </c>
      <c r="AY1684" t="s">
        <v>55</v>
      </c>
    </row>
    <row r="1685" spans="1:51" hidden="1">
      <c r="A1685">
        <v>101541</v>
      </c>
      <c r="B1685" t="s">
        <v>254</v>
      </c>
      <c r="C1685" t="str">
        <f t="shared" si="221"/>
        <v>08230471008</v>
      </c>
      <c r="D1685" t="str">
        <f t="shared" si="221"/>
        <v>08230471008</v>
      </c>
      <c r="E1685" t="s">
        <v>52</v>
      </c>
      <c r="F1685">
        <v>2015</v>
      </c>
      <c r="G1685" t="str">
        <f>"               51406"</f>
        <v xml:space="preserve">               51406</v>
      </c>
      <c r="H1685" s="3">
        <v>42139</v>
      </c>
      <c r="I1685" s="3">
        <v>42160</v>
      </c>
      <c r="J1685" s="3">
        <v>42148</v>
      </c>
      <c r="K1685" s="3">
        <v>42208</v>
      </c>
      <c r="L1685"/>
      <c r="N1685"/>
      <c r="O1685">
        <v>250</v>
      </c>
      <c r="P1685">
        <v>244</v>
      </c>
      <c r="Q1685" s="4">
        <v>61000</v>
      </c>
      <c r="R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0</v>
      </c>
      <c r="AB1685" s="3">
        <v>42562</v>
      </c>
      <c r="AC1685" t="s">
        <v>53</v>
      </c>
      <c r="AD1685" t="s">
        <v>53</v>
      </c>
      <c r="AK1685">
        <v>0</v>
      </c>
      <c r="AU1685" s="3">
        <v>42452</v>
      </c>
      <c r="AV1685" s="3">
        <v>42452</v>
      </c>
      <c r="AW1685" t="s">
        <v>54</v>
      </c>
      <c r="AX1685" t="str">
        <f t="shared" si="220"/>
        <v>FOR</v>
      </c>
      <c r="AY1685" t="s">
        <v>55</v>
      </c>
    </row>
    <row r="1686" spans="1:51" hidden="1">
      <c r="A1686">
        <v>101541</v>
      </c>
      <c r="B1686" t="s">
        <v>254</v>
      </c>
      <c r="C1686" t="str">
        <f t="shared" si="221"/>
        <v>08230471008</v>
      </c>
      <c r="D1686" t="str">
        <f t="shared" si="221"/>
        <v>08230471008</v>
      </c>
      <c r="E1686" t="s">
        <v>52</v>
      </c>
      <c r="F1686">
        <v>2015</v>
      </c>
      <c r="G1686" t="str">
        <f>"               51407"</f>
        <v xml:space="preserve">               51407</v>
      </c>
      <c r="H1686" s="3">
        <v>42139</v>
      </c>
      <c r="I1686" s="3">
        <v>42160</v>
      </c>
      <c r="J1686" s="3">
        <v>42148</v>
      </c>
      <c r="K1686" s="3">
        <v>42208</v>
      </c>
      <c r="L1686"/>
      <c r="N1686"/>
      <c r="O1686">
        <v>700</v>
      </c>
      <c r="P1686">
        <v>244</v>
      </c>
      <c r="Q1686" s="4">
        <v>170800</v>
      </c>
      <c r="R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0</v>
      </c>
      <c r="AB1686" s="3">
        <v>42562</v>
      </c>
      <c r="AC1686" t="s">
        <v>53</v>
      </c>
      <c r="AD1686" t="s">
        <v>53</v>
      </c>
      <c r="AK1686">
        <v>0</v>
      </c>
      <c r="AU1686" s="3">
        <v>42452</v>
      </c>
      <c r="AV1686" s="3">
        <v>42452</v>
      </c>
      <c r="AW1686" t="s">
        <v>54</v>
      </c>
      <c r="AX1686" t="str">
        <f t="shared" si="220"/>
        <v>FOR</v>
      </c>
      <c r="AY1686" t="s">
        <v>55</v>
      </c>
    </row>
    <row r="1687" spans="1:51" hidden="1">
      <c r="A1687">
        <v>101541</v>
      </c>
      <c r="B1687" t="s">
        <v>254</v>
      </c>
      <c r="C1687" t="str">
        <f t="shared" si="221"/>
        <v>08230471008</v>
      </c>
      <c r="D1687" t="str">
        <f t="shared" si="221"/>
        <v>08230471008</v>
      </c>
      <c r="E1687" t="s">
        <v>52</v>
      </c>
      <c r="F1687">
        <v>2015</v>
      </c>
      <c r="G1687" t="str">
        <f>"               51408"</f>
        <v xml:space="preserve">               51408</v>
      </c>
      <c r="H1687" s="3">
        <v>42139</v>
      </c>
      <c r="I1687" s="3">
        <v>42160</v>
      </c>
      <c r="J1687" s="3">
        <v>42148</v>
      </c>
      <c r="K1687" s="3">
        <v>42208</v>
      </c>
      <c r="L1687"/>
      <c r="N1687"/>
      <c r="O1687">
        <v>250</v>
      </c>
      <c r="P1687">
        <v>244</v>
      </c>
      <c r="Q1687" s="4">
        <v>61000</v>
      </c>
      <c r="R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0</v>
      </c>
      <c r="AB1687" s="3">
        <v>42562</v>
      </c>
      <c r="AC1687" t="s">
        <v>53</v>
      </c>
      <c r="AD1687" t="s">
        <v>53</v>
      </c>
      <c r="AK1687">
        <v>0</v>
      </c>
      <c r="AU1687" s="3">
        <v>42452</v>
      </c>
      <c r="AV1687" s="3">
        <v>42452</v>
      </c>
      <c r="AW1687" t="s">
        <v>54</v>
      </c>
      <c r="AX1687" t="str">
        <f t="shared" si="220"/>
        <v>FOR</v>
      </c>
      <c r="AY1687" t="s">
        <v>55</v>
      </c>
    </row>
    <row r="1688" spans="1:51" hidden="1">
      <c r="A1688">
        <v>101541</v>
      </c>
      <c r="B1688" t="s">
        <v>254</v>
      </c>
      <c r="C1688" t="str">
        <f t="shared" si="221"/>
        <v>08230471008</v>
      </c>
      <c r="D1688" t="str">
        <f t="shared" si="221"/>
        <v>08230471008</v>
      </c>
      <c r="E1688" t="s">
        <v>52</v>
      </c>
      <c r="F1688">
        <v>2015</v>
      </c>
      <c r="G1688" t="str">
        <f>"               51409"</f>
        <v xml:space="preserve">               51409</v>
      </c>
      <c r="H1688" s="3">
        <v>42139</v>
      </c>
      <c r="I1688" s="3">
        <v>42160</v>
      </c>
      <c r="J1688" s="3">
        <v>42148</v>
      </c>
      <c r="K1688" s="3">
        <v>42208</v>
      </c>
      <c r="L1688"/>
      <c r="N1688"/>
      <c r="O1688">
        <v>250</v>
      </c>
      <c r="P1688">
        <v>244</v>
      </c>
      <c r="Q1688" s="4">
        <v>61000</v>
      </c>
      <c r="R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 s="3">
        <v>42562</v>
      </c>
      <c r="AC1688" t="s">
        <v>53</v>
      </c>
      <c r="AD1688" t="s">
        <v>53</v>
      </c>
      <c r="AK1688">
        <v>0</v>
      </c>
      <c r="AU1688" s="3">
        <v>42452</v>
      </c>
      <c r="AV1688" s="3">
        <v>42452</v>
      </c>
      <c r="AW1688" t="s">
        <v>54</v>
      </c>
      <c r="AX1688" t="str">
        <f t="shared" si="220"/>
        <v>FOR</v>
      </c>
      <c r="AY1688" t="s">
        <v>55</v>
      </c>
    </row>
    <row r="1689" spans="1:51" hidden="1">
      <c r="A1689">
        <v>101541</v>
      </c>
      <c r="B1689" t="s">
        <v>254</v>
      </c>
      <c r="C1689" t="str">
        <f t="shared" si="221"/>
        <v>08230471008</v>
      </c>
      <c r="D1689" t="str">
        <f t="shared" si="221"/>
        <v>08230471008</v>
      </c>
      <c r="E1689" t="s">
        <v>52</v>
      </c>
      <c r="F1689">
        <v>2015</v>
      </c>
      <c r="G1689" t="str">
        <f>"               51410"</f>
        <v xml:space="preserve">               51410</v>
      </c>
      <c r="H1689" s="3">
        <v>42139</v>
      </c>
      <c r="I1689" s="3">
        <v>42160</v>
      </c>
      <c r="J1689" s="3">
        <v>42148</v>
      </c>
      <c r="K1689" s="3">
        <v>42208</v>
      </c>
      <c r="L1689"/>
      <c r="N1689"/>
      <c r="O1689">
        <v>250</v>
      </c>
      <c r="P1689">
        <v>244</v>
      </c>
      <c r="Q1689" s="4">
        <v>61000</v>
      </c>
      <c r="R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 s="3">
        <v>42562</v>
      </c>
      <c r="AC1689" t="s">
        <v>53</v>
      </c>
      <c r="AD1689" t="s">
        <v>53</v>
      </c>
      <c r="AK1689">
        <v>0</v>
      </c>
      <c r="AU1689" s="3">
        <v>42452</v>
      </c>
      <c r="AV1689" s="3">
        <v>42452</v>
      </c>
      <c r="AW1689" t="s">
        <v>54</v>
      </c>
      <c r="AX1689" t="str">
        <f t="shared" si="220"/>
        <v>FOR</v>
      </c>
      <c r="AY1689" t="s">
        <v>55</v>
      </c>
    </row>
    <row r="1690" spans="1:51" hidden="1">
      <c r="A1690">
        <v>101541</v>
      </c>
      <c r="B1690" t="s">
        <v>254</v>
      </c>
      <c r="C1690" t="str">
        <f t="shared" si="221"/>
        <v>08230471008</v>
      </c>
      <c r="D1690" t="str">
        <f t="shared" si="221"/>
        <v>08230471008</v>
      </c>
      <c r="E1690" t="s">
        <v>52</v>
      </c>
      <c r="F1690">
        <v>2015</v>
      </c>
      <c r="G1690" t="str">
        <f>"               51411"</f>
        <v xml:space="preserve">               51411</v>
      </c>
      <c r="H1690" s="3">
        <v>42139</v>
      </c>
      <c r="I1690" s="3">
        <v>42160</v>
      </c>
      <c r="J1690" s="3">
        <v>42148</v>
      </c>
      <c r="K1690" s="3">
        <v>42208</v>
      </c>
      <c r="L1690"/>
      <c r="N1690"/>
      <c r="O1690" s="4">
        <v>2500</v>
      </c>
      <c r="P1690">
        <v>244</v>
      </c>
      <c r="Q1690" s="4">
        <v>610000</v>
      </c>
      <c r="R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 s="3">
        <v>42562</v>
      </c>
      <c r="AC1690" t="s">
        <v>53</v>
      </c>
      <c r="AD1690" t="s">
        <v>53</v>
      </c>
      <c r="AK1690">
        <v>0</v>
      </c>
      <c r="AU1690" s="3">
        <v>42452</v>
      </c>
      <c r="AV1690" s="3">
        <v>42452</v>
      </c>
      <c r="AW1690" t="s">
        <v>54</v>
      </c>
      <c r="AX1690" t="str">
        <f t="shared" si="220"/>
        <v>FOR</v>
      </c>
      <c r="AY1690" t="s">
        <v>55</v>
      </c>
    </row>
    <row r="1691" spans="1:51" hidden="1">
      <c r="A1691">
        <v>101541</v>
      </c>
      <c r="B1691" t="s">
        <v>254</v>
      </c>
      <c r="C1691" t="str">
        <f t="shared" si="221"/>
        <v>08230471008</v>
      </c>
      <c r="D1691" t="str">
        <f t="shared" si="221"/>
        <v>08230471008</v>
      </c>
      <c r="E1691" t="s">
        <v>52</v>
      </c>
      <c r="F1691">
        <v>2015</v>
      </c>
      <c r="G1691" t="str">
        <f>"               51632"</f>
        <v xml:space="preserve">               51632</v>
      </c>
      <c r="H1691" s="3">
        <v>42146</v>
      </c>
      <c r="I1691" s="3">
        <v>42160</v>
      </c>
      <c r="J1691" s="3">
        <v>42153</v>
      </c>
      <c r="K1691" s="3">
        <v>42213</v>
      </c>
      <c r="L1691"/>
      <c r="N1691"/>
      <c r="O1691">
        <v>700</v>
      </c>
      <c r="P1691">
        <v>239</v>
      </c>
      <c r="Q1691" s="4">
        <v>167300</v>
      </c>
      <c r="R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0</v>
      </c>
      <c r="AB1691" s="3">
        <v>42562</v>
      </c>
      <c r="AC1691" t="s">
        <v>53</v>
      </c>
      <c r="AD1691" t="s">
        <v>53</v>
      </c>
      <c r="AK1691">
        <v>0</v>
      </c>
      <c r="AU1691" s="3">
        <v>42452</v>
      </c>
      <c r="AV1691" s="3">
        <v>42452</v>
      </c>
      <c r="AW1691" t="s">
        <v>54</v>
      </c>
      <c r="AX1691" t="str">
        <f t="shared" si="220"/>
        <v>FOR</v>
      </c>
      <c r="AY1691" t="s">
        <v>55</v>
      </c>
    </row>
    <row r="1692" spans="1:51" hidden="1">
      <c r="A1692">
        <v>101541</v>
      </c>
      <c r="B1692" t="s">
        <v>254</v>
      </c>
      <c r="C1692" t="str">
        <f t="shared" si="221"/>
        <v>08230471008</v>
      </c>
      <c r="D1692" t="str">
        <f t="shared" si="221"/>
        <v>08230471008</v>
      </c>
      <c r="E1692" t="s">
        <v>52</v>
      </c>
      <c r="F1692">
        <v>2015</v>
      </c>
      <c r="G1692" t="str">
        <f>"               51892"</f>
        <v xml:space="preserve">               51892</v>
      </c>
      <c r="H1692" s="3">
        <v>42153</v>
      </c>
      <c r="I1692" s="3">
        <v>42163</v>
      </c>
      <c r="J1692" s="3">
        <v>42160</v>
      </c>
      <c r="K1692" s="3">
        <v>42220</v>
      </c>
      <c r="L1692"/>
      <c r="N1692"/>
      <c r="O1692">
        <v>250</v>
      </c>
      <c r="P1692">
        <v>232</v>
      </c>
      <c r="Q1692" s="4">
        <v>58000</v>
      </c>
      <c r="R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 s="3">
        <v>42562</v>
      </c>
      <c r="AC1692" t="s">
        <v>53</v>
      </c>
      <c r="AD1692" t="s">
        <v>53</v>
      </c>
      <c r="AK1692">
        <v>0</v>
      </c>
      <c r="AU1692" s="3">
        <v>42452</v>
      </c>
      <c r="AV1692" s="3">
        <v>42452</v>
      </c>
      <c r="AW1692" t="s">
        <v>54</v>
      </c>
      <c r="AX1692" t="str">
        <f t="shared" si="220"/>
        <v>FOR</v>
      </c>
      <c r="AY1692" t="s">
        <v>55</v>
      </c>
    </row>
    <row r="1693" spans="1:51" hidden="1">
      <c r="A1693">
        <v>101541</v>
      </c>
      <c r="B1693" t="s">
        <v>254</v>
      </c>
      <c r="C1693" t="str">
        <f t="shared" si="221"/>
        <v>08230471008</v>
      </c>
      <c r="D1693" t="str">
        <f t="shared" si="221"/>
        <v>08230471008</v>
      </c>
      <c r="E1693" t="s">
        <v>52</v>
      </c>
      <c r="F1693">
        <v>2015</v>
      </c>
      <c r="G1693" t="str">
        <f>"               51893"</f>
        <v xml:space="preserve">               51893</v>
      </c>
      <c r="H1693" s="3">
        <v>42153</v>
      </c>
      <c r="I1693" s="3">
        <v>42163</v>
      </c>
      <c r="J1693" s="3">
        <v>42160</v>
      </c>
      <c r="K1693" s="3">
        <v>42220</v>
      </c>
      <c r="L1693"/>
      <c r="N1693"/>
      <c r="O1693">
        <v>250</v>
      </c>
      <c r="P1693">
        <v>232</v>
      </c>
      <c r="Q1693" s="4">
        <v>58000</v>
      </c>
      <c r="R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0</v>
      </c>
      <c r="AB1693" s="3">
        <v>42562</v>
      </c>
      <c r="AC1693" t="s">
        <v>53</v>
      </c>
      <c r="AD1693" t="s">
        <v>53</v>
      </c>
      <c r="AK1693">
        <v>0</v>
      </c>
      <c r="AU1693" s="3">
        <v>42452</v>
      </c>
      <c r="AV1693" s="3">
        <v>42452</v>
      </c>
      <c r="AW1693" t="s">
        <v>54</v>
      </c>
      <c r="AX1693" t="str">
        <f t="shared" si="220"/>
        <v>FOR</v>
      </c>
      <c r="AY1693" t="s">
        <v>55</v>
      </c>
    </row>
    <row r="1694" spans="1:51" hidden="1">
      <c r="A1694">
        <v>101541</v>
      </c>
      <c r="B1694" t="s">
        <v>254</v>
      </c>
      <c r="C1694" t="str">
        <f t="shared" si="221"/>
        <v>08230471008</v>
      </c>
      <c r="D1694" t="str">
        <f t="shared" si="221"/>
        <v>08230471008</v>
      </c>
      <c r="E1694" t="s">
        <v>52</v>
      </c>
      <c r="F1694">
        <v>2015</v>
      </c>
      <c r="G1694" t="str">
        <f>"               51894"</f>
        <v xml:space="preserve">               51894</v>
      </c>
      <c r="H1694" s="3">
        <v>42153</v>
      </c>
      <c r="I1694" s="3">
        <v>42163</v>
      </c>
      <c r="J1694" s="3">
        <v>42160</v>
      </c>
      <c r="K1694" s="3">
        <v>42220</v>
      </c>
      <c r="L1694"/>
      <c r="N1694"/>
      <c r="O1694">
        <v>700</v>
      </c>
      <c r="P1694">
        <v>232</v>
      </c>
      <c r="Q1694" s="4">
        <v>162400</v>
      </c>
      <c r="R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 s="3">
        <v>42562</v>
      </c>
      <c r="AC1694" t="s">
        <v>53</v>
      </c>
      <c r="AD1694" t="s">
        <v>53</v>
      </c>
      <c r="AK1694">
        <v>0</v>
      </c>
      <c r="AU1694" s="3">
        <v>42452</v>
      </c>
      <c r="AV1694" s="3">
        <v>42452</v>
      </c>
      <c r="AW1694" t="s">
        <v>54</v>
      </c>
      <c r="AX1694" t="str">
        <f t="shared" si="220"/>
        <v>FOR</v>
      </c>
      <c r="AY1694" t="s">
        <v>55</v>
      </c>
    </row>
    <row r="1695" spans="1:51" hidden="1">
      <c r="A1695">
        <v>101541</v>
      </c>
      <c r="B1695" t="s">
        <v>254</v>
      </c>
      <c r="C1695" t="str">
        <f t="shared" si="221"/>
        <v>08230471008</v>
      </c>
      <c r="D1695" t="str">
        <f t="shared" si="221"/>
        <v>08230471008</v>
      </c>
      <c r="E1695" t="s">
        <v>52</v>
      </c>
      <c r="F1695">
        <v>2015</v>
      </c>
      <c r="G1695" t="str">
        <f>"               51895"</f>
        <v xml:space="preserve">               51895</v>
      </c>
      <c r="H1695" s="3">
        <v>42153</v>
      </c>
      <c r="I1695" s="3">
        <v>42163</v>
      </c>
      <c r="J1695" s="3">
        <v>42160</v>
      </c>
      <c r="K1695" s="3">
        <v>42220</v>
      </c>
      <c r="L1695"/>
      <c r="N1695"/>
      <c r="O1695">
        <v>250</v>
      </c>
      <c r="P1695">
        <v>232</v>
      </c>
      <c r="Q1695" s="4">
        <v>58000</v>
      </c>
      <c r="R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 s="3">
        <v>42562</v>
      </c>
      <c r="AC1695" t="s">
        <v>53</v>
      </c>
      <c r="AD1695" t="s">
        <v>53</v>
      </c>
      <c r="AK1695">
        <v>0</v>
      </c>
      <c r="AU1695" s="3">
        <v>42452</v>
      </c>
      <c r="AV1695" s="3">
        <v>42452</v>
      </c>
      <c r="AW1695" t="s">
        <v>54</v>
      </c>
      <c r="AX1695" t="str">
        <f t="shared" si="220"/>
        <v>FOR</v>
      </c>
      <c r="AY1695" t="s">
        <v>55</v>
      </c>
    </row>
    <row r="1696" spans="1:51" hidden="1">
      <c r="A1696">
        <v>101541</v>
      </c>
      <c r="B1696" t="s">
        <v>254</v>
      </c>
      <c r="C1696" t="str">
        <f t="shared" si="221"/>
        <v>08230471008</v>
      </c>
      <c r="D1696" t="str">
        <f t="shared" si="221"/>
        <v>08230471008</v>
      </c>
      <c r="E1696" t="s">
        <v>52</v>
      </c>
      <c r="F1696">
        <v>2015</v>
      </c>
      <c r="G1696" t="str">
        <f>"               51896"</f>
        <v xml:space="preserve">               51896</v>
      </c>
      <c r="H1696" s="3">
        <v>42153</v>
      </c>
      <c r="I1696" s="3">
        <v>42163</v>
      </c>
      <c r="J1696" s="3">
        <v>42160</v>
      </c>
      <c r="K1696" s="3">
        <v>42220</v>
      </c>
      <c r="L1696"/>
      <c r="N1696"/>
      <c r="O1696">
        <v>250</v>
      </c>
      <c r="P1696">
        <v>232</v>
      </c>
      <c r="Q1696" s="4">
        <v>58000</v>
      </c>
      <c r="R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 s="3">
        <v>42562</v>
      </c>
      <c r="AC1696" t="s">
        <v>53</v>
      </c>
      <c r="AD1696" t="s">
        <v>53</v>
      </c>
      <c r="AK1696">
        <v>0</v>
      </c>
      <c r="AU1696" s="3">
        <v>42452</v>
      </c>
      <c r="AV1696" s="3">
        <v>42452</v>
      </c>
      <c r="AW1696" t="s">
        <v>54</v>
      </c>
      <c r="AX1696" t="str">
        <f t="shared" si="220"/>
        <v>FOR</v>
      </c>
      <c r="AY1696" t="s">
        <v>55</v>
      </c>
    </row>
    <row r="1697" spans="1:51">
      <c r="A1697">
        <v>101541</v>
      </c>
      <c r="B1697" t="s">
        <v>254</v>
      </c>
      <c r="C1697" t="str">
        <f t="shared" si="221"/>
        <v>08230471008</v>
      </c>
      <c r="D1697" t="str">
        <f t="shared" si="221"/>
        <v>08230471008</v>
      </c>
      <c r="E1697" t="s">
        <v>52</v>
      </c>
      <c r="F1697">
        <v>2015</v>
      </c>
      <c r="G1697" t="str">
        <f>"               52356"</f>
        <v xml:space="preserve">               52356</v>
      </c>
      <c r="H1697" s="3">
        <v>42167</v>
      </c>
      <c r="I1697" s="3">
        <v>42177</v>
      </c>
      <c r="J1697" s="3">
        <v>42174</v>
      </c>
      <c r="K1697" s="3">
        <v>42234</v>
      </c>
      <c r="L1697" s="5">
        <v>1800</v>
      </c>
      <c r="M1697">
        <v>286</v>
      </c>
      <c r="N1697" s="5">
        <v>514800</v>
      </c>
      <c r="O1697" s="4">
        <v>1800</v>
      </c>
      <c r="P1697">
        <v>286</v>
      </c>
      <c r="Q1697" s="4">
        <v>514800</v>
      </c>
      <c r="R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0</v>
      </c>
      <c r="AB1697" s="3">
        <v>42562</v>
      </c>
      <c r="AC1697" t="s">
        <v>53</v>
      </c>
      <c r="AD1697" t="s">
        <v>53</v>
      </c>
      <c r="AK1697">
        <v>0</v>
      </c>
      <c r="AU1697" s="3">
        <v>42520</v>
      </c>
      <c r="AV1697" s="3">
        <v>42520</v>
      </c>
      <c r="AW1697" t="s">
        <v>54</v>
      </c>
      <c r="AX1697" t="str">
        <f t="shared" si="220"/>
        <v>FOR</v>
      </c>
      <c r="AY1697" t="s">
        <v>55</v>
      </c>
    </row>
    <row r="1698" spans="1:51">
      <c r="A1698">
        <v>101541</v>
      </c>
      <c r="B1698" t="s">
        <v>254</v>
      </c>
      <c r="C1698" t="str">
        <f t="shared" ref="C1698:D1717" si="222">"08230471008"</f>
        <v>08230471008</v>
      </c>
      <c r="D1698" t="str">
        <f t="shared" si="222"/>
        <v>08230471008</v>
      </c>
      <c r="E1698" t="s">
        <v>52</v>
      </c>
      <c r="F1698">
        <v>2015</v>
      </c>
      <c r="G1698" t="str">
        <f>"               52357"</f>
        <v xml:space="preserve">               52357</v>
      </c>
      <c r="H1698" s="3">
        <v>42167</v>
      </c>
      <c r="I1698" s="3">
        <v>42177</v>
      </c>
      <c r="J1698" s="3">
        <v>42174</v>
      </c>
      <c r="K1698" s="3">
        <v>42234</v>
      </c>
      <c r="L1698" s="5">
        <v>1300</v>
      </c>
      <c r="M1698">
        <v>286</v>
      </c>
      <c r="N1698" s="5">
        <v>371800</v>
      </c>
      <c r="O1698" s="4">
        <v>1300</v>
      </c>
      <c r="P1698">
        <v>286</v>
      </c>
      <c r="Q1698" s="4">
        <v>371800</v>
      </c>
      <c r="R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 s="3">
        <v>42562</v>
      </c>
      <c r="AC1698" t="s">
        <v>53</v>
      </c>
      <c r="AD1698" t="s">
        <v>53</v>
      </c>
      <c r="AK1698">
        <v>0</v>
      </c>
      <c r="AU1698" s="3">
        <v>42520</v>
      </c>
      <c r="AV1698" s="3">
        <v>42520</v>
      </c>
      <c r="AW1698" t="s">
        <v>54</v>
      </c>
      <c r="AX1698" t="str">
        <f t="shared" si="220"/>
        <v>FOR</v>
      </c>
      <c r="AY1698" t="s">
        <v>55</v>
      </c>
    </row>
    <row r="1699" spans="1:51">
      <c r="A1699">
        <v>101541</v>
      </c>
      <c r="B1699" t="s">
        <v>254</v>
      </c>
      <c r="C1699" t="str">
        <f t="shared" si="222"/>
        <v>08230471008</v>
      </c>
      <c r="D1699" t="str">
        <f t="shared" si="222"/>
        <v>08230471008</v>
      </c>
      <c r="E1699" t="s">
        <v>52</v>
      </c>
      <c r="F1699">
        <v>2015</v>
      </c>
      <c r="G1699" t="str">
        <f>"               52545"</f>
        <v xml:space="preserve">               52545</v>
      </c>
      <c r="H1699" s="3">
        <v>42174</v>
      </c>
      <c r="I1699" s="3">
        <v>42186</v>
      </c>
      <c r="J1699" s="3">
        <v>42182</v>
      </c>
      <c r="K1699" s="3">
        <v>42242</v>
      </c>
      <c r="L1699" s="5">
        <v>4240</v>
      </c>
      <c r="M1699">
        <v>278</v>
      </c>
      <c r="N1699" s="5">
        <v>1178720</v>
      </c>
      <c r="O1699" s="4">
        <v>4240</v>
      </c>
      <c r="P1699">
        <v>278</v>
      </c>
      <c r="Q1699" s="4">
        <v>1178720</v>
      </c>
      <c r="R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 s="3">
        <v>42562</v>
      </c>
      <c r="AC1699" t="s">
        <v>53</v>
      </c>
      <c r="AD1699" t="s">
        <v>53</v>
      </c>
      <c r="AK1699">
        <v>0</v>
      </c>
      <c r="AU1699" s="3">
        <v>42520</v>
      </c>
      <c r="AV1699" s="3">
        <v>42520</v>
      </c>
      <c r="AW1699" t="s">
        <v>54</v>
      </c>
      <c r="AX1699" t="str">
        <f t="shared" si="220"/>
        <v>FOR</v>
      </c>
      <c r="AY1699" t="s">
        <v>55</v>
      </c>
    </row>
    <row r="1700" spans="1:51">
      <c r="A1700">
        <v>101541</v>
      </c>
      <c r="B1700" t="s">
        <v>254</v>
      </c>
      <c r="C1700" t="str">
        <f t="shared" si="222"/>
        <v>08230471008</v>
      </c>
      <c r="D1700" t="str">
        <f t="shared" si="222"/>
        <v>08230471008</v>
      </c>
      <c r="E1700" t="s">
        <v>52</v>
      </c>
      <c r="F1700">
        <v>2015</v>
      </c>
      <c r="G1700" t="str">
        <f>"               52546"</f>
        <v xml:space="preserve">               52546</v>
      </c>
      <c r="H1700" s="3">
        <v>42174</v>
      </c>
      <c r="I1700" s="3">
        <v>42198</v>
      </c>
      <c r="J1700" s="3">
        <v>42196</v>
      </c>
      <c r="K1700" s="3">
        <v>42256</v>
      </c>
      <c r="L1700" s="1">
        <v>700</v>
      </c>
      <c r="M1700">
        <v>264</v>
      </c>
      <c r="N1700" s="5">
        <v>184800</v>
      </c>
      <c r="O1700">
        <v>700</v>
      </c>
      <c r="P1700">
        <v>264</v>
      </c>
      <c r="Q1700" s="4">
        <v>184800</v>
      </c>
      <c r="R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0</v>
      </c>
      <c r="AB1700" s="3">
        <v>42562</v>
      </c>
      <c r="AC1700" t="s">
        <v>53</v>
      </c>
      <c r="AD1700" t="s">
        <v>53</v>
      </c>
      <c r="AK1700">
        <v>0</v>
      </c>
      <c r="AU1700" s="3">
        <v>42520</v>
      </c>
      <c r="AV1700" s="3">
        <v>42520</v>
      </c>
      <c r="AW1700" t="s">
        <v>54</v>
      </c>
      <c r="AX1700" t="str">
        <f t="shared" si="220"/>
        <v>FOR</v>
      </c>
      <c r="AY1700" t="s">
        <v>55</v>
      </c>
    </row>
    <row r="1701" spans="1:51">
      <c r="A1701">
        <v>101541</v>
      </c>
      <c r="B1701" t="s">
        <v>254</v>
      </c>
      <c r="C1701" t="str">
        <f t="shared" si="222"/>
        <v>08230471008</v>
      </c>
      <c r="D1701" t="str">
        <f t="shared" si="222"/>
        <v>08230471008</v>
      </c>
      <c r="E1701" t="s">
        <v>52</v>
      </c>
      <c r="F1701">
        <v>2015</v>
      </c>
      <c r="G1701" t="str">
        <f>"               52547"</f>
        <v xml:space="preserve">               52547</v>
      </c>
      <c r="H1701" s="3">
        <v>42174</v>
      </c>
      <c r="I1701" s="3">
        <v>42186</v>
      </c>
      <c r="J1701" s="3">
        <v>42182</v>
      </c>
      <c r="K1701" s="3">
        <v>42242</v>
      </c>
      <c r="L1701" s="1">
        <v>250</v>
      </c>
      <c r="M1701">
        <v>278</v>
      </c>
      <c r="N1701" s="5">
        <v>69500</v>
      </c>
      <c r="O1701">
        <v>250</v>
      </c>
      <c r="P1701">
        <v>278</v>
      </c>
      <c r="Q1701" s="4">
        <v>69500</v>
      </c>
      <c r="R1701">
        <v>0</v>
      </c>
      <c r="V1701">
        <v>0</v>
      </c>
      <c r="W1701">
        <v>0</v>
      </c>
      <c r="X1701">
        <v>0</v>
      </c>
      <c r="Y1701">
        <v>0</v>
      </c>
      <c r="Z1701">
        <v>0</v>
      </c>
      <c r="AA1701">
        <v>0</v>
      </c>
      <c r="AB1701" s="3">
        <v>42562</v>
      </c>
      <c r="AC1701" t="s">
        <v>53</v>
      </c>
      <c r="AD1701" t="s">
        <v>53</v>
      </c>
      <c r="AK1701">
        <v>0</v>
      </c>
      <c r="AU1701" s="3">
        <v>42520</v>
      </c>
      <c r="AV1701" s="3">
        <v>42520</v>
      </c>
      <c r="AW1701" t="s">
        <v>54</v>
      </c>
      <c r="AX1701" t="str">
        <f t="shared" si="220"/>
        <v>FOR</v>
      </c>
      <c r="AY1701" t="s">
        <v>55</v>
      </c>
    </row>
    <row r="1702" spans="1:51">
      <c r="A1702">
        <v>101541</v>
      </c>
      <c r="B1702" t="s">
        <v>254</v>
      </c>
      <c r="C1702" t="str">
        <f t="shared" si="222"/>
        <v>08230471008</v>
      </c>
      <c r="D1702" t="str">
        <f t="shared" si="222"/>
        <v>08230471008</v>
      </c>
      <c r="E1702" t="s">
        <v>52</v>
      </c>
      <c r="F1702">
        <v>2015</v>
      </c>
      <c r="G1702" t="str">
        <f>"               52548"</f>
        <v xml:space="preserve">               52548</v>
      </c>
      <c r="H1702" s="3">
        <v>42174</v>
      </c>
      <c r="I1702" s="3">
        <v>42198</v>
      </c>
      <c r="J1702" s="3">
        <v>42196</v>
      </c>
      <c r="K1702" s="3">
        <v>42256</v>
      </c>
      <c r="L1702" s="1">
        <v>250</v>
      </c>
      <c r="M1702">
        <v>264</v>
      </c>
      <c r="N1702" s="5">
        <v>66000</v>
      </c>
      <c r="O1702">
        <v>250</v>
      </c>
      <c r="P1702">
        <v>264</v>
      </c>
      <c r="Q1702" s="4">
        <v>66000</v>
      </c>
      <c r="R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 s="3">
        <v>42562</v>
      </c>
      <c r="AC1702" t="s">
        <v>53</v>
      </c>
      <c r="AD1702" t="s">
        <v>53</v>
      </c>
      <c r="AK1702">
        <v>0</v>
      </c>
      <c r="AU1702" s="3">
        <v>42520</v>
      </c>
      <c r="AV1702" s="3">
        <v>42520</v>
      </c>
      <c r="AW1702" t="s">
        <v>54</v>
      </c>
      <c r="AX1702" t="str">
        <f t="shared" si="220"/>
        <v>FOR</v>
      </c>
      <c r="AY1702" t="s">
        <v>55</v>
      </c>
    </row>
    <row r="1703" spans="1:51">
      <c r="A1703">
        <v>101541</v>
      </c>
      <c r="B1703" t="s">
        <v>254</v>
      </c>
      <c r="C1703" t="str">
        <f t="shared" si="222"/>
        <v>08230471008</v>
      </c>
      <c r="D1703" t="str">
        <f t="shared" si="222"/>
        <v>08230471008</v>
      </c>
      <c r="E1703" t="s">
        <v>52</v>
      </c>
      <c r="F1703">
        <v>2015</v>
      </c>
      <c r="G1703" t="str">
        <f>"               52549"</f>
        <v xml:space="preserve">               52549</v>
      </c>
      <c r="H1703" s="3">
        <v>42174</v>
      </c>
      <c r="I1703" s="3">
        <v>42185</v>
      </c>
      <c r="J1703" s="3">
        <v>42181</v>
      </c>
      <c r="K1703" s="3">
        <v>42241</v>
      </c>
      <c r="L1703" s="1">
        <v>250</v>
      </c>
      <c r="M1703">
        <v>279</v>
      </c>
      <c r="N1703" s="5">
        <v>69750</v>
      </c>
      <c r="O1703">
        <v>250</v>
      </c>
      <c r="P1703">
        <v>279</v>
      </c>
      <c r="Q1703" s="4">
        <v>69750</v>
      </c>
      <c r="R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 s="3">
        <v>42562</v>
      </c>
      <c r="AC1703" t="s">
        <v>53</v>
      </c>
      <c r="AD1703" t="s">
        <v>53</v>
      </c>
      <c r="AK1703">
        <v>0</v>
      </c>
      <c r="AU1703" s="3">
        <v>42520</v>
      </c>
      <c r="AV1703" s="3">
        <v>42520</v>
      </c>
      <c r="AW1703" t="s">
        <v>54</v>
      </c>
      <c r="AX1703" t="str">
        <f t="shared" si="220"/>
        <v>FOR</v>
      </c>
      <c r="AY1703" t="s">
        <v>55</v>
      </c>
    </row>
    <row r="1704" spans="1:51">
      <c r="A1704">
        <v>101541</v>
      </c>
      <c r="B1704" t="s">
        <v>254</v>
      </c>
      <c r="C1704" t="str">
        <f t="shared" si="222"/>
        <v>08230471008</v>
      </c>
      <c r="D1704" t="str">
        <f t="shared" si="222"/>
        <v>08230471008</v>
      </c>
      <c r="E1704" t="s">
        <v>52</v>
      </c>
      <c r="F1704">
        <v>2015</v>
      </c>
      <c r="G1704" t="str">
        <f>"               52550"</f>
        <v xml:space="preserve">               52550</v>
      </c>
      <c r="H1704" s="3">
        <v>42174</v>
      </c>
      <c r="I1704" s="3">
        <v>42185</v>
      </c>
      <c r="J1704" s="3">
        <v>42181</v>
      </c>
      <c r="K1704" s="3">
        <v>42241</v>
      </c>
      <c r="L1704" s="1">
        <v>250</v>
      </c>
      <c r="M1704">
        <v>279</v>
      </c>
      <c r="N1704" s="5">
        <v>69750</v>
      </c>
      <c r="O1704">
        <v>250</v>
      </c>
      <c r="P1704">
        <v>279</v>
      </c>
      <c r="Q1704" s="4">
        <v>69750</v>
      </c>
      <c r="R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 s="3">
        <v>42562</v>
      </c>
      <c r="AC1704" t="s">
        <v>53</v>
      </c>
      <c r="AD1704" t="s">
        <v>53</v>
      </c>
      <c r="AK1704">
        <v>0</v>
      </c>
      <c r="AU1704" s="3">
        <v>42520</v>
      </c>
      <c r="AV1704" s="3">
        <v>42520</v>
      </c>
      <c r="AW1704" t="s">
        <v>54</v>
      </c>
      <c r="AX1704" t="str">
        <f t="shared" si="220"/>
        <v>FOR</v>
      </c>
      <c r="AY1704" t="s">
        <v>55</v>
      </c>
    </row>
    <row r="1705" spans="1:51">
      <c r="A1705">
        <v>101541</v>
      </c>
      <c r="B1705" t="s">
        <v>254</v>
      </c>
      <c r="C1705" t="str">
        <f t="shared" si="222"/>
        <v>08230471008</v>
      </c>
      <c r="D1705" t="str">
        <f t="shared" si="222"/>
        <v>08230471008</v>
      </c>
      <c r="E1705" t="s">
        <v>52</v>
      </c>
      <c r="F1705">
        <v>2015</v>
      </c>
      <c r="G1705" t="str">
        <f>"               52551"</f>
        <v xml:space="preserve">               52551</v>
      </c>
      <c r="H1705" s="3">
        <v>42174</v>
      </c>
      <c r="I1705" s="3">
        <v>42186</v>
      </c>
      <c r="J1705" s="3">
        <v>42182</v>
      </c>
      <c r="K1705" s="3">
        <v>42242</v>
      </c>
      <c r="L1705" s="1">
        <v>250</v>
      </c>
      <c r="M1705">
        <v>278</v>
      </c>
      <c r="N1705" s="5">
        <v>69500</v>
      </c>
      <c r="O1705">
        <v>250</v>
      </c>
      <c r="P1705">
        <v>278</v>
      </c>
      <c r="Q1705" s="4">
        <v>69500</v>
      </c>
      <c r="R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0</v>
      </c>
      <c r="AB1705" s="3">
        <v>42562</v>
      </c>
      <c r="AC1705" t="s">
        <v>53</v>
      </c>
      <c r="AD1705" t="s">
        <v>53</v>
      </c>
      <c r="AK1705">
        <v>0</v>
      </c>
      <c r="AU1705" s="3">
        <v>42520</v>
      </c>
      <c r="AV1705" s="3">
        <v>42520</v>
      </c>
      <c r="AW1705" t="s">
        <v>54</v>
      </c>
      <c r="AX1705" t="str">
        <f t="shared" si="220"/>
        <v>FOR</v>
      </c>
      <c r="AY1705" t="s">
        <v>55</v>
      </c>
    </row>
    <row r="1706" spans="1:51">
      <c r="A1706">
        <v>101541</v>
      </c>
      <c r="B1706" t="s">
        <v>254</v>
      </c>
      <c r="C1706" t="str">
        <f t="shared" si="222"/>
        <v>08230471008</v>
      </c>
      <c r="D1706" t="str">
        <f t="shared" si="222"/>
        <v>08230471008</v>
      </c>
      <c r="E1706" t="s">
        <v>52</v>
      </c>
      <c r="F1706">
        <v>2015</v>
      </c>
      <c r="G1706" t="str">
        <f>"               52552"</f>
        <v xml:space="preserve">               52552</v>
      </c>
      <c r="H1706" s="3">
        <v>42174</v>
      </c>
      <c r="I1706" s="3">
        <v>42185</v>
      </c>
      <c r="J1706" s="3">
        <v>42181</v>
      </c>
      <c r="K1706" s="3">
        <v>42241</v>
      </c>
      <c r="L1706" s="1">
        <v>250</v>
      </c>
      <c r="M1706">
        <v>279</v>
      </c>
      <c r="N1706" s="5">
        <v>69750</v>
      </c>
      <c r="O1706">
        <v>250</v>
      </c>
      <c r="P1706">
        <v>279</v>
      </c>
      <c r="Q1706" s="4">
        <v>69750</v>
      </c>
      <c r="R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 s="3">
        <v>42562</v>
      </c>
      <c r="AC1706" t="s">
        <v>53</v>
      </c>
      <c r="AD1706" t="s">
        <v>53</v>
      </c>
      <c r="AK1706">
        <v>0</v>
      </c>
      <c r="AU1706" s="3">
        <v>42520</v>
      </c>
      <c r="AV1706" s="3">
        <v>42520</v>
      </c>
      <c r="AW1706" t="s">
        <v>54</v>
      </c>
      <c r="AX1706" t="str">
        <f t="shared" si="220"/>
        <v>FOR</v>
      </c>
      <c r="AY1706" t="s">
        <v>55</v>
      </c>
    </row>
    <row r="1707" spans="1:51">
      <c r="A1707">
        <v>101541</v>
      </c>
      <c r="B1707" t="s">
        <v>254</v>
      </c>
      <c r="C1707" t="str">
        <f t="shared" si="222"/>
        <v>08230471008</v>
      </c>
      <c r="D1707" t="str">
        <f t="shared" si="222"/>
        <v>08230471008</v>
      </c>
      <c r="E1707" t="s">
        <v>52</v>
      </c>
      <c r="F1707">
        <v>2015</v>
      </c>
      <c r="G1707" t="str">
        <f>"               52553"</f>
        <v xml:space="preserve">               52553</v>
      </c>
      <c r="H1707" s="3">
        <v>42174</v>
      </c>
      <c r="I1707" s="3">
        <v>42186</v>
      </c>
      <c r="J1707" s="3">
        <v>42182</v>
      </c>
      <c r="K1707" s="3">
        <v>42242</v>
      </c>
      <c r="L1707" s="1">
        <v>250</v>
      </c>
      <c r="M1707">
        <v>278</v>
      </c>
      <c r="N1707" s="5">
        <v>69500</v>
      </c>
      <c r="O1707">
        <v>250</v>
      </c>
      <c r="P1707">
        <v>278</v>
      </c>
      <c r="Q1707" s="4">
        <v>69500</v>
      </c>
      <c r="R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 s="3">
        <v>42562</v>
      </c>
      <c r="AC1707" t="s">
        <v>53</v>
      </c>
      <c r="AD1707" t="s">
        <v>53</v>
      </c>
      <c r="AK1707">
        <v>0</v>
      </c>
      <c r="AU1707" s="3">
        <v>42520</v>
      </c>
      <c r="AV1707" s="3">
        <v>42520</v>
      </c>
      <c r="AW1707" t="s">
        <v>54</v>
      </c>
      <c r="AX1707" t="str">
        <f t="shared" ref="AX1707:AX1728" si="223">"FOR"</f>
        <v>FOR</v>
      </c>
      <c r="AY1707" t="s">
        <v>55</v>
      </c>
    </row>
    <row r="1708" spans="1:51">
      <c r="A1708">
        <v>101541</v>
      </c>
      <c r="B1708" t="s">
        <v>254</v>
      </c>
      <c r="C1708" t="str">
        <f t="shared" si="222"/>
        <v>08230471008</v>
      </c>
      <c r="D1708" t="str">
        <f t="shared" si="222"/>
        <v>08230471008</v>
      </c>
      <c r="E1708" t="s">
        <v>52</v>
      </c>
      <c r="F1708">
        <v>2015</v>
      </c>
      <c r="G1708" t="str">
        <f>"               52816"</f>
        <v xml:space="preserve">               52816</v>
      </c>
      <c r="H1708" s="3">
        <v>42181</v>
      </c>
      <c r="I1708" s="3">
        <v>42198</v>
      </c>
      <c r="J1708" s="3">
        <v>42196</v>
      </c>
      <c r="K1708" s="3">
        <v>42256</v>
      </c>
      <c r="L1708" s="1">
        <v>250</v>
      </c>
      <c r="M1708">
        <v>264</v>
      </c>
      <c r="N1708" s="5">
        <v>66000</v>
      </c>
      <c r="O1708">
        <v>250</v>
      </c>
      <c r="P1708">
        <v>264</v>
      </c>
      <c r="Q1708" s="4">
        <v>66000</v>
      </c>
      <c r="R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 s="3">
        <v>42562</v>
      </c>
      <c r="AC1708" t="s">
        <v>53</v>
      </c>
      <c r="AD1708" t="s">
        <v>53</v>
      </c>
      <c r="AK1708">
        <v>0</v>
      </c>
      <c r="AU1708" s="3">
        <v>42520</v>
      </c>
      <c r="AV1708" s="3">
        <v>42520</v>
      </c>
      <c r="AW1708" t="s">
        <v>54</v>
      </c>
      <c r="AX1708" t="str">
        <f t="shared" si="223"/>
        <v>FOR</v>
      </c>
      <c r="AY1708" t="s">
        <v>55</v>
      </c>
    </row>
    <row r="1709" spans="1:51">
      <c r="A1709">
        <v>101541</v>
      </c>
      <c r="B1709" t="s">
        <v>254</v>
      </c>
      <c r="C1709" t="str">
        <f t="shared" si="222"/>
        <v>08230471008</v>
      </c>
      <c r="D1709" t="str">
        <f t="shared" si="222"/>
        <v>08230471008</v>
      </c>
      <c r="E1709" t="s">
        <v>52</v>
      </c>
      <c r="F1709">
        <v>2015</v>
      </c>
      <c r="G1709" t="str">
        <f>"               52817"</f>
        <v xml:space="preserve">               52817</v>
      </c>
      <c r="H1709" s="3">
        <v>42181</v>
      </c>
      <c r="I1709" s="3">
        <v>42195</v>
      </c>
      <c r="J1709" s="3">
        <v>42195</v>
      </c>
      <c r="K1709" s="3">
        <v>42255</v>
      </c>
      <c r="L1709" s="1">
        <v>250</v>
      </c>
      <c r="M1709">
        <v>265</v>
      </c>
      <c r="N1709" s="5">
        <v>66250</v>
      </c>
      <c r="O1709">
        <v>250</v>
      </c>
      <c r="P1709">
        <v>265</v>
      </c>
      <c r="Q1709" s="4">
        <v>66250</v>
      </c>
      <c r="R1709">
        <v>0</v>
      </c>
      <c r="V1709">
        <v>0</v>
      </c>
      <c r="W1709">
        <v>0</v>
      </c>
      <c r="X1709">
        <v>0</v>
      </c>
      <c r="Y1709">
        <v>0</v>
      </c>
      <c r="Z1709">
        <v>0</v>
      </c>
      <c r="AA1709">
        <v>0</v>
      </c>
      <c r="AB1709" s="3">
        <v>42562</v>
      </c>
      <c r="AC1709" t="s">
        <v>53</v>
      </c>
      <c r="AD1709" t="s">
        <v>53</v>
      </c>
      <c r="AK1709">
        <v>0</v>
      </c>
      <c r="AU1709" s="3">
        <v>42520</v>
      </c>
      <c r="AV1709" s="3">
        <v>42520</v>
      </c>
      <c r="AW1709" t="s">
        <v>54</v>
      </c>
      <c r="AX1709" t="str">
        <f t="shared" si="223"/>
        <v>FOR</v>
      </c>
      <c r="AY1709" t="s">
        <v>55</v>
      </c>
    </row>
    <row r="1710" spans="1:51">
      <c r="A1710">
        <v>101541</v>
      </c>
      <c r="B1710" t="s">
        <v>254</v>
      </c>
      <c r="C1710" t="str">
        <f t="shared" si="222"/>
        <v>08230471008</v>
      </c>
      <c r="D1710" t="str">
        <f t="shared" si="222"/>
        <v>08230471008</v>
      </c>
      <c r="E1710" t="s">
        <v>52</v>
      </c>
      <c r="F1710">
        <v>2015</v>
      </c>
      <c r="G1710" t="str">
        <f>"               52818"</f>
        <v xml:space="preserve">               52818</v>
      </c>
      <c r="H1710" s="3">
        <v>42181</v>
      </c>
      <c r="I1710" s="3">
        <v>42198</v>
      </c>
      <c r="J1710" s="3">
        <v>42196</v>
      </c>
      <c r="K1710" s="3">
        <v>42256</v>
      </c>
      <c r="L1710" s="1">
        <v>250</v>
      </c>
      <c r="M1710">
        <v>264</v>
      </c>
      <c r="N1710" s="5">
        <v>66000</v>
      </c>
      <c r="O1710">
        <v>250</v>
      </c>
      <c r="P1710">
        <v>264</v>
      </c>
      <c r="Q1710" s="4">
        <v>66000</v>
      </c>
      <c r="R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 s="3">
        <v>42562</v>
      </c>
      <c r="AC1710" t="s">
        <v>53</v>
      </c>
      <c r="AD1710" t="s">
        <v>53</v>
      </c>
      <c r="AK1710">
        <v>0</v>
      </c>
      <c r="AU1710" s="3">
        <v>42520</v>
      </c>
      <c r="AV1710" s="3">
        <v>42520</v>
      </c>
      <c r="AW1710" t="s">
        <v>54</v>
      </c>
      <c r="AX1710" t="str">
        <f t="shared" si="223"/>
        <v>FOR</v>
      </c>
      <c r="AY1710" t="s">
        <v>55</v>
      </c>
    </row>
    <row r="1711" spans="1:51">
      <c r="A1711">
        <v>101541</v>
      </c>
      <c r="B1711" t="s">
        <v>254</v>
      </c>
      <c r="C1711" t="str">
        <f t="shared" si="222"/>
        <v>08230471008</v>
      </c>
      <c r="D1711" t="str">
        <f t="shared" si="222"/>
        <v>08230471008</v>
      </c>
      <c r="E1711" t="s">
        <v>52</v>
      </c>
      <c r="F1711">
        <v>2015</v>
      </c>
      <c r="G1711" t="str">
        <f>"               52819"</f>
        <v xml:space="preserve">               52819</v>
      </c>
      <c r="H1711" s="3">
        <v>42181</v>
      </c>
      <c r="I1711" s="3">
        <v>42198</v>
      </c>
      <c r="J1711" s="3">
        <v>42196</v>
      </c>
      <c r="K1711" s="3">
        <v>42256</v>
      </c>
      <c r="L1711" s="1">
        <v>250</v>
      </c>
      <c r="M1711">
        <v>264</v>
      </c>
      <c r="N1711" s="5">
        <v>66000</v>
      </c>
      <c r="O1711">
        <v>250</v>
      </c>
      <c r="P1711">
        <v>264</v>
      </c>
      <c r="Q1711" s="4">
        <v>66000</v>
      </c>
      <c r="R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0</v>
      </c>
      <c r="AB1711" s="3">
        <v>42562</v>
      </c>
      <c r="AC1711" t="s">
        <v>53</v>
      </c>
      <c r="AD1711" t="s">
        <v>53</v>
      </c>
      <c r="AK1711">
        <v>0</v>
      </c>
      <c r="AU1711" s="3">
        <v>42520</v>
      </c>
      <c r="AV1711" s="3">
        <v>42520</v>
      </c>
      <c r="AW1711" t="s">
        <v>54</v>
      </c>
      <c r="AX1711" t="str">
        <f t="shared" si="223"/>
        <v>FOR</v>
      </c>
      <c r="AY1711" t="s">
        <v>55</v>
      </c>
    </row>
    <row r="1712" spans="1:51">
      <c r="A1712">
        <v>101541</v>
      </c>
      <c r="B1712" t="s">
        <v>254</v>
      </c>
      <c r="C1712" t="str">
        <f t="shared" si="222"/>
        <v>08230471008</v>
      </c>
      <c r="D1712" t="str">
        <f t="shared" si="222"/>
        <v>08230471008</v>
      </c>
      <c r="E1712" t="s">
        <v>52</v>
      </c>
      <c r="F1712">
        <v>2015</v>
      </c>
      <c r="G1712" t="str">
        <f>"               52820"</f>
        <v xml:space="preserve">               52820</v>
      </c>
      <c r="H1712" s="3">
        <v>42181</v>
      </c>
      <c r="I1712" s="3">
        <v>42198</v>
      </c>
      <c r="J1712" s="3">
        <v>42196</v>
      </c>
      <c r="K1712" s="3">
        <v>42256</v>
      </c>
      <c r="L1712" s="1">
        <v>250</v>
      </c>
      <c r="M1712">
        <v>264</v>
      </c>
      <c r="N1712" s="5">
        <v>66000</v>
      </c>
      <c r="O1712">
        <v>250</v>
      </c>
      <c r="P1712">
        <v>264</v>
      </c>
      <c r="Q1712" s="4">
        <v>66000</v>
      </c>
      <c r="R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0</v>
      </c>
      <c r="AB1712" s="3">
        <v>42562</v>
      </c>
      <c r="AC1712" t="s">
        <v>53</v>
      </c>
      <c r="AD1712" t="s">
        <v>53</v>
      </c>
      <c r="AK1712">
        <v>0</v>
      </c>
      <c r="AU1712" s="3">
        <v>42520</v>
      </c>
      <c r="AV1712" s="3">
        <v>42520</v>
      </c>
      <c r="AW1712" t="s">
        <v>54</v>
      </c>
      <c r="AX1712" t="str">
        <f t="shared" si="223"/>
        <v>FOR</v>
      </c>
      <c r="AY1712" t="s">
        <v>55</v>
      </c>
    </row>
    <row r="1713" spans="1:51">
      <c r="A1713">
        <v>101541</v>
      </c>
      <c r="B1713" t="s">
        <v>254</v>
      </c>
      <c r="C1713" t="str">
        <f t="shared" si="222"/>
        <v>08230471008</v>
      </c>
      <c r="D1713" t="str">
        <f t="shared" si="222"/>
        <v>08230471008</v>
      </c>
      <c r="E1713" t="s">
        <v>52</v>
      </c>
      <c r="F1713">
        <v>2015</v>
      </c>
      <c r="G1713" t="str">
        <f>"               52821"</f>
        <v xml:space="preserve">               52821</v>
      </c>
      <c r="H1713" s="3">
        <v>42181</v>
      </c>
      <c r="I1713" s="3">
        <v>42212</v>
      </c>
      <c r="J1713" s="3">
        <v>42209</v>
      </c>
      <c r="K1713" s="3">
        <v>42269</v>
      </c>
      <c r="L1713" s="1">
        <v>250</v>
      </c>
      <c r="M1713">
        <v>251</v>
      </c>
      <c r="N1713" s="5">
        <v>62750</v>
      </c>
      <c r="O1713">
        <v>250</v>
      </c>
      <c r="P1713">
        <v>251</v>
      </c>
      <c r="Q1713" s="4">
        <v>62750</v>
      </c>
      <c r="R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0</v>
      </c>
      <c r="AB1713" s="3">
        <v>42562</v>
      </c>
      <c r="AC1713" t="s">
        <v>53</v>
      </c>
      <c r="AD1713" t="s">
        <v>53</v>
      </c>
      <c r="AK1713">
        <v>0</v>
      </c>
      <c r="AU1713" s="3">
        <v>42520</v>
      </c>
      <c r="AV1713" s="3">
        <v>42520</v>
      </c>
      <c r="AW1713" t="s">
        <v>54</v>
      </c>
      <c r="AX1713" t="str">
        <f t="shared" si="223"/>
        <v>FOR</v>
      </c>
      <c r="AY1713" t="s">
        <v>55</v>
      </c>
    </row>
    <row r="1714" spans="1:51">
      <c r="A1714">
        <v>101541</v>
      </c>
      <c r="B1714" t="s">
        <v>254</v>
      </c>
      <c r="C1714" t="str">
        <f t="shared" si="222"/>
        <v>08230471008</v>
      </c>
      <c r="D1714" t="str">
        <f t="shared" si="222"/>
        <v>08230471008</v>
      </c>
      <c r="E1714" t="s">
        <v>52</v>
      </c>
      <c r="F1714">
        <v>2015</v>
      </c>
      <c r="G1714" t="str">
        <f>"               52822"</f>
        <v xml:space="preserve">               52822</v>
      </c>
      <c r="H1714" s="3">
        <v>42181</v>
      </c>
      <c r="I1714" s="3">
        <v>42198</v>
      </c>
      <c r="J1714" s="3">
        <v>42196</v>
      </c>
      <c r="K1714" s="3">
        <v>42256</v>
      </c>
      <c r="L1714" s="1">
        <v>250</v>
      </c>
      <c r="M1714">
        <v>264</v>
      </c>
      <c r="N1714" s="5">
        <v>66000</v>
      </c>
      <c r="O1714">
        <v>250</v>
      </c>
      <c r="P1714">
        <v>264</v>
      </c>
      <c r="Q1714" s="4">
        <v>66000</v>
      </c>
      <c r="R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0</v>
      </c>
      <c r="AB1714" s="3">
        <v>42562</v>
      </c>
      <c r="AC1714" t="s">
        <v>53</v>
      </c>
      <c r="AD1714" t="s">
        <v>53</v>
      </c>
      <c r="AK1714">
        <v>0</v>
      </c>
      <c r="AU1714" s="3">
        <v>42520</v>
      </c>
      <c r="AV1714" s="3">
        <v>42520</v>
      </c>
      <c r="AW1714" t="s">
        <v>54</v>
      </c>
      <c r="AX1714" t="str">
        <f t="shared" si="223"/>
        <v>FOR</v>
      </c>
      <c r="AY1714" t="s">
        <v>55</v>
      </c>
    </row>
    <row r="1715" spans="1:51">
      <c r="A1715">
        <v>101541</v>
      </c>
      <c r="B1715" t="s">
        <v>254</v>
      </c>
      <c r="C1715" t="str">
        <f t="shared" si="222"/>
        <v>08230471008</v>
      </c>
      <c r="D1715" t="str">
        <f t="shared" si="222"/>
        <v>08230471008</v>
      </c>
      <c r="E1715" t="s">
        <v>52</v>
      </c>
      <c r="F1715">
        <v>2015</v>
      </c>
      <c r="G1715" t="str">
        <f>"               52823"</f>
        <v xml:space="preserve">               52823</v>
      </c>
      <c r="H1715" s="3">
        <v>42181</v>
      </c>
      <c r="I1715" s="3">
        <v>42198</v>
      </c>
      <c r="J1715" s="3">
        <v>42196</v>
      </c>
      <c r="K1715" s="3">
        <v>42256</v>
      </c>
      <c r="L1715" s="1">
        <v>250</v>
      </c>
      <c r="M1715">
        <v>264</v>
      </c>
      <c r="N1715" s="5">
        <v>66000</v>
      </c>
      <c r="O1715">
        <v>250</v>
      </c>
      <c r="P1715">
        <v>264</v>
      </c>
      <c r="Q1715" s="4">
        <v>66000</v>
      </c>
      <c r="R1715">
        <v>0</v>
      </c>
      <c r="V1715">
        <v>0</v>
      </c>
      <c r="W1715">
        <v>0</v>
      </c>
      <c r="X1715">
        <v>0</v>
      </c>
      <c r="Y1715">
        <v>0</v>
      </c>
      <c r="Z1715">
        <v>0</v>
      </c>
      <c r="AA1715">
        <v>0</v>
      </c>
      <c r="AB1715" s="3">
        <v>42562</v>
      </c>
      <c r="AC1715" t="s">
        <v>53</v>
      </c>
      <c r="AD1715" t="s">
        <v>53</v>
      </c>
      <c r="AK1715">
        <v>0</v>
      </c>
      <c r="AU1715" s="3">
        <v>42520</v>
      </c>
      <c r="AV1715" s="3">
        <v>42520</v>
      </c>
      <c r="AW1715" t="s">
        <v>54</v>
      </c>
      <c r="AX1715" t="str">
        <f t="shared" si="223"/>
        <v>FOR</v>
      </c>
      <c r="AY1715" t="s">
        <v>55</v>
      </c>
    </row>
    <row r="1716" spans="1:51">
      <c r="A1716">
        <v>101541</v>
      </c>
      <c r="B1716" t="s">
        <v>254</v>
      </c>
      <c r="C1716" t="str">
        <f t="shared" si="222"/>
        <v>08230471008</v>
      </c>
      <c r="D1716" t="str">
        <f t="shared" si="222"/>
        <v>08230471008</v>
      </c>
      <c r="E1716" t="s">
        <v>52</v>
      </c>
      <c r="F1716">
        <v>2015</v>
      </c>
      <c r="G1716" t="str">
        <f>"               52824"</f>
        <v xml:space="preserve">               52824</v>
      </c>
      <c r="H1716" s="3">
        <v>42181</v>
      </c>
      <c r="I1716" s="3">
        <v>42198</v>
      </c>
      <c r="J1716" s="3">
        <v>42196</v>
      </c>
      <c r="K1716" s="3">
        <v>42256</v>
      </c>
      <c r="L1716" s="5">
        <v>5000</v>
      </c>
      <c r="M1716">
        <v>264</v>
      </c>
      <c r="N1716" s="5">
        <v>1320000</v>
      </c>
      <c r="O1716" s="4">
        <v>5000</v>
      </c>
      <c r="P1716">
        <v>264</v>
      </c>
      <c r="Q1716" s="4">
        <v>1320000</v>
      </c>
      <c r="R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 s="3">
        <v>42562</v>
      </c>
      <c r="AC1716" t="s">
        <v>53</v>
      </c>
      <c r="AD1716" t="s">
        <v>53</v>
      </c>
      <c r="AK1716">
        <v>0</v>
      </c>
      <c r="AU1716" s="3">
        <v>42520</v>
      </c>
      <c r="AV1716" s="3">
        <v>42520</v>
      </c>
      <c r="AW1716" t="s">
        <v>54</v>
      </c>
      <c r="AX1716" t="str">
        <f t="shared" si="223"/>
        <v>FOR</v>
      </c>
      <c r="AY1716" t="s">
        <v>55</v>
      </c>
    </row>
    <row r="1717" spans="1:51">
      <c r="A1717">
        <v>101541</v>
      </c>
      <c r="B1717" t="s">
        <v>254</v>
      </c>
      <c r="C1717" t="str">
        <f t="shared" si="222"/>
        <v>08230471008</v>
      </c>
      <c r="D1717" t="str">
        <f t="shared" si="222"/>
        <v>08230471008</v>
      </c>
      <c r="E1717" t="s">
        <v>52</v>
      </c>
      <c r="F1717">
        <v>2015</v>
      </c>
      <c r="G1717" t="str">
        <f>"               52825"</f>
        <v xml:space="preserve">               52825</v>
      </c>
      <c r="H1717" s="3">
        <v>42181</v>
      </c>
      <c r="I1717" s="3">
        <v>42198</v>
      </c>
      <c r="J1717" s="3">
        <v>42196</v>
      </c>
      <c r="K1717" s="3">
        <v>42256</v>
      </c>
      <c r="L1717" s="5">
        <v>5850</v>
      </c>
      <c r="M1717">
        <v>264</v>
      </c>
      <c r="N1717" s="5">
        <v>1544400</v>
      </c>
      <c r="O1717" s="4">
        <v>5850</v>
      </c>
      <c r="P1717">
        <v>264</v>
      </c>
      <c r="Q1717" s="4">
        <v>1544400</v>
      </c>
      <c r="R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 s="3">
        <v>42562</v>
      </c>
      <c r="AC1717" t="s">
        <v>53</v>
      </c>
      <c r="AD1717" t="s">
        <v>53</v>
      </c>
      <c r="AK1717">
        <v>0</v>
      </c>
      <c r="AU1717" s="3">
        <v>42520</v>
      </c>
      <c r="AV1717" s="3">
        <v>42520</v>
      </c>
      <c r="AW1717" t="s">
        <v>54</v>
      </c>
      <c r="AX1717" t="str">
        <f t="shared" si="223"/>
        <v>FOR</v>
      </c>
      <c r="AY1717" t="s">
        <v>55</v>
      </c>
    </row>
    <row r="1718" spans="1:51">
      <c r="A1718">
        <v>101541</v>
      </c>
      <c r="B1718" t="s">
        <v>254</v>
      </c>
      <c r="C1718" t="str">
        <f t="shared" ref="C1718:D1728" si="224">"08230471008"</f>
        <v>08230471008</v>
      </c>
      <c r="D1718" t="str">
        <f t="shared" si="224"/>
        <v>08230471008</v>
      </c>
      <c r="E1718" t="s">
        <v>52</v>
      </c>
      <c r="F1718">
        <v>2015</v>
      </c>
      <c r="G1718" t="str">
        <f>"               53143"</f>
        <v xml:space="preserve">               53143</v>
      </c>
      <c r="H1718" s="3">
        <v>42185</v>
      </c>
      <c r="I1718" s="3">
        <v>42198</v>
      </c>
      <c r="J1718" s="3">
        <v>42196</v>
      </c>
      <c r="K1718" s="3">
        <v>42256</v>
      </c>
      <c r="L1718" s="1">
        <v>700</v>
      </c>
      <c r="M1718">
        <v>264</v>
      </c>
      <c r="N1718" s="5">
        <v>184800</v>
      </c>
      <c r="O1718">
        <v>700</v>
      </c>
      <c r="P1718">
        <v>264</v>
      </c>
      <c r="Q1718" s="4">
        <v>184800</v>
      </c>
      <c r="R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0</v>
      </c>
      <c r="AB1718" s="3">
        <v>42562</v>
      </c>
      <c r="AC1718" t="s">
        <v>53</v>
      </c>
      <c r="AD1718" t="s">
        <v>53</v>
      </c>
      <c r="AK1718">
        <v>0</v>
      </c>
      <c r="AU1718" s="3">
        <v>42520</v>
      </c>
      <c r="AV1718" s="3">
        <v>42520</v>
      </c>
      <c r="AW1718" t="s">
        <v>54</v>
      </c>
      <c r="AX1718" t="str">
        <f t="shared" si="223"/>
        <v>FOR</v>
      </c>
      <c r="AY1718" t="s">
        <v>55</v>
      </c>
    </row>
    <row r="1719" spans="1:51">
      <c r="A1719">
        <v>101541</v>
      </c>
      <c r="B1719" t="s">
        <v>254</v>
      </c>
      <c r="C1719" t="str">
        <f t="shared" si="224"/>
        <v>08230471008</v>
      </c>
      <c r="D1719" t="str">
        <f t="shared" si="224"/>
        <v>08230471008</v>
      </c>
      <c r="E1719" t="s">
        <v>52</v>
      </c>
      <c r="F1719">
        <v>2015</v>
      </c>
      <c r="G1719" t="str">
        <f>"               53144"</f>
        <v xml:space="preserve">               53144</v>
      </c>
      <c r="H1719" s="3">
        <v>42185</v>
      </c>
      <c r="I1719" s="3">
        <v>42198</v>
      </c>
      <c r="J1719" s="3">
        <v>42196</v>
      </c>
      <c r="K1719" s="3">
        <v>42256</v>
      </c>
      <c r="L1719" s="1">
        <v>250</v>
      </c>
      <c r="M1719">
        <v>264</v>
      </c>
      <c r="N1719" s="5">
        <v>66000</v>
      </c>
      <c r="O1719">
        <v>250</v>
      </c>
      <c r="P1719">
        <v>264</v>
      </c>
      <c r="Q1719" s="4">
        <v>66000</v>
      </c>
      <c r="R1719">
        <v>0</v>
      </c>
      <c r="V1719">
        <v>0</v>
      </c>
      <c r="W1719">
        <v>0</v>
      </c>
      <c r="X1719">
        <v>0</v>
      </c>
      <c r="Y1719">
        <v>0</v>
      </c>
      <c r="Z1719">
        <v>0</v>
      </c>
      <c r="AA1719">
        <v>0</v>
      </c>
      <c r="AB1719" s="3">
        <v>42562</v>
      </c>
      <c r="AC1719" t="s">
        <v>53</v>
      </c>
      <c r="AD1719" t="s">
        <v>53</v>
      </c>
      <c r="AK1719">
        <v>0</v>
      </c>
      <c r="AU1719" s="3">
        <v>42520</v>
      </c>
      <c r="AV1719" s="3">
        <v>42520</v>
      </c>
      <c r="AW1719" t="s">
        <v>54</v>
      </c>
      <c r="AX1719" t="str">
        <f t="shared" si="223"/>
        <v>FOR</v>
      </c>
      <c r="AY1719" t="s">
        <v>55</v>
      </c>
    </row>
    <row r="1720" spans="1:51">
      <c r="A1720">
        <v>101541</v>
      </c>
      <c r="B1720" t="s">
        <v>254</v>
      </c>
      <c r="C1720" t="str">
        <f t="shared" si="224"/>
        <v>08230471008</v>
      </c>
      <c r="D1720" t="str">
        <f t="shared" si="224"/>
        <v>08230471008</v>
      </c>
      <c r="E1720" t="s">
        <v>52</v>
      </c>
      <c r="F1720">
        <v>2015</v>
      </c>
      <c r="G1720" t="str">
        <f>"               53145"</f>
        <v xml:space="preserve">               53145</v>
      </c>
      <c r="H1720" s="3">
        <v>42185</v>
      </c>
      <c r="I1720" s="3">
        <v>42198</v>
      </c>
      <c r="J1720" s="3">
        <v>42196</v>
      </c>
      <c r="K1720" s="3">
        <v>42256</v>
      </c>
      <c r="L1720" s="1">
        <v>250</v>
      </c>
      <c r="M1720">
        <v>264</v>
      </c>
      <c r="N1720" s="5">
        <v>66000</v>
      </c>
      <c r="O1720">
        <v>250</v>
      </c>
      <c r="P1720">
        <v>264</v>
      </c>
      <c r="Q1720" s="4">
        <v>66000</v>
      </c>
      <c r="R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0</v>
      </c>
      <c r="AB1720" s="3">
        <v>42562</v>
      </c>
      <c r="AC1720" t="s">
        <v>53</v>
      </c>
      <c r="AD1720" t="s">
        <v>53</v>
      </c>
      <c r="AK1720">
        <v>0</v>
      </c>
      <c r="AU1720" s="3">
        <v>42520</v>
      </c>
      <c r="AV1720" s="3">
        <v>42520</v>
      </c>
      <c r="AW1720" t="s">
        <v>54</v>
      </c>
      <c r="AX1720" t="str">
        <f t="shared" si="223"/>
        <v>FOR</v>
      </c>
      <c r="AY1720" t="s">
        <v>55</v>
      </c>
    </row>
    <row r="1721" spans="1:51">
      <c r="A1721">
        <v>101541</v>
      </c>
      <c r="B1721" t="s">
        <v>254</v>
      </c>
      <c r="C1721" t="str">
        <f t="shared" si="224"/>
        <v>08230471008</v>
      </c>
      <c r="D1721" t="str">
        <f t="shared" si="224"/>
        <v>08230471008</v>
      </c>
      <c r="E1721" t="s">
        <v>52</v>
      </c>
      <c r="F1721">
        <v>2015</v>
      </c>
      <c r="G1721" t="str">
        <f>"               53146"</f>
        <v xml:space="preserve">               53146</v>
      </c>
      <c r="H1721" s="3">
        <v>42185</v>
      </c>
      <c r="I1721" s="3">
        <v>42198</v>
      </c>
      <c r="J1721" s="3">
        <v>42196</v>
      </c>
      <c r="K1721" s="3">
        <v>42256</v>
      </c>
      <c r="L1721" s="1">
        <v>250</v>
      </c>
      <c r="M1721">
        <v>264</v>
      </c>
      <c r="N1721" s="5">
        <v>66000</v>
      </c>
      <c r="O1721">
        <v>250</v>
      </c>
      <c r="P1721">
        <v>264</v>
      </c>
      <c r="Q1721" s="4">
        <v>66000</v>
      </c>
      <c r="R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 s="3">
        <v>42562</v>
      </c>
      <c r="AC1721" t="s">
        <v>53</v>
      </c>
      <c r="AD1721" t="s">
        <v>53</v>
      </c>
      <c r="AK1721">
        <v>0</v>
      </c>
      <c r="AU1721" s="3">
        <v>42520</v>
      </c>
      <c r="AV1721" s="3">
        <v>42520</v>
      </c>
      <c r="AW1721" t="s">
        <v>54</v>
      </c>
      <c r="AX1721" t="str">
        <f t="shared" si="223"/>
        <v>FOR</v>
      </c>
      <c r="AY1721" t="s">
        <v>55</v>
      </c>
    </row>
    <row r="1722" spans="1:51">
      <c r="A1722">
        <v>101541</v>
      </c>
      <c r="B1722" t="s">
        <v>254</v>
      </c>
      <c r="C1722" t="str">
        <f t="shared" si="224"/>
        <v>08230471008</v>
      </c>
      <c r="D1722" t="str">
        <f t="shared" si="224"/>
        <v>08230471008</v>
      </c>
      <c r="E1722" t="s">
        <v>52</v>
      </c>
      <c r="F1722">
        <v>2015</v>
      </c>
      <c r="G1722" t="str">
        <f>"               53147"</f>
        <v xml:space="preserve">               53147</v>
      </c>
      <c r="H1722" s="3">
        <v>42185</v>
      </c>
      <c r="I1722" s="3">
        <v>42198</v>
      </c>
      <c r="J1722" s="3">
        <v>42196</v>
      </c>
      <c r="K1722" s="3">
        <v>42256</v>
      </c>
      <c r="L1722" s="1">
        <v>700</v>
      </c>
      <c r="M1722">
        <v>264</v>
      </c>
      <c r="N1722" s="5">
        <v>184800</v>
      </c>
      <c r="O1722">
        <v>700</v>
      </c>
      <c r="P1722">
        <v>264</v>
      </c>
      <c r="Q1722" s="4">
        <v>184800</v>
      </c>
      <c r="R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0</v>
      </c>
      <c r="AB1722" s="3">
        <v>42562</v>
      </c>
      <c r="AC1722" t="s">
        <v>53</v>
      </c>
      <c r="AD1722" t="s">
        <v>53</v>
      </c>
      <c r="AK1722">
        <v>0</v>
      </c>
      <c r="AU1722" s="3">
        <v>42520</v>
      </c>
      <c r="AV1722" s="3">
        <v>42520</v>
      </c>
      <c r="AW1722" t="s">
        <v>54</v>
      </c>
      <c r="AX1722" t="str">
        <f t="shared" si="223"/>
        <v>FOR</v>
      </c>
      <c r="AY1722" t="s">
        <v>55</v>
      </c>
    </row>
    <row r="1723" spans="1:51">
      <c r="A1723">
        <v>101541</v>
      </c>
      <c r="B1723" t="s">
        <v>254</v>
      </c>
      <c r="C1723" t="str">
        <f t="shared" si="224"/>
        <v>08230471008</v>
      </c>
      <c r="D1723" t="str">
        <f t="shared" si="224"/>
        <v>08230471008</v>
      </c>
      <c r="E1723" t="s">
        <v>52</v>
      </c>
      <c r="F1723">
        <v>2015</v>
      </c>
      <c r="G1723" t="str">
        <f>"               53148"</f>
        <v xml:space="preserve">               53148</v>
      </c>
      <c r="H1723" s="3">
        <v>42185</v>
      </c>
      <c r="I1723" s="3">
        <v>42195</v>
      </c>
      <c r="J1723" s="3">
        <v>42195</v>
      </c>
      <c r="K1723" s="3">
        <v>42255</v>
      </c>
      <c r="L1723" s="1">
        <v>250</v>
      </c>
      <c r="M1723">
        <v>265</v>
      </c>
      <c r="N1723" s="5">
        <v>66250</v>
      </c>
      <c r="O1723">
        <v>250</v>
      </c>
      <c r="P1723">
        <v>265</v>
      </c>
      <c r="Q1723" s="4">
        <v>66250</v>
      </c>
      <c r="R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 s="3">
        <v>42562</v>
      </c>
      <c r="AC1723" t="s">
        <v>53</v>
      </c>
      <c r="AD1723" t="s">
        <v>53</v>
      </c>
      <c r="AK1723">
        <v>0</v>
      </c>
      <c r="AU1723" s="3">
        <v>42520</v>
      </c>
      <c r="AV1723" s="3">
        <v>42520</v>
      </c>
      <c r="AW1723" t="s">
        <v>54</v>
      </c>
      <c r="AX1723" t="str">
        <f t="shared" si="223"/>
        <v>FOR</v>
      </c>
      <c r="AY1723" t="s">
        <v>55</v>
      </c>
    </row>
    <row r="1724" spans="1:51">
      <c r="A1724">
        <v>101541</v>
      </c>
      <c r="B1724" t="s">
        <v>254</v>
      </c>
      <c r="C1724" t="str">
        <f t="shared" si="224"/>
        <v>08230471008</v>
      </c>
      <c r="D1724" t="str">
        <f t="shared" si="224"/>
        <v>08230471008</v>
      </c>
      <c r="E1724" t="s">
        <v>52</v>
      </c>
      <c r="F1724">
        <v>2015</v>
      </c>
      <c r="G1724" t="str">
        <f>"               53149"</f>
        <v xml:space="preserve">               53149</v>
      </c>
      <c r="H1724" s="3">
        <v>42185</v>
      </c>
      <c r="I1724" s="3">
        <v>42198</v>
      </c>
      <c r="J1724" s="3">
        <v>42196</v>
      </c>
      <c r="K1724" s="3">
        <v>42256</v>
      </c>
      <c r="L1724" s="1">
        <v>250</v>
      </c>
      <c r="M1724">
        <v>264</v>
      </c>
      <c r="N1724" s="5">
        <v>66000</v>
      </c>
      <c r="O1724">
        <v>250</v>
      </c>
      <c r="P1724">
        <v>264</v>
      </c>
      <c r="Q1724" s="4">
        <v>66000</v>
      </c>
      <c r="R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 s="3">
        <v>42562</v>
      </c>
      <c r="AC1724" t="s">
        <v>53</v>
      </c>
      <c r="AD1724" t="s">
        <v>53</v>
      </c>
      <c r="AK1724">
        <v>0</v>
      </c>
      <c r="AU1724" s="3">
        <v>42520</v>
      </c>
      <c r="AV1724" s="3">
        <v>42520</v>
      </c>
      <c r="AW1724" t="s">
        <v>54</v>
      </c>
      <c r="AX1724" t="str">
        <f t="shared" si="223"/>
        <v>FOR</v>
      </c>
      <c r="AY1724" t="s">
        <v>55</v>
      </c>
    </row>
    <row r="1725" spans="1:51">
      <c r="A1725">
        <v>101541</v>
      </c>
      <c r="B1725" t="s">
        <v>254</v>
      </c>
      <c r="C1725" t="str">
        <f t="shared" si="224"/>
        <v>08230471008</v>
      </c>
      <c r="D1725" t="str">
        <f t="shared" si="224"/>
        <v>08230471008</v>
      </c>
      <c r="E1725" t="s">
        <v>52</v>
      </c>
      <c r="F1725">
        <v>2015</v>
      </c>
      <c r="G1725" t="str">
        <f>"               53150"</f>
        <v xml:space="preserve">               53150</v>
      </c>
      <c r="H1725" s="3">
        <v>42185</v>
      </c>
      <c r="I1725" s="3">
        <v>42195</v>
      </c>
      <c r="J1725" s="3">
        <v>42195</v>
      </c>
      <c r="K1725" s="3">
        <v>42255</v>
      </c>
      <c r="L1725" s="1">
        <v>250</v>
      </c>
      <c r="M1725">
        <v>265</v>
      </c>
      <c r="N1725" s="5">
        <v>66250</v>
      </c>
      <c r="O1725">
        <v>250</v>
      </c>
      <c r="P1725">
        <v>265</v>
      </c>
      <c r="Q1725" s="4">
        <v>66250</v>
      </c>
      <c r="R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0</v>
      </c>
      <c r="AB1725" s="3">
        <v>42562</v>
      </c>
      <c r="AC1725" t="s">
        <v>53</v>
      </c>
      <c r="AD1725" t="s">
        <v>53</v>
      </c>
      <c r="AK1725">
        <v>0</v>
      </c>
      <c r="AU1725" s="3">
        <v>42520</v>
      </c>
      <c r="AV1725" s="3">
        <v>42520</v>
      </c>
      <c r="AW1725" t="s">
        <v>54</v>
      </c>
      <c r="AX1725" t="str">
        <f t="shared" si="223"/>
        <v>FOR</v>
      </c>
      <c r="AY1725" t="s">
        <v>55</v>
      </c>
    </row>
    <row r="1726" spans="1:51">
      <c r="A1726">
        <v>101541</v>
      </c>
      <c r="B1726" t="s">
        <v>254</v>
      </c>
      <c r="C1726" t="str">
        <f t="shared" si="224"/>
        <v>08230471008</v>
      </c>
      <c r="D1726" t="str">
        <f t="shared" si="224"/>
        <v>08230471008</v>
      </c>
      <c r="E1726" t="s">
        <v>52</v>
      </c>
      <c r="F1726">
        <v>2015</v>
      </c>
      <c r="G1726" t="str">
        <f>"               53151"</f>
        <v xml:space="preserve">               53151</v>
      </c>
      <c r="H1726" s="3">
        <v>42185</v>
      </c>
      <c r="I1726" s="3">
        <v>42198</v>
      </c>
      <c r="J1726" s="3">
        <v>42196</v>
      </c>
      <c r="K1726" s="3">
        <v>42256</v>
      </c>
      <c r="L1726" s="1">
        <v>250</v>
      </c>
      <c r="M1726">
        <v>264</v>
      </c>
      <c r="N1726" s="5">
        <v>66000</v>
      </c>
      <c r="O1726">
        <v>250</v>
      </c>
      <c r="P1726">
        <v>264</v>
      </c>
      <c r="Q1726" s="4">
        <v>66000</v>
      </c>
      <c r="R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 s="3">
        <v>42562</v>
      </c>
      <c r="AC1726" t="s">
        <v>53</v>
      </c>
      <c r="AD1726" t="s">
        <v>53</v>
      </c>
      <c r="AK1726">
        <v>0</v>
      </c>
      <c r="AU1726" s="3">
        <v>42520</v>
      </c>
      <c r="AV1726" s="3">
        <v>42520</v>
      </c>
      <c r="AW1726" t="s">
        <v>54</v>
      </c>
      <c r="AX1726" t="str">
        <f t="shared" si="223"/>
        <v>FOR</v>
      </c>
      <c r="AY1726" t="s">
        <v>55</v>
      </c>
    </row>
    <row r="1727" spans="1:51">
      <c r="A1727">
        <v>101541</v>
      </c>
      <c r="B1727" t="s">
        <v>254</v>
      </c>
      <c r="C1727" t="str">
        <f t="shared" si="224"/>
        <v>08230471008</v>
      </c>
      <c r="D1727" t="str">
        <f t="shared" si="224"/>
        <v>08230471008</v>
      </c>
      <c r="E1727" t="s">
        <v>52</v>
      </c>
      <c r="F1727">
        <v>2015</v>
      </c>
      <c r="G1727" t="str">
        <f>"               53152"</f>
        <v xml:space="preserve">               53152</v>
      </c>
      <c r="H1727" s="3">
        <v>42185</v>
      </c>
      <c r="I1727" s="3">
        <v>42198</v>
      </c>
      <c r="J1727" s="3">
        <v>42196</v>
      </c>
      <c r="K1727" s="3">
        <v>42256</v>
      </c>
      <c r="L1727" s="1">
        <v>700</v>
      </c>
      <c r="M1727">
        <v>264</v>
      </c>
      <c r="N1727" s="5">
        <v>184800</v>
      </c>
      <c r="O1727">
        <v>700</v>
      </c>
      <c r="P1727">
        <v>264</v>
      </c>
      <c r="Q1727" s="4">
        <v>184800</v>
      </c>
      <c r="R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 s="3">
        <v>42562</v>
      </c>
      <c r="AC1727" t="s">
        <v>53</v>
      </c>
      <c r="AD1727" t="s">
        <v>53</v>
      </c>
      <c r="AK1727">
        <v>0</v>
      </c>
      <c r="AU1727" s="3">
        <v>42520</v>
      </c>
      <c r="AV1727" s="3">
        <v>42520</v>
      </c>
      <c r="AW1727" t="s">
        <v>54</v>
      </c>
      <c r="AX1727" t="str">
        <f t="shared" si="223"/>
        <v>FOR</v>
      </c>
      <c r="AY1727" t="s">
        <v>55</v>
      </c>
    </row>
    <row r="1728" spans="1:51">
      <c r="A1728">
        <v>101541</v>
      </c>
      <c r="B1728" t="s">
        <v>254</v>
      </c>
      <c r="C1728" t="str">
        <f t="shared" si="224"/>
        <v>08230471008</v>
      </c>
      <c r="D1728" t="str">
        <f t="shared" si="224"/>
        <v>08230471008</v>
      </c>
      <c r="E1728" t="s">
        <v>52</v>
      </c>
      <c r="F1728">
        <v>2015</v>
      </c>
      <c r="G1728" t="str">
        <f>"               53153"</f>
        <v xml:space="preserve">               53153</v>
      </c>
      <c r="H1728" s="3">
        <v>42185</v>
      </c>
      <c r="I1728" s="3">
        <v>42212</v>
      </c>
      <c r="J1728" s="3">
        <v>42209</v>
      </c>
      <c r="K1728" s="3">
        <v>42269</v>
      </c>
      <c r="L1728" s="1">
        <v>250</v>
      </c>
      <c r="M1728">
        <v>251</v>
      </c>
      <c r="N1728" s="5">
        <v>62750</v>
      </c>
      <c r="O1728">
        <v>250</v>
      </c>
      <c r="P1728">
        <v>251</v>
      </c>
      <c r="Q1728" s="4">
        <v>62750</v>
      </c>
      <c r="R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 s="3">
        <v>42562</v>
      </c>
      <c r="AC1728" t="s">
        <v>53</v>
      </c>
      <c r="AD1728" t="s">
        <v>53</v>
      </c>
      <c r="AK1728">
        <v>0</v>
      </c>
      <c r="AU1728" s="3">
        <v>42520</v>
      </c>
      <c r="AV1728" s="3">
        <v>42520</v>
      </c>
      <c r="AW1728" t="s">
        <v>54</v>
      </c>
      <c r="AX1728" t="str">
        <f t="shared" si="223"/>
        <v>FOR</v>
      </c>
      <c r="AY1728" t="s">
        <v>55</v>
      </c>
    </row>
    <row r="1729" spans="1:51" hidden="1">
      <c r="A1729">
        <v>101555</v>
      </c>
      <c r="B1729" t="s">
        <v>255</v>
      </c>
      <c r="C1729" t="str">
        <f>""</f>
        <v/>
      </c>
      <c r="D1729" t="str">
        <f>"PCRDLF42L14A509G"</f>
        <v>PCRDLF42L14A509G</v>
      </c>
      <c r="E1729" t="s">
        <v>52</v>
      </c>
      <c r="F1729">
        <v>2016</v>
      </c>
      <c r="G1729" t="str">
        <f>"                0120"</f>
        <v xml:space="preserve">                0120</v>
      </c>
      <c r="H1729" s="3">
        <v>42389</v>
      </c>
      <c r="I1729" s="3">
        <v>42390</v>
      </c>
      <c r="J1729" s="3">
        <v>42390</v>
      </c>
      <c r="K1729" s="3">
        <v>42450</v>
      </c>
      <c r="L1729"/>
      <c r="N1729"/>
      <c r="O1729">
        <v>180.75</v>
      </c>
      <c r="P1729">
        <v>-60</v>
      </c>
      <c r="Q1729" s="4">
        <v>-10845</v>
      </c>
      <c r="R1729">
        <v>0</v>
      </c>
      <c r="V1729">
        <v>0</v>
      </c>
      <c r="W1729">
        <v>0</v>
      </c>
      <c r="X1729">
        <v>0</v>
      </c>
      <c r="Y1729">
        <v>180.75</v>
      </c>
      <c r="Z1729">
        <v>180.75</v>
      </c>
      <c r="AA1729">
        <v>180.75</v>
      </c>
      <c r="AB1729" s="3">
        <v>42562</v>
      </c>
      <c r="AC1729" t="s">
        <v>53</v>
      </c>
      <c r="AD1729" t="s">
        <v>53</v>
      </c>
      <c r="AK1729">
        <v>0</v>
      </c>
      <c r="AU1729" s="3">
        <v>42390</v>
      </c>
      <c r="AV1729" s="3">
        <v>42390</v>
      </c>
      <c r="AW1729" t="s">
        <v>54</v>
      </c>
      <c r="AX1729" t="str">
        <f>"ALT"</f>
        <v>ALT</v>
      </c>
      <c r="AY1729" t="s">
        <v>72</v>
      </c>
    </row>
    <row r="1730" spans="1:51" hidden="1">
      <c r="A1730">
        <v>101555</v>
      </c>
      <c r="B1730" t="s">
        <v>255</v>
      </c>
      <c r="C1730" t="str">
        <f>""</f>
        <v/>
      </c>
      <c r="D1730" t="str">
        <f>"PCRDLF42L14A509G"</f>
        <v>PCRDLF42L14A509G</v>
      </c>
      <c r="E1730" t="s">
        <v>52</v>
      </c>
      <c r="F1730">
        <v>2016</v>
      </c>
      <c r="G1730" t="str">
        <f>"                0222"</f>
        <v xml:space="preserve">                0222</v>
      </c>
      <c r="H1730" s="3">
        <v>42422</v>
      </c>
      <c r="I1730" s="3">
        <v>42422</v>
      </c>
      <c r="J1730" s="3">
        <v>42422</v>
      </c>
      <c r="K1730" s="3">
        <v>42482</v>
      </c>
      <c r="L1730"/>
      <c r="N1730"/>
      <c r="O1730">
        <v>180.75</v>
      </c>
      <c r="P1730">
        <v>-58</v>
      </c>
      <c r="Q1730" s="4">
        <v>-10483.5</v>
      </c>
      <c r="R1730">
        <v>0</v>
      </c>
      <c r="V1730">
        <v>0</v>
      </c>
      <c r="W1730">
        <v>0</v>
      </c>
      <c r="X1730">
        <v>0</v>
      </c>
      <c r="Y1730">
        <v>180.75</v>
      </c>
      <c r="Z1730">
        <v>180.75</v>
      </c>
      <c r="AA1730">
        <v>180.75</v>
      </c>
      <c r="AB1730" s="3">
        <v>42562</v>
      </c>
      <c r="AC1730" t="s">
        <v>53</v>
      </c>
      <c r="AD1730" t="s">
        <v>53</v>
      </c>
      <c r="AK1730">
        <v>0</v>
      </c>
      <c r="AU1730" s="3">
        <v>42424</v>
      </c>
      <c r="AV1730" s="3">
        <v>42424</v>
      </c>
      <c r="AW1730" t="s">
        <v>54</v>
      </c>
      <c r="AX1730" t="str">
        <f>"ALT"</f>
        <v>ALT</v>
      </c>
      <c r="AY1730" t="s">
        <v>72</v>
      </c>
    </row>
    <row r="1731" spans="1:51" hidden="1">
      <c r="A1731">
        <v>101555</v>
      </c>
      <c r="B1731" t="s">
        <v>255</v>
      </c>
      <c r="C1731" t="str">
        <f>""</f>
        <v/>
      </c>
      <c r="D1731" t="str">
        <f>"PCRDLF42L14A509G"</f>
        <v>PCRDLF42L14A509G</v>
      </c>
      <c r="E1731" t="s">
        <v>52</v>
      </c>
      <c r="F1731">
        <v>2016</v>
      </c>
      <c r="G1731" t="str">
        <f>"                0321"</f>
        <v xml:space="preserve">                0321</v>
      </c>
      <c r="H1731" s="3">
        <v>42450</v>
      </c>
      <c r="I1731" s="3">
        <v>42450</v>
      </c>
      <c r="J1731" s="3">
        <v>42450</v>
      </c>
      <c r="K1731" s="3">
        <v>42510</v>
      </c>
      <c r="L1731"/>
      <c r="N1731"/>
      <c r="O1731">
        <v>180.75</v>
      </c>
      <c r="P1731">
        <v>-57</v>
      </c>
      <c r="Q1731" s="4">
        <v>-10302.75</v>
      </c>
      <c r="R1731">
        <v>0</v>
      </c>
      <c r="V1731">
        <v>0</v>
      </c>
      <c r="W1731">
        <v>0</v>
      </c>
      <c r="X1731">
        <v>0</v>
      </c>
      <c r="Y1731">
        <v>180.75</v>
      </c>
      <c r="Z1731">
        <v>180.75</v>
      </c>
      <c r="AA1731">
        <v>180.75</v>
      </c>
      <c r="AB1731" s="3">
        <v>42562</v>
      </c>
      <c r="AC1731" t="s">
        <v>53</v>
      </c>
      <c r="AD1731" t="s">
        <v>53</v>
      </c>
      <c r="AK1731">
        <v>0</v>
      </c>
      <c r="AU1731" s="3">
        <v>42453</v>
      </c>
      <c r="AV1731" s="3">
        <v>42453</v>
      </c>
      <c r="AW1731" t="s">
        <v>54</v>
      </c>
      <c r="AX1731" t="str">
        <f>"ALT"</f>
        <v>ALT</v>
      </c>
      <c r="AY1731" t="s">
        <v>72</v>
      </c>
    </row>
    <row r="1732" spans="1:51" hidden="1">
      <c r="A1732">
        <v>101555</v>
      </c>
      <c r="B1732" t="s">
        <v>255</v>
      </c>
      <c r="C1732" t="str">
        <f>""</f>
        <v/>
      </c>
      <c r="D1732" t="str">
        <f>"PCRDLF42L14A509G"</f>
        <v>PCRDLF42L14A509G</v>
      </c>
      <c r="E1732" t="s">
        <v>52</v>
      </c>
      <c r="F1732">
        <v>2016</v>
      </c>
      <c r="G1732" t="str">
        <f>"                0421"</f>
        <v xml:space="preserve">                0421</v>
      </c>
      <c r="H1732" s="3">
        <v>42481</v>
      </c>
      <c r="I1732" s="3">
        <v>42481</v>
      </c>
      <c r="J1732" s="3">
        <v>42481</v>
      </c>
      <c r="K1732" s="3">
        <v>42541</v>
      </c>
      <c r="L1732">
        <v>180.75</v>
      </c>
      <c r="M1732">
        <v>-60</v>
      </c>
      <c r="N1732" s="4">
        <v>-10845</v>
      </c>
      <c r="O1732">
        <v>180.75</v>
      </c>
      <c r="P1732">
        <v>-60</v>
      </c>
      <c r="Q1732" s="4">
        <v>-10845</v>
      </c>
      <c r="R1732">
        <v>0</v>
      </c>
      <c r="V1732">
        <v>180.75</v>
      </c>
      <c r="W1732">
        <v>180.75</v>
      </c>
      <c r="X1732">
        <v>180.75</v>
      </c>
      <c r="Y1732">
        <v>180.75</v>
      </c>
      <c r="Z1732">
        <v>180.75</v>
      </c>
      <c r="AA1732">
        <v>180.75</v>
      </c>
      <c r="AB1732" s="3">
        <v>42562</v>
      </c>
      <c r="AC1732" t="s">
        <v>53</v>
      </c>
      <c r="AD1732" t="s">
        <v>53</v>
      </c>
      <c r="AK1732">
        <v>0</v>
      </c>
      <c r="AU1732" s="3">
        <v>42481</v>
      </c>
      <c r="AV1732" s="3">
        <v>42481</v>
      </c>
      <c r="AW1732" t="s">
        <v>54</v>
      </c>
      <c r="AX1732" t="str">
        <f>"ALT"</f>
        <v>ALT</v>
      </c>
      <c r="AY1732" t="s">
        <v>72</v>
      </c>
    </row>
    <row r="1733" spans="1:51" hidden="1">
      <c r="A1733">
        <v>101555</v>
      </c>
      <c r="B1733" t="s">
        <v>255</v>
      </c>
      <c r="C1733" t="str">
        <f>""</f>
        <v/>
      </c>
      <c r="D1733" t="str">
        <f>"PCRDLF42L14A509G"</f>
        <v>PCRDLF42L14A509G</v>
      </c>
      <c r="E1733" t="s">
        <v>52</v>
      </c>
      <c r="F1733">
        <v>2016</v>
      </c>
      <c r="G1733" t="str">
        <f>"                0518"</f>
        <v xml:space="preserve">                0518</v>
      </c>
      <c r="H1733" s="3">
        <v>42508</v>
      </c>
      <c r="I1733" s="3">
        <v>42510</v>
      </c>
      <c r="J1733" s="3">
        <v>42510</v>
      </c>
      <c r="K1733" s="3">
        <v>42570</v>
      </c>
      <c r="L1733">
        <v>180.75</v>
      </c>
      <c r="M1733">
        <v>-57</v>
      </c>
      <c r="N1733" s="4">
        <v>-10302.75</v>
      </c>
      <c r="O1733">
        <v>180.75</v>
      </c>
      <c r="P1733">
        <v>-57</v>
      </c>
      <c r="Q1733" s="4">
        <v>-10302.75</v>
      </c>
      <c r="R1733">
        <v>0</v>
      </c>
      <c r="V1733">
        <v>180.75</v>
      </c>
      <c r="W1733">
        <v>180.75</v>
      </c>
      <c r="X1733">
        <v>180.75</v>
      </c>
      <c r="Y1733">
        <v>180.75</v>
      </c>
      <c r="Z1733">
        <v>180.75</v>
      </c>
      <c r="AA1733">
        <v>180.75</v>
      </c>
      <c r="AB1733" s="3">
        <v>42562</v>
      </c>
      <c r="AC1733" t="s">
        <v>53</v>
      </c>
      <c r="AD1733" t="s">
        <v>53</v>
      </c>
      <c r="AK1733">
        <v>0</v>
      </c>
      <c r="AU1733" s="3">
        <v>42513</v>
      </c>
      <c r="AV1733" s="3">
        <v>42513</v>
      </c>
      <c r="AW1733" t="s">
        <v>54</v>
      </c>
      <c r="AX1733" t="str">
        <f>"ALT"</f>
        <v>ALT</v>
      </c>
      <c r="AY1733" t="s">
        <v>72</v>
      </c>
    </row>
    <row r="1734" spans="1:51" hidden="1">
      <c r="A1734">
        <v>101556</v>
      </c>
      <c r="B1734" t="s">
        <v>256</v>
      </c>
      <c r="C1734" t="str">
        <f t="shared" ref="C1734:D1747" si="225">"01471180628"</f>
        <v>01471180628</v>
      </c>
      <c r="D1734" t="str">
        <f t="shared" si="225"/>
        <v>01471180628</v>
      </c>
      <c r="E1734" t="s">
        <v>52</v>
      </c>
      <c r="F1734">
        <v>2015</v>
      </c>
      <c r="G1734" t="str">
        <f>"              321/PA"</f>
        <v xml:space="preserve">              321/PA</v>
      </c>
      <c r="H1734" s="3">
        <v>42278</v>
      </c>
      <c r="I1734" s="3">
        <v>42279</v>
      </c>
      <c r="J1734" s="3">
        <v>42278</v>
      </c>
      <c r="K1734" s="3">
        <v>42338</v>
      </c>
      <c r="L1734"/>
      <c r="N1734"/>
      <c r="O1734">
        <v>73.94</v>
      </c>
      <c r="P1734">
        <v>65</v>
      </c>
      <c r="Q1734" s="4">
        <v>4806.1000000000004</v>
      </c>
      <c r="R1734">
        <v>16.27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 s="3">
        <v>42562</v>
      </c>
      <c r="AC1734" t="s">
        <v>53</v>
      </c>
      <c r="AD1734" t="s">
        <v>53</v>
      </c>
      <c r="AK1734">
        <v>16.27</v>
      </c>
      <c r="AU1734" s="3">
        <v>42403</v>
      </c>
      <c r="AV1734" s="3">
        <v>42403</v>
      </c>
      <c r="AW1734" t="s">
        <v>54</v>
      </c>
      <c r="AX1734" t="str">
        <f t="shared" ref="AX1734:AX1747" si="226">"FOR"</f>
        <v>FOR</v>
      </c>
      <c r="AY1734" t="s">
        <v>55</v>
      </c>
    </row>
    <row r="1735" spans="1:51" hidden="1">
      <c r="A1735">
        <v>101556</v>
      </c>
      <c r="B1735" t="s">
        <v>256</v>
      </c>
      <c r="C1735" t="str">
        <f t="shared" si="225"/>
        <v>01471180628</v>
      </c>
      <c r="D1735" t="str">
        <f t="shared" si="225"/>
        <v>01471180628</v>
      </c>
      <c r="E1735" t="s">
        <v>52</v>
      </c>
      <c r="F1735">
        <v>2015</v>
      </c>
      <c r="G1735" t="str">
        <f>"              322/PA"</f>
        <v xml:space="preserve">              322/PA</v>
      </c>
      <c r="H1735" s="3">
        <v>42278</v>
      </c>
      <c r="I1735" s="3">
        <v>42279</v>
      </c>
      <c r="J1735" s="3">
        <v>42278</v>
      </c>
      <c r="K1735" s="3">
        <v>42338</v>
      </c>
      <c r="L1735"/>
      <c r="N1735"/>
      <c r="O1735">
        <v>390.99</v>
      </c>
      <c r="P1735">
        <v>65</v>
      </c>
      <c r="Q1735" s="4">
        <v>25414.35</v>
      </c>
      <c r="R1735">
        <v>86.02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 s="3">
        <v>42562</v>
      </c>
      <c r="AC1735" t="s">
        <v>53</v>
      </c>
      <c r="AD1735" t="s">
        <v>53</v>
      </c>
      <c r="AK1735">
        <v>86.02</v>
      </c>
      <c r="AU1735" s="3">
        <v>42403</v>
      </c>
      <c r="AV1735" s="3">
        <v>42403</v>
      </c>
      <c r="AW1735" t="s">
        <v>54</v>
      </c>
      <c r="AX1735" t="str">
        <f t="shared" si="226"/>
        <v>FOR</v>
      </c>
      <c r="AY1735" t="s">
        <v>55</v>
      </c>
    </row>
    <row r="1736" spans="1:51" hidden="1">
      <c r="A1736">
        <v>101556</v>
      </c>
      <c r="B1736" t="s">
        <v>256</v>
      </c>
      <c r="C1736" t="str">
        <f t="shared" si="225"/>
        <v>01471180628</v>
      </c>
      <c r="D1736" t="str">
        <f t="shared" si="225"/>
        <v>01471180628</v>
      </c>
      <c r="E1736" t="s">
        <v>52</v>
      </c>
      <c r="F1736">
        <v>2015</v>
      </c>
      <c r="G1736" t="str">
        <f>"              324/PA"</f>
        <v xml:space="preserve">              324/PA</v>
      </c>
      <c r="H1736" s="3">
        <v>42283</v>
      </c>
      <c r="I1736" s="3">
        <v>42283</v>
      </c>
      <c r="J1736" s="3">
        <v>42283</v>
      </c>
      <c r="K1736" s="3">
        <v>42343</v>
      </c>
      <c r="L1736"/>
      <c r="N1736"/>
      <c r="O1736">
        <v>95</v>
      </c>
      <c r="P1736">
        <v>60</v>
      </c>
      <c r="Q1736" s="4">
        <v>5700</v>
      </c>
      <c r="R1736">
        <v>20.9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 s="3">
        <v>42562</v>
      </c>
      <c r="AC1736" t="s">
        <v>53</v>
      </c>
      <c r="AD1736" t="s">
        <v>53</v>
      </c>
      <c r="AK1736">
        <v>20.9</v>
      </c>
      <c r="AU1736" s="3">
        <v>42403</v>
      </c>
      <c r="AV1736" s="3">
        <v>42403</v>
      </c>
      <c r="AW1736" t="s">
        <v>54</v>
      </c>
      <c r="AX1736" t="str">
        <f t="shared" si="226"/>
        <v>FOR</v>
      </c>
      <c r="AY1736" t="s">
        <v>55</v>
      </c>
    </row>
    <row r="1737" spans="1:51" hidden="1">
      <c r="A1737">
        <v>101556</v>
      </c>
      <c r="B1737" t="s">
        <v>256</v>
      </c>
      <c r="C1737" t="str">
        <f t="shared" si="225"/>
        <v>01471180628</v>
      </c>
      <c r="D1737" t="str">
        <f t="shared" si="225"/>
        <v>01471180628</v>
      </c>
      <c r="E1737" t="s">
        <v>52</v>
      </c>
      <c r="F1737">
        <v>2015</v>
      </c>
      <c r="G1737" t="str">
        <f>"              330/PA"</f>
        <v xml:space="preserve">              330/PA</v>
      </c>
      <c r="H1737" s="3">
        <v>42292</v>
      </c>
      <c r="I1737" s="3">
        <v>42293</v>
      </c>
      <c r="J1737" s="3">
        <v>42292</v>
      </c>
      <c r="K1737" s="3">
        <v>42352</v>
      </c>
      <c r="L1737"/>
      <c r="N1737"/>
      <c r="O1737">
        <v>260.66000000000003</v>
      </c>
      <c r="P1737">
        <v>51</v>
      </c>
      <c r="Q1737" s="4">
        <v>13293.66</v>
      </c>
      <c r="R1737">
        <v>57.35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0</v>
      </c>
      <c r="AB1737" s="3">
        <v>42562</v>
      </c>
      <c r="AC1737" t="s">
        <v>53</v>
      </c>
      <c r="AD1737" t="s">
        <v>53</v>
      </c>
      <c r="AK1737">
        <v>57.35</v>
      </c>
      <c r="AU1737" s="3">
        <v>42403</v>
      </c>
      <c r="AV1737" s="3">
        <v>42403</v>
      </c>
      <c r="AW1737" t="s">
        <v>54</v>
      </c>
      <c r="AX1737" t="str">
        <f t="shared" si="226"/>
        <v>FOR</v>
      </c>
      <c r="AY1737" t="s">
        <v>55</v>
      </c>
    </row>
    <row r="1738" spans="1:51" hidden="1">
      <c r="A1738">
        <v>101556</v>
      </c>
      <c r="B1738" t="s">
        <v>256</v>
      </c>
      <c r="C1738" t="str">
        <f t="shared" si="225"/>
        <v>01471180628</v>
      </c>
      <c r="D1738" t="str">
        <f t="shared" si="225"/>
        <v>01471180628</v>
      </c>
      <c r="E1738" t="s">
        <v>52</v>
      </c>
      <c r="F1738">
        <v>2015</v>
      </c>
      <c r="G1738" t="str">
        <f>"              341/PA"</f>
        <v xml:space="preserve">              341/PA</v>
      </c>
      <c r="H1738" s="3">
        <v>42305</v>
      </c>
      <c r="I1738" s="3">
        <v>42310</v>
      </c>
      <c r="J1738" s="3">
        <v>42310</v>
      </c>
      <c r="K1738" s="3">
        <v>42370</v>
      </c>
      <c r="L1738"/>
      <c r="N1738"/>
      <c r="O1738">
        <v>49.46</v>
      </c>
      <c r="P1738">
        <v>33</v>
      </c>
      <c r="Q1738" s="4">
        <v>1632.18</v>
      </c>
      <c r="R1738">
        <v>10.88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0</v>
      </c>
      <c r="AB1738" s="3">
        <v>42562</v>
      </c>
      <c r="AC1738" t="s">
        <v>53</v>
      </c>
      <c r="AD1738" t="s">
        <v>53</v>
      </c>
      <c r="AJ1738">
        <v>10.88</v>
      </c>
      <c r="AK1738">
        <v>0</v>
      </c>
      <c r="AU1738" s="3">
        <v>42403</v>
      </c>
      <c r="AV1738" s="3">
        <v>42403</v>
      </c>
      <c r="AW1738" t="s">
        <v>54</v>
      </c>
      <c r="AX1738" t="str">
        <f t="shared" si="226"/>
        <v>FOR</v>
      </c>
      <c r="AY1738" t="s">
        <v>55</v>
      </c>
    </row>
    <row r="1739" spans="1:51" hidden="1">
      <c r="A1739">
        <v>101556</v>
      </c>
      <c r="B1739" t="s">
        <v>256</v>
      </c>
      <c r="C1739" t="str">
        <f t="shared" si="225"/>
        <v>01471180628</v>
      </c>
      <c r="D1739" t="str">
        <f t="shared" si="225"/>
        <v>01471180628</v>
      </c>
      <c r="E1739" t="s">
        <v>52</v>
      </c>
      <c r="F1739">
        <v>2015</v>
      </c>
      <c r="G1739" t="str">
        <f>"              342/PA"</f>
        <v xml:space="preserve">              342/PA</v>
      </c>
      <c r="H1739" s="3">
        <v>42305</v>
      </c>
      <c r="I1739" s="3">
        <v>42307</v>
      </c>
      <c r="J1739" s="3">
        <v>42306</v>
      </c>
      <c r="K1739" s="3">
        <v>42366</v>
      </c>
      <c r="L1739"/>
      <c r="N1739"/>
      <c r="O1739">
        <v>390.99</v>
      </c>
      <c r="P1739">
        <v>37</v>
      </c>
      <c r="Q1739" s="4">
        <v>14466.63</v>
      </c>
      <c r="R1739">
        <v>86.02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0</v>
      </c>
      <c r="AB1739" s="3">
        <v>42562</v>
      </c>
      <c r="AC1739" t="s">
        <v>53</v>
      </c>
      <c r="AD1739" t="s">
        <v>53</v>
      </c>
      <c r="AK1739">
        <v>86.02</v>
      </c>
      <c r="AU1739" s="3">
        <v>42403</v>
      </c>
      <c r="AV1739" s="3">
        <v>42403</v>
      </c>
      <c r="AW1739" t="s">
        <v>54</v>
      </c>
      <c r="AX1739" t="str">
        <f t="shared" si="226"/>
        <v>FOR</v>
      </c>
      <c r="AY1739" t="s">
        <v>55</v>
      </c>
    </row>
    <row r="1740" spans="1:51" hidden="1">
      <c r="A1740">
        <v>101556</v>
      </c>
      <c r="B1740" t="s">
        <v>256</v>
      </c>
      <c r="C1740" t="str">
        <f t="shared" si="225"/>
        <v>01471180628</v>
      </c>
      <c r="D1740" t="str">
        <f t="shared" si="225"/>
        <v>01471180628</v>
      </c>
      <c r="E1740" t="s">
        <v>52</v>
      </c>
      <c r="F1740">
        <v>2015</v>
      </c>
      <c r="G1740" t="str">
        <f>"              344/PA"</f>
        <v xml:space="preserve">              344/PA</v>
      </c>
      <c r="H1740" s="3">
        <v>42307</v>
      </c>
      <c r="I1740" s="3">
        <v>42310</v>
      </c>
      <c r="J1740" s="3">
        <v>42310</v>
      </c>
      <c r="K1740" s="3">
        <v>42370</v>
      </c>
      <c r="L1740"/>
      <c r="N1740"/>
      <c r="O1740">
        <v>447</v>
      </c>
      <c r="P1740">
        <v>33</v>
      </c>
      <c r="Q1740" s="4">
        <v>14751</v>
      </c>
      <c r="R1740">
        <v>98.34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 s="3">
        <v>42562</v>
      </c>
      <c r="AC1740" t="s">
        <v>53</v>
      </c>
      <c r="AD1740" t="s">
        <v>53</v>
      </c>
      <c r="AJ1740">
        <v>98.34</v>
      </c>
      <c r="AK1740">
        <v>0</v>
      </c>
      <c r="AU1740" s="3">
        <v>42403</v>
      </c>
      <c r="AV1740" s="3">
        <v>42403</v>
      </c>
      <c r="AW1740" t="s">
        <v>54</v>
      </c>
      <c r="AX1740" t="str">
        <f t="shared" si="226"/>
        <v>FOR</v>
      </c>
      <c r="AY1740" t="s">
        <v>55</v>
      </c>
    </row>
    <row r="1741" spans="1:51" hidden="1">
      <c r="A1741">
        <v>101556</v>
      </c>
      <c r="B1741" t="s">
        <v>256</v>
      </c>
      <c r="C1741" t="str">
        <f t="shared" si="225"/>
        <v>01471180628</v>
      </c>
      <c r="D1741" t="str">
        <f t="shared" si="225"/>
        <v>01471180628</v>
      </c>
      <c r="E1741" t="s">
        <v>52</v>
      </c>
      <c r="F1741">
        <v>2015</v>
      </c>
      <c r="G1741" t="str">
        <f>"              361/PA"</f>
        <v xml:space="preserve">              361/PA</v>
      </c>
      <c r="H1741" s="3">
        <v>42317</v>
      </c>
      <c r="I1741" s="3">
        <v>42317</v>
      </c>
      <c r="J1741" s="3">
        <v>42317</v>
      </c>
      <c r="K1741" s="3">
        <v>42377</v>
      </c>
      <c r="L1741"/>
      <c r="N1741"/>
      <c r="O1741">
        <v>114.72</v>
      </c>
      <c r="P1741">
        <v>26</v>
      </c>
      <c r="Q1741" s="4">
        <v>2982.72</v>
      </c>
      <c r="R1741">
        <v>25.24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 s="3">
        <v>42562</v>
      </c>
      <c r="AC1741" t="s">
        <v>53</v>
      </c>
      <c r="AD1741" t="s">
        <v>53</v>
      </c>
      <c r="AJ1741">
        <v>25.24</v>
      </c>
      <c r="AK1741">
        <v>0</v>
      </c>
      <c r="AU1741" s="3">
        <v>42403</v>
      </c>
      <c r="AV1741" s="3">
        <v>42403</v>
      </c>
      <c r="AW1741" t="s">
        <v>54</v>
      </c>
      <c r="AX1741" t="str">
        <f t="shared" si="226"/>
        <v>FOR</v>
      </c>
      <c r="AY1741" t="s">
        <v>55</v>
      </c>
    </row>
    <row r="1742" spans="1:51" hidden="1">
      <c r="A1742">
        <v>101556</v>
      </c>
      <c r="B1742" t="s">
        <v>256</v>
      </c>
      <c r="C1742" t="str">
        <f t="shared" si="225"/>
        <v>01471180628</v>
      </c>
      <c r="D1742" t="str">
        <f t="shared" si="225"/>
        <v>01471180628</v>
      </c>
      <c r="E1742" t="s">
        <v>52</v>
      </c>
      <c r="F1742">
        <v>2015</v>
      </c>
      <c r="G1742" t="str">
        <f>"              363/PA"</f>
        <v xml:space="preserve">              363/PA</v>
      </c>
      <c r="H1742" s="3">
        <v>42318</v>
      </c>
      <c r="I1742" s="3">
        <v>42318</v>
      </c>
      <c r="J1742" s="3">
        <v>42318</v>
      </c>
      <c r="K1742" s="3">
        <v>42378</v>
      </c>
      <c r="L1742"/>
      <c r="N1742"/>
      <c r="O1742">
        <v>400</v>
      </c>
      <c r="P1742">
        <v>25</v>
      </c>
      <c r="Q1742" s="4">
        <v>10000</v>
      </c>
      <c r="R1742">
        <v>88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 s="3">
        <v>42562</v>
      </c>
      <c r="AC1742" t="s">
        <v>53</v>
      </c>
      <c r="AD1742" t="s">
        <v>53</v>
      </c>
      <c r="AJ1742">
        <v>88</v>
      </c>
      <c r="AK1742">
        <v>0</v>
      </c>
      <c r="AU1742" s="3">
        <v>42403</v>
      </c>
      <c r="AV1742" s="3">
        <v>42403</v>
      </c>
      <c r="AW1742" t="s">
        <v>54</v>
      </c>
      <c r="AX1742" t="str">
        <f t="shared" si="226"/>
        <v>FOR</v>
      </c>
      <c r="AY1742" t="s">
        <v>55</v>
      </c>
    </row>
    <row r="1743" spans="1:51" hidden="1">
      <c r="A1743">
        <v>101556</v>
      </c>
      <c r="B1743" t="s">
        <v>256</v>
      </c>
      <c r="C1743" t="str">
        <f t="shared" si="225"/>
        <v>01471180628</v>
      </c>
      <c r="D1743" t="str">
        <f t="shared" si="225"/>
        <v>01471180628</v>
      </c>
      <c r="E1743" t="s">
        <v>52</v>
      </c>
      <c r="F1743">
        <v>2015</v>
      </c>
      <c r="G1743" t="str">
        <f>"              364/PA"</f>
        <v xml:space="preserve">              364/PA</v>
      </c>
      <c r="H1743" s="3">
        <v>42318</v>
      </c>
      <c r="I1743" s="3">
        <v>42318</v>
      </c>
      <c r="J1743" s="3">
        <v>42318</v>
      </c>
      <c r="K1743" s="3">
        <v>42378</v>
      </c>
      <c r="L1743"/>
      <c r="N1743"/>
      <c r="O1743">
        <v>25</v>
      </c>
      <c r="P1743">
        <v>25</v>
      </c>
      <c r="Q1743">
        <v>625</v>
      </c>
      <c r="R1743">
        <v>5.5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0</v>
      </c>
      <c r="AB1743" s="3">
        <v>42562</v>
      </c>
      <c r="AC1743" t="s">
        <v>53</v>
      </c>
      <c r="AD1743" t="s">
        <v>53</v>
      </c>
      <c r="AJ1743">
        <v>5.5</v>
      </c>
      <c r="AK1743">
        <v>0</v>
      </c>
      <c r="AU1743" s="3">
        <v>42403</v>
      </c>
      <c r="AV1743" s="3">
        <v>42403</v>
      </c>
      <c r="AW1743" t="s">
        <v>54</v>
      </c>
      <c r="AX1743" t="str">
        <f t="shared" si="226"/>
        <v>FOR</v>
      </c>
      <c r="AY1743" t="s">
        <v>55</v>
      </c>
    </row>
    <row r="1744" spans="1:51" hidden="1">
      <c r="A1744">
        <v>101556</v>
      </c>
      <c r="B1744" t="s">
        <v>256</v>
      </c>
      <c r="C1744" t="str">
        <f t="shared" si="225"/>
        <v>01471180628</v>
      </c>
      <c r="D1744" t="str">
        <f t="shared" si="225"/>
        <v>01471180628</v>
      </c>
      <c r="E1744" t="s">
        <v>52</v>
      </c>
      <c r="F1744">
        <v>2015</v>
      </c>
      <c r="G1744" t="str">
        <f>"              365/PA"</f>
        <v xml:space="preserve">              365/PA</v>
      </c>
      <c r="H1744" s="3">
        <v>42318</v>
      </c>
      <c r="I1744" s="3">
        <v>42318</v>
      </c>
      <c r="J1744" s="3">
        <v>42318</v>
      </c>
      <c r="K1744" s="3">
        <v>42378</v>
      </c>
      <c r="L1744"/>
      <c r="N1744"/>
      <c r="O1744">
        <v>130.33000000000001</v>
      </c>
      <c r="P1744">
        <v>25</v>
      </c>
      <c r="Q1744" s="4">
        <v>3258.25</v>
      </c>
      <c r="R1744">
        <v>28.67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0</v>
      </c>
      <c r="AB1744" s="3">
        <v>42562</v>
      </c>
      <c r="AC1744" t="s">
        <v>53</v>
      </c>
      <c r="AD1744" t="s">
        <v>53</v>
      </c>
      <c r="AJ1744">
        <v>28.67</v>
      </c>
      <c r="AK1744">
        <v>0</v>
      </c>
      <c r="AU1744" s="3">
        <v>42403</v>
      </c>
      <c r="AV1744" s="3">
        <v>42403</v>
      </c>
      <c r="AW1744" t="s">
        <v>54</v>
      </c>
      <c r="AX1744" t="str">
        <f t="shared" si="226"/>
        <v>FOR</v>
      </c>
      <c r="AY1744" t="s">
        <v>55</v>
      </c>
    </row>
    <row r="1745" spans="1:51" hidden="1">
      <c r="A1745">
        <v>101556</v>
      </c>
      <c r="B1745" t="s">
        <v>256</v>
      </c>
      <c r="C1745" t="str">
        <f t="shared" si="225"/>
        <v>01471180628</v>
      </c>
      <c r="D1745" t="str">
        <f t="shared" si="225"/>
        <v>01471180628</v>
      </c>
      <c r="E1745" t="s">
        <v>52</v>
      </c>
      <c r="F1745">
        <v>2015</v>
      </c>
      <c r="G1745" t="str">
        <f>"              399/PA"</f>
        <v xml:space="preserve">              399/PA</v>
      </c>
      <c r="H1745" s="3">
        <v>42353</v>
      </c>
      <c r="I1745" s="3">
        <v>42354</v>
      </c>
      <c r="J1745" s="3">
        <v>42353</v>
      </c>
      <c r="K1745" s="3">
        <v>42413</v>
      </c>
      <c r="L1745"/>
      <c r="N1745"/>
      <c r="O1745">
        <v>130.33000000000001</v>
      </c>
      <c r="P1745">
        <v>-10</v>
      </c>
      <c r="Q1745" s="4">
        <v>-1303.3</v>
      </c>
      <c r="R1745">
        <v>28.67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 s="3">
        <v>42562</v>
      </c>
      <c r="AC1745" t="s">
        <v>53</v>
      </c>
      <c r="AD1745" t="s">
        <v>53</v>
      </c>
      <c r="AI1745">
        <v>28.67</v>
      </c>
      <c r="AK1745">
        <v>0</v>
      </c>
      <c r="AU1745" s="3">
        <v>42403</v>
      </c>
      <c r="AV1745" s="3">
        <v>42403</v>
      </c>
      <c r="AW1745" t="s">
        <v>54</v>
      </c>
      <c r="AX1745" t="str">
        <f t="shared" si="226"/>
        <v>FOR</v>
      </c>
      <c r="AY1745" t="s">
        <v>55</v>
      </c>
    </row>
    <row r="1746" spans="1:51" hidden="1">
      <c r="A1746">
        <v>101556</v>
      </c>
      <c r="B1746" t="s">
        <v>256</v>
      </c>
      <c r="C1746" t="str">
        <f t="shared" si="225"/>
        <v>01471180628</v>
      </c>
      <c r="D1746" t="str">
        <f t="shared" si="225"/>
        <v>01471180628</v>
      </c>
      <c r="E1746" t="s">
        <v>52</v>
      </c>
      <c r="F1746">
        <v>2015</v>
      </c>
      <c r="G1746" t="str">
        <f>"              403/PA"</f>
        <v xml:space="preserve">              403/PA</v>
      </c>
      <c r="H1746" s="3">
        <v>42359</v>
      </c>
      <c r="I1746" s="3">
        <v>42360</v>
      </c>
      <c r="J1746" s="3">
        <v>42359</v>
      </c>
      <c r="K1746" s="3">
        <v>42419</v>
      </c>
      <c r="L1746"/>
      <c r="N1746"/>
      <c r="O1746">
        <v>310.33</v>
      </c>
      <c r="P1746">
        <v>-16</v>
      </c>
      <c r="Q1746" s="4">
        <v>-4965.28</v>
      </c>
      <c r="R1746">
        <v>68.27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0</v>
      </c>
      <c r="AB1746" s="3">
        <v>42562</v>
      </c>
      <c r="AC1746" t="s">
        <v>53</v>
      </c>
      <c r="AD1746" t="s">
        <v>53</v>
      </c>
      <c r="AI1746">
        <v>68.27</v>
      </c>
      <c r="AK1746">
        <v>0</v>
      </c>
      <c r="AU1746" s="3">
        <v>42403</v>
      </c>
      <c r="AV1746" s="3">
        <v>42403</v>
      </c>
      <c r="AW1746" t="s">
        <v>54</v>
      </c>
      <c r="AX1746" t="str">
        <f t="shared" si="226"/>
        <v>FOR</v>
      </c>
      <c r="AY1746" t="s">
        <v>55</v>
      </c>
    </row>
    <row r="1747" spans="1:51">
      <c r="A1747">
        <v>101556</v>
      </c>
      <c r="B1747" t="s">
        <v>256</v>
      </c>
      <c r="C1747" t="str">
        <f t="shared" si="225"/>
        <v>01471180628</v>
      </c>
      <c r="D1747" t="str">
        <f t="shared" si="225"/>
        <v>01471180628</v>
      </c>
      <c r="E1747" t="s">
        <v>52</v>
      </c>
      <c r="F1747">
        <v>2016</v>
      </c>
      <c r="G1747" t="str">
        <f>"               39/PA"</f>
        <v xml:space="preserve">               39/PA</v>
      </c>
      <c r="H1747" s="3">
        <v>42408</v>
      </c>
      <c r="I1747" s="3">
        <v>42409</v>
      </c>
      <c r="J1747" s="3">
        <v>42408</v>
      </c>
      <c r="K1747" s="3">
        <v>42468</v>
      </c>
      <c r="L1747" s="5">
        <v>7150</v>
      </c>
      <c r="M1747">
        <v>52</v>
      </c>
      <c r="N1747" s="5">
        <v>371800</v>
      </c>
      <c r="O1747" s="4">
        <v>7150</v>
      </c>
      <c r="P1747">
        <v>52</v>
      </c>
      <c r="Q1747" s="4">
        <v>371800</v>
      </c>
      <c r="R1747">
        <v>0</v>
      </c>
      <c r="V1747">
        <v>0</v>
      </c>
      <c r="W1747">
        <v>0</v>
      </c>
      <c r="X1747">
        <v>0</v>
      </c>
      <c r="Y1747" s="4">
        <v>8723</v>
      </c>
      <c r="Z1747" s="4">
        <v>8723</v>
      </c>
      <c r="AA1747" s="4">
        <v>8723</v>
      </c>
      <c r="AB1747" s="3">
        <v>42562</v>
      </c>
      <c r="AC1747" t="s">
        <v>53</v>
      </c>
      <c r="AD1747" t="s">
        <v>53</v>
      </c>
      <c r="AK1747">
        <v>0</v>
      </c>
      <c r="AU1747" s="3">
        <v>42520</v>
      </c>
      <c r="AV1747" s="3">
        <v>42520</v>
      </c>
      <c r="AW1747" t="s">
        <v>54</v>
      </c>
      <c r="AX1747" t="str">
        <f t="shared" si="226"/>
        <v>FOR</v>
      </c>
      <c r="AY1747" t="s">
        <v>55</v>
      </c>
    </row>
    <row r="1748" spans="1:51" hidden="1">
      <c r="A1748">
        <v>101570</v>
      </c>
      <c r="B1748" t="s">
        <v>257</v>
      </c>
      <c r="C1748" t="str">
        <f>"01638330629"</f>
        <v>01638330629</v>
      </c>
      <c r="D1748" t="str">
        <f>"FRNDRS72E67Z133J"</f>
        <v>FRNDRS72E67Z133J</v>
      </c>
      <c r="E1748" t="s">
        <v>52</v>
      </c>
      <c r="F1748">
        <v>2016</v>
      </c>
      <c r="G1748" t="str">
        <f>"         FATTPA 1_16"</f>
        <v xml:space="preserve">         FATTPA 1_16</v>
      </c>
      <c r="H1748" s="3">
        <v>42373</v>
      </c>
      <c r="I1748" s="3">
        <v>42382</v>
      </c>
      <c r="J1748" s="3">
        <v>42382</v>
      </c>
      <c r="K1748" s="3">
        <v>42442</v>
      </c>
      <c r="L1748"/>
      <c r="N1748"/>
      <c r="O1748">
        <v>737</v>
      </c>
      <c r="P1748">
        <v>-45</v>
      </c>
      <c r="Q1748" s="4">
        <v>-33165</v>
      </c>
      <c r="R1748">
        <v>0</v>
      </c>
      <c r="V1748">
        <v>0</v>
      </c>
      <c r="W1748">
        <v>0</v>
      </c>
      <c r="X1748">
        <v>0</v>
      </c>
      <c r="Y1748">
        <v>737</v>
      </c>
      <c r="Z1748">
        <v>737</v>
      </c>
      <c r="AA1748">
        <v>737</v>
      </c>
      <c r="AB1748" s="3">
        <v>42562</v>
      </c>
      <c r="AC1748" t="s">
        <v>53</v>
      </c>
      <c r="AD1748" t="s">
        <v>53</v>
      </c>
      <c r="AK1748">
        <v>0</v>
      </c>
      <c r="AU1748" s="3">
        <v>42397</v>
      </c>
      <c r="AV1748" s="3">
        <v>42397</v>
      </c>
      <c r="AW1748" t="s">
        <v>54</v>
      </c>
      <c r="AX1748" t="str">
        <f>"ALTPRO"</f>
        <v>ALTPRO</v>
      </c>
      <c r="AY1748" t="s">
        <v>93</v>
      </c>
    </row>
    <row r="1749" spans="1:51" hidden="1">
      <c r="A1749">
        <v>101570</v>
      </c>
      <c r="B1749" t="s">
        <v>257</v>
      </c>
      <c r="C1749" t="str">
        <f>"01638330629"</f>
        <v>01638330629</v>
      </c>
      <c r="D1749" t="str">
        <f>"FRNDRS72E67Z133J"</f>
        <v>FRNDRS72E67Z133J</v>
      </c>
      <c r="E1749" t="s">
        <v>52</v>
      </c>
      <c r="F1749">
        <v>2016</v>
      </c>
      <c r="G1749" t="str">
        <f>"         FATTPA 2_16"</f>
        <v xml:space="preserve">         FATTPA 2_16</v>
      </c>
      <c r="H1749" s="3">
        <v>42401</v>
      </c>
      <c r="I1749" s="3">
        <v>42408</v>
      </c>
      <c r="J1749" s="3">
        <v>42401</v>
      </c>
      <c r="K1749" s="3">
        <v>42461</v>
      </c>
      <c r="L1749"/>
      <c r="N1749"/>
      <c r="O1749">
        <v>737</v>
      </c>
      <c r="P1749">
        <v>-10</v>
      </c>
      <c r="Q1749" s="4">
        <v>-7370</v>
      </c>
      <c r="R1749">
        <v>0</v>
      </c>
      <c r="V1749">
        <v>0</v>
      </c>
      <c r="W1749">
        <v>0</v>
      </c>
      <c r="X1749">
        <v>0</v>
      </c>
      <c r="Y1749">
        <v>737</v>
      </c>
      <c r="Z1749">
        <v>737</v>
      </c>
      <c r="AA1749">
        <v>737</v>
      </c>
      <c r="AB1749" s="3">
        <v>42562</v>
      </c>
      <c r="AC1749" t="s">
        <v>53</v>
      </c>
      <c r="AD1749" t="s">
        <v>53</v>
      </c>
      <c r="AK1749">
        <v>0</v>
      </c>
      <c r="AU1749" s="3">
        <v>42451</v>
      </c>
      <c r="AV1749" s="3">
        <v>42451</v>
      </c>
      <c r="AW1749" t="s">
        <v>54</v>
      </c>
      <c r="AX1749" t="str">
        <f>"ALTPRO"</f>
        <v>ALTPRO</v>
      </c>
      <c r="AY1749" t="s">
        <v>93</v>
      </c>
    </row>
    <row r="1750" spans="1:51" hidden="1">
      <c r="A1750">
        <v>101570</v>
      </c>
      <c r="B1750" t="s">
        <v>257</v>
      </c>
      <c r="C1750" t="str">
        <f>"01638330629"</f>
        <v>01638330629</v>
      </c>
      <c r="D1750" t="str">
        <f>"FRNDRS72E67Z133J"</f>
        <v>FRNDRS72E67Z133J</v>
      </c>
      <c r="E1750" t="s">
        <v>52</v>
      </c>
      <c r="F1750">
        <v>2016</v>
      </c>
      <c r="G1750" t="str">
        <f>"         FATTPA 3_16"</f>
        <v xml:space="preserve">         FATTPA 3_16</v>
      </c>
      <c r="H1750" s="3">
        <v>42430</v>
      </c>
      <c r="I1750" s="3">
        <v>42436</v>
      </c>
      <c r="J1750" s="3">
        <v>42430</v>
      </c>
      <c r="K1750" s="3">
        <v>42490</v>
      </c>
      <c r="L1750"/>
      <c r="N1750"/>
      <c r="O1750">
        <v>737</v>
      </c>
      <c r="P1750">
        <v>-39</v>
      </c>
      <c r="Q1750" s="4">
        <v>-28743</v>
      </c>
      <c r="R1750">
        <v>0</v>
      </c>
      <c r="V1750">
        <v>0</v>
      </c>
      <c r="W1750">
        <v>0</v>
      </c>
      <c r="X1750">
        <v>0</v>
      </c>
      <c r="Y1750">
        <v>737</v>
      </c>
      <c r="Z1750">
        <v>737</v>
      </c>
      <c r="AA1750">
        <v>737</v>
      </c>
      <c r="AB1750" s="3">
        <v>42562</v>
      </c>
      <c r="AC1750" t="s">
        <v>53</v>
      </c>
      <c r="AD1750" t="s">
        <v>53</v>
      </c>
      <c r="AK1750">
        <v>0</v>
      </c>
      <c r="AU1750" s="3">
        <v>42451</v>
      </c>
      <c r="AV1750" s="3">
        <v>42451</v>
      </c>
      <c r="AW1750" t="s">
        <v>54</v>
      </c>
      <c r="AX1750" t="str">
        <f>"ALTPRO"</f>
        <v>ALTPRO</v>
      </c>
      <c r="AY1750" t="s">
        <v>93</v>
      </c>
    </row>
    <row r="1751" spans="1:51">
      <c r="A1751">
        <v>101570</v>
      </c>
      <c r="B1751" t="s">
        <v>257</v>
      </c>
      <c r="C1751" t="str">
        <f>"01638330629"</f>
        <v>01638330629</v>
      </c>
      <c r="D1751" t="str">
        <f>"FRNDRS72E67Z133J"</f>
        <v>FRNDRS72E67Z133J</v>
      </c>
      <c r="E1751" t="s">
        <v>52</v>
      </c>
      <c r="F1751">
        <v>2016</v>
      </c>
      <c r="G1751" t="str">
        <f>"         FATTPA 4_16"</f>
        <v xml:space="preserve">         FATTPA 4_16</v>
      </c>
      <c r="H1751" s="3">
        <v>42461</v>
      </c>
      <c r="I1751" s="3">
        <v>42465</v>
      </c>
      <c r="J1751" s="3">
        <v>42461</v>
      </c>
      <c r="K1751" s="3">
        <v>42521</v>
      </c>
      <c r="L1751" s="1">
        <v>737</v>
      </c>
      <c r="M1751">
        <v>-34</v>
      </c>
      <c r="N1751" s="5">
        <v>-25058</v>
      </c>
      <c r="O1751">
        <v>737</v>
      </c>
      <c r="P1751">
        <v>-34</v>
      </c>
      <c r="Q1751" s="4">
        <v>-25058</v>
      </c>
      <c r="R1751">
        <v>0</v>
      </c>
      <c r="V1751">
        <v>0</v>
      </c>
      <c r="W1751">
        <v>737</v>
      </c>
      <c r="X1751">
        <v>737</v>
      </c>
      <c r="Y1751">
        <v>737</v>
      </c>
      <c r="Z1751">
        <v>737</v>
      </c>
      <c r="AA1751">
        <v>737</v>
      </c>
      <c r="AB1751" s="3">
        <v>42562</v>
      </c>
      <c r="AC1751" t="s">
        <v>53</v>
      </c>
      <c r="AD1751" t="s">
        <v>53</v>
      </c>
      <c r="AK1751">
        <v>0</v>
      </c>
      <c r="AU1751" s="3">
        <v>42487</v>
      </c>
      <c r="AV1751" s="3">
        <v>42487</v>
      </c>
      <c r="AW1751" t="s">
        <v>54</v>
      </c>
      <c r="AX1751" t="str">
        <f>"ALTPRO"</f>
        <v>ALTPRO</v>
      </c>
      <c r="AY1751" t="s">
        <v>93</v>
      </c>
    </row>
    <row r="1752" spans="1:51">
      <c r="A1752">
        <v>101570</v>
      </c>
      <c r="B1752" t="s">
        <v>257</v>
      </c>
      <c r="C1752" t="str">
        <f>"01638330629"</f>
        <v>01638330629</v>
      </c>
      <c r="D1752" t="str">
        <f>"FRNDRS72E67Z133J"</f>
        <v>FRNDRS72E67Z133J</v>
      </c>
      <c r="E1752" t="s">
        <v>52</v>
      </c>
      <c r="F1752">
        <v>2016</v>
      </c>
      <c r="G1752" t="str">
        <f>"         FATTPA 5_16"</f>
        <v xml:space="preserve">         FATTPA 5_16</v>
      </c>
      <c r="H1752" s="3">
        <v>42492</v>
      </c>
      <c r="I1752" s="3">
        <v>42492</v>
      </c>
      <c r="J1752" s="3">
        <v>42492</v>
      </c>
      <c r="K1752" s="3">
        <v>42552</v>
      </c>
      <c r="L1752" s="1">
        <v>737</v>
      </c>
      <c r="M1752">
        <v>-32</v>
      </c>
      <c r="N1752" s="5">
        <v>-23584</v>
      </c>
      <c r="O1752">
        <v>737</v>
      </c>
      <c r="P1752">
        <v>-32</v>
      </c>
      <c r="Q1752" s="4">
        <v>-23584</v>
      </c>
      <c r="R1752">
        <v>0</v>
      </c>
      <c r="V1752">
        <v>737</v>
      </c>
      <c r="W1752">
        <v>737</v>
      </c>
      <c r="X1752">
        <v>737</v>
      </c>
      <c r="Y1752">
        <v>737</v>
      </c>
      <c r="Z1752">
        <v>737</v>
      </c>
      <c r="AA1752">
        <v>737</v>
      </c>
      <c r="AB1752" s="3">
        <v>42562</v>
      </c>
      <c r="AC1752" t="s">
        <v>53</v>
      </c>
      <c r="AD1752" t="s">
        <v>53</v>
      </c>
      <c r="AK1752">
        <v>0</v>
      </c>
      <c r="AU1752" s="3">
        <v>42520</v>
      </c>
      <c r="AV1752" s="3">
        <v>42520</v>
      </c>
      <c r="AW1752" t="s">
        <v>54</v>
      </c>
      <c r="AX1752" t="str">
        <f>"ALTPRO"</f>
        <v>ALTPRO</v>
      </c>
      <c r="AY1752" t="s">
        <v>93</v>
      </c>
    </row>
    <row r="1753" spans="1:51" hidden="1">
      <c r="A1753">
        <v>101573</v>
      </c>
      <c r="B1753" t="s">
        <v>258</v>
      </c>
      <c r="C1753" t="str">
        <f t="shared" ref="C1753:D1761" si="227">"00176010346"</f>
        <v>00176010346</v>
      </c>
      <c r="D1753" t="str">
        <f t="shared" si="227"/>
        <v>00176010346</v>
      </c>
      <c r="E1753" t="s">
        <v>52</v>
      </c>
      <c r="F1753">
        <v>2015</v>
      </c>
      <c r="G1753" t="str">
        <f>"                8440"</f>
        <v xml:space="preserve">                8440</v>
      </c>
      <c r="H1753" s="3">
        <v>42102</v>
      </c>
      <c r="I1753" s="3">
        <v>42116</v>
      </c>
      <c r="J1753" s="3">
        <v>42115</v>
      </c>
      <c r="K1753" s="3">
        <v>42175</v>
      </c>
      <c r="L1753"/>
      <c r="N1753"/>
      <c r="O1753" s="4">
        <v>4430</v>
      </c>
      <c r="P1753">
        <v>277</v>
      </c>
      <c r="Q1753" s="4">
        <v>1227110</v>
      </c>
      <c r="R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 s="3">
        <v>42562</v>
      </c>
      <c r="AC1753" t="s">
        <v>53</v>
      </c>
      <c r="AD1753" t="s">
        <v>53</v>
      </c>
      <c r="AK1753">
        <v>0</v>
      </c>
      <c r="AU1753" s="3">
        <v>42452</v>
      </c>
      <c r="AV1753" s="3">
        <v>42452</v>
      </c>
      <c r="AW1753" t="s">
        <v>54</v>
      </c>
      <c r="AX1753" t="str">
        <f t="shared" ref="AX1753:AX1762" si="228">"FOR"</f>
        <v>FOR</v>
      </c>
      <c r="AY1753" t="s">
        <v>55</v>
      </c>
    </row>
    <row r="1754" spans="1:51" hidden="1">
      <c r="A1754">
        <v>101573</v>
      </c>
      <c r="B1754" t="s">
        <v>258</v>
      </c>
      <c r="C1754" t="str">
        <f t="shared" si="227"/>
        <v>00176010346</v>
      </c>
      <c r="D1754" t="str">
        <f t="shared" si="227"/>
        <v>00176010346</v>
      </c>
      <c r="E1754" t="s">
        <v>52</v>
      </c>
      <c r="F1754">
        <v>2015</v>
      </c>
      <c r="G1754" t="str">
        <f>"                9574"</f>
        <v xml:space="preserve">                9574</v>
      </c>
      <c r="H1754" s="3">
        <v>42121</v>
      </c>
      <c r="I1754" s="3">
        <v>42142</v>
      </c>
      <c r="J1754" s="3">
        <v>42137</v>
      </c>
      <c r="K1754" s="3">
        <v>42197</v>
      </c>
      <c r="L1754"/>
      <c r="N1754"/>
      <c r="O1754" s="4">
        <v>4430</v>
      </c>
      <c r="P1754">
        <v>255</v>
      </c>
      <c r="Q1754" s="4">
        <v>1129650</v>
      </c>
      <c r="R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 s="3">
        <v>42562</v>
      </c>
      <c r="AC1754" t="s">
        <v>53</v>
      </c>
      <c r="AD1754" t="s">
        <v>53</v>
      </c>
      <c r="AK1754">
        <v>0</v>
      </c>
      <c r="AU1754" s="3">
        <v>42452</v>
      </c>
      <c r="AV1754" s="3">
        <v>42452</v>
      </c>
      <c r="AW1754" t="s">
        <v>54</v>
      </c>
      <c r="AX1754" t="str">
        <f t="shared" si="228"/>
        <v>FOR</v>
      </c>
      <c r="AY1754" t="s">
        <v>55</v>
      </c>
    </row>
    <row r="1755" spans="1:51" hidden="1">
      <c r="A1755">
        <v>101573</v>
      </c>
      <c r="B1755" t="s">
        <v>258</v>
      </c>
      <c r="C1755" t="str">
        <f t="shared" si="227"/>
        <v>00176010346</v>
      </c>
      <c r="D1755" t="str">
        <f t="shared" si="227"/>
        <v>00176010346</v>
      </c>
      <c r="E1755" t="s">
        <v>52</v>
      </c>
      <c r="F1755">
        <v>2015</v>
      </c>
      <c r="G1755" t="str">
        <f>"               10463"</f>
        <v xml:space="preserve">               10463</v>
      </c>
      <c r="H1755" s="3">
        <v>42124</v>
      </c>
      <c r="I1755" s="3">
        <v>42131</v>
      </c>
      <c r="J1755" s="3">
        <v>42130</v>
      </c>
      <c r="K1755" s="3">
        <v>42190</v>
      </c>
      <c r="L1755"/>
      <c r="N1755"/>
      <c r="O1755" s="4">
        <v>6755</v>
      </c>
      <c r="P1755">
        <v>262</v>
      </c>
      <c r="Q1755" s="4">
        <v>1769810</v>
      </c>
      <c r="R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0</v>
      </c>
      <c r="AB1755" s="3">
        <v>42562</v>
      </c>
      <c r="AC1755" t="s">
        <v>53</v>
      </c>
      <c r="AD1755" t="s">
        <v>53</v>
      </c>
      <c r="AK1755">
        <v>0</v>
      </c>
      <c r="AU1755" s="3">
        <v>42452</v>
      </c>
      <c r="AV1755" s="3">
        <v>42452</v>
      </c>
      <c r="AW1755" t="s">
        <v>54</v>
      </c>
      <c r="AX1755" t="str">
        <f t="shared" si="228"/>
        <v>FOR</v>
      </c>
      <c r="AY1755" t="s">
        <v>55</v>
      </c>
    </row>
    <row r="1756" spans="1:51" hidden="1">
      <c r="A1756">
        <v>101573</v>
      </c>
      <c r="B1756" t="s">
        <v>258</v>
      </c>
      <c r="C1756" t="str">
        <f t="shared" si="227"/>
        <v>00176010346</v>
      </c>
      <c r="D1756" t="str">
        <f t="shared" si="227"/>
        <v>00176010346</v>
      </c>
      <c r="E1756" t="s">
        <v>52</v>
      </c>
      <c r="F1756">
        <v>2015</v>
      </c>
      <c r="G1756" t="str">
        <f>"               11984"</f>
        <v xml:space="preserve">               11984</v>
      </c>
      <c r="H1756" s="3">
        <v>42151</v>
      </c>
      <c r="I1756" s="3">
        <v>42191</v>
      </c>
      <c r="J1756" s="3">
        <v>42185</v>
      </c>
      <c r="K1756" s="3">
        <v>42245</v>
      </c>
      <c r="L1756"/>
      <c r="N1756"/>
      <c r="O1756" s="4">
        <v>4005</v>
      </c>
      <c r="P1756">
        <v>207</v>
      </c>
      <c r="Q1756" s="4">
        <v>829035</v>
      </c>
      <c r="R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 s="3">
        <v>42562</v>
      </c>
      <c r="AC1756" t="s">
        <v>53</v>
      </c>
      <c r="AD1756" t="s">
        <v>53</v>
      </c>
      <c r="AK1756">
        <v>0</v>
      </c>
      <c r="AU1756" s="3">
        <v>42452</v>
      </c>
      <c r="AV1756" s="3">
        <v>42452</v>
      </c>
      <c r="AW1756" t="s">
        <v>54</v>
      </c>
      <c r="AX1756" t="str">
        <f t="shared" si="228"/>
        <v>FOR</v>
      </c>
      <c r="AY1756" t="s">
        <v>55</v>
      </c>
    </row>
    <row r="1757" spans="1:51">
      <c r="A1757">
        <v>101573</v>
      </c>
      <c r="B1757" t="s">
        <v>258</v>
      </c>
      <c r="C1757" t="str">
        <f t="shared" si="227"/>
        <v>00176010346</v>
      </c>
      <c r="D1757" t="str">
        <f t="shared" si="227"/>
        <v>00176010346</v>
      </c>
      <c r="E1757" t="s">
        <v>52</v>
      </c>
      <c r="F1757">
        <v>2015</v>
      </c>
      <c r="G1757" t="str">
        <f>"               13725"</f>
        <v xml:space="preserve">               13725</v>
      </c>
      <c r="H1757" s="3">
        <v>42170</v>
      </c>
      <c r="I1757" s="3">
        <v>42172</v>
      </c>
      <c r="J1757" s="3">
        <v>42171</v>
      </c>
      <c r="K1757" s="3">
        <v>42231</v>
      </c>
      <c r="L1757" s="5">
        <v>4005</v>
      </c>
      <c r="M1757">
        <v>261</v>
      </c>
      <c r="N1757" s="5">
        <v>1045305</v>
      </c>
      <c r="O1757" s="4">
        <v>4005</v>
      </c>
      <c r="P1757">
        <v>261</v>
      </c>
      <c r="Q1757" s="4">
        <v>1045305</v>
      </c>
      <c r="R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0</v>
      </c>
      <c r="AB1757" s="3">
        <v>42562</v>
      </c>
      <c r="AC1757" t="s">
        <v>53</v>
      </c>
      <c r="AD1757" t="s">
        <v>53</v>
      </c>
      <c r="AK1757">
        <v>0</v>
      </c>
      <c r="AU1757" s="3">
        <v>42492</v>
      </c>
      <c r="AV1757" s="3">
        <v>42492</v>
      </c>
      <c r="AW1757" t="s">
        <v>54</v>
      </c>
      <c r="AX1757" t="str">
        <f t="shared" si="228"/>
        <v>FOR</v>
      </c>
      <c r="AY1757" t="s">
        <v>55</v>
      </c>
    </row>
    <row r="1758" spans="1:51">
      <c r="A1758">
        <v>101573</v>
      </c>
      <c r="B1758" t="s">
        <v>258</v>
      </c>
      <c r="C1758" t="str">
        <f t="shared" si="227"/>
        <v>00176010346</v>
      </c>
      <c r="D1758" t="str">
        <f t="shared" si="227"/>
        <v>00176010346</v>
      </c>
      <c r="E1758" t="s">
        <v>52</v>
      </c>
      <c r="F1758">
        <v>2015</v>
      </c>
      <c r="G1758" t="str">
        <f>"               14095"</f>
        <v xml:space="preserve">               14095</v>
      </c>
      <c r="H1758" s="3">
        <v>42174</v>
      </c>
      <c r="I1758" s="3">
        <v>42178</v>
      </c>
      <c r="J1758" s="3">
        <v>42175</v>
      </c>
      <c r="K1758" s="3">
        <v>42235</v>
      </c>
      <c r="L1758" s="1">
        <v>840</v>
      </c>
      <c r="M1758">
        <v>257</v>
      </c>
      <c r="N1758" s="5">
        <v>215880</v>
      </c>
      <c r="O1758">
        <v>840</v>
      </c>
      <c r="P1758">
        <v>257</v>
      </c>
      <c r="Q1758" s="4">
        <v>215880</v>
      </c>
      <c r="R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 s="3">
        <v>42562</v>
      </c>
      <c r="AC1758" t="s">
        <v>53</v>
      </c>
      <c r="AD1758" t="s">
        <v>53</v>
      </c>
      <c r="AK1758">
        <v>0</v>
      </c>
      <c r="AU1758" s="3">
        <v>42492</v>
      </c>
      <c r="AV1758" s="3">
        <v>42492</v>
      </c>
      <c r="AW1758" t="s">
        <v>54</v>
      </c>
      <c r="AX1758" t="str">
        <f t="shared" si="228"/>
        <v>FOR</v>
      </c>
      <c r="AY1758" t="s">
        <v>55</v>
      </c>
    </row>
    <row r="1759" spans="1:51">
      <c r="A1759">
        <v>101573</v>
      </c>
      <c r="B1759" t="s">
        <v>258</v>
      </c>
      <c r="C1759" t="str">
        <f t="shared" si="227"/>
        <v>00176010346</v>
      </c>
      <c r="D1759" t="str">
        <f t="shared" si="227"/>
        <v>00176010346</v>
      </c>
      <c r="E1759" t="s">
        <v>52</v>
      </c>
      <c r="F1759">
        <v>2015</v>
      </c>
      <c r="G1759" t="str">
        <f>"               14096"</f>
        <v xml:space="preserve">               14096</v>
      </c>
      <c r="H1759" s="3">
        <v>42174</v>
      </c>
      <c r="I1759" s="3">
        <v>42178</v>
      </c>
      <c r="J1759" s="3">
        <v>42175</v>
      </c>
      <c r="K1759" s="3">
        <v>42235</v>
      </c>
      <c r="L1759" s="1">
        <v>760</v>
      </c>
      <c r="M1759">
        <v>257</v>
      </c>
      <c r="N1759" s="5">
        <v>195320</v>
      </c>
      <c r="O1759">
        <v>760</v>
      </c>
      <c r="P1759">
        <v>257</v>
      </c>
      <c r="Q1759" s="4">
        <v>195320</v>
      </c>
      <c r="R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0</v>
      </c>
      <c r="AB1759" s="3">
        <v>42562</v>
      </c>
      <c r="AC1759" t="s">
        <v>53</v>
      </c>
      <c r="AD1759" t="s">
        <v>53</v>
      </c>
      <c r="AK1759">
        <v>0</v>
      </c>
      <c r="AU1759" s="3">
        <v>42492</v>
      </c>
      <c r="AV1759" s="3">
        <v>42492</v>
      </c>
      <c r="AW1759" t="s">
        <v>54</v>
      </c>
      <c r="AX1759" t="str">
        <f t="shared" si="228"/>
        <v>FOR</v>
      </c>
      <c r="AY1759" t="s">
        <v>55</v>
      </c>
    </row>
    <row r="1760" spans="1:51" hidden="1">
      <c r="A1760">
        <v>101573</v>
      </c>
      <c r="B1760" t="s">
        <v>258</v>
      </c>
      <c r="C1760" t="str">
        <f t="shared" si="227"/>
        <v>00176010346</v>
      </c>
      <c r="D1760" t="str">
        <f t="shared" si="227"/>
        <v>00176010346</v>
      </c>
      <c r="E1760" t="s">
        <v>52</v>
      </c>
      <c r="F1760">
        <v>2015</v>
      </c>
      <c r="G1760" t="str">
        <f>"               90185"</f>
        <v xml:space="preserve">               90185</v>
      </c>
      <c r="H1760" s="3">
        <v>42086</v>
      </c>
      <c r="I1760" s="3">
        <v>42109</v>
      </c>
      <c r="J1760" s="3">
        <v>42109</v>
      </c>
      <c r="K1760" s="3">
        <v>42169</v>
      </c>
      <c r="L1760"/>
      <c r="N1760"/>
      <c r="O1760" s="4">
        <v>6365</v>
      </c>
      <c r="P1760">
        <v>235</v>
      </c>
      <c r="Q1760" s="4">
        <v>1495775</v>
      </c>
      <c r="R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0</v>
      </c>
      <c r="AB1760" s="3">
        <v>42562</v>
      </c>
      <c r="AC1760" t="s">
        <v>53</v>
      </c>
      <c r="AD1760" t="s">
        <v>53</v>
      </c>
      <c r="AK1760">
        <v>0</v>
      </c>
      <c r="AU1760" s="3">
        <v>42404</v>
      </c>
      <c r="AV1760" s="3">
        <v>42404</v>
      </c>
      <c r="AW1760" t="s">
        <v>54</v>
      </c>
      <c r="AX1760" t="str">
        <f t="shared" si="228"/>
        <v>FOR</v>
      </c>
      <c r="AY1760" t="s">
        <v>55</v>
      </c>
    </row>
    <row r="1761" spans="1:51">
      <c r="A1761">
        <v>101573</v>
      </c>
      <c r="B1761" t="s">
        <v>258</v>
      </c>
      <c r="C1761" t="str">
        <f t="shared" si="227"/>
        <v>00176010346</v>
      </c>
      <c r="D1761" t="str">
        <f t="shared" si="227"/>
        <v>00176010346</v>
      </c>
      <c r="E1761" t="s">
        <v>52</v>
      </c>
      <c r="F1761">
        <v>2015</v>
      </c>
      <c r="G1761" t="str">
        <f>"               90488"</f>
        <v xml:space="preserve">               90488</v>
      </c>
      <c r="H1761" s="3">
        <v>42171</v>
      </c>
      <c r="I1761" s="3">
        <v>42177</v>
      </c>
      <c r="J1761" s="3">
        <v>42173</v>
      </c>
      <c r="K1761" s="3">
        <v>42233</v>
      </c>
      <c r="L1761" s="5">
        <v>6365</v>
      </c>
      <c r="M1761">
        <v>259</v>
      </c>
      <c r="N1761" s="5">
        <v>1648535</v>
      </c>
      <c r="O1761" s="4">
        <v>6365</v>
      </c>
      <c r="P1761">
        <v>259</v>
      </c>
      <c r="Q1761" s="4">
        <v>1648535</v>
      </c>
      <c r="R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0</v>
      </c>
      <c r="AB1761" s="3">
        <v>42562</v>
      </c>
      <c r="AC1761" t="s">
        <v>53</v>
      </c>
      <c r="AD1761" t="s">
        <v>53</v>
      </c>
      <c r="AK1761">
        <v>0</v>
      </c>
      <c r="AU1761" s="3">
        <v>42492</v>
      </c>
      <c r="AV1761" s="3">
        <v>42492</v>
      </c>
      <c r="AW1761" t="s">
        <v>54</v>
      </c>
      <c r="AX1761" t="str">
        <f t="shared" si="228"/>
        <v>FOR</v>
      </c>
      <c r="AY1761" t="s">
        <v>55</v>
      </c>
    </row>
    <row r="1762" spans="1:51">
      <c r="A1762">
        <v>101574</v>
      </c>
      <c r="B1762" t="s">
        <v>259</v>
      </c>
      <c r="C1762" t="str">
        <f>"02404790392"</f>
        <v>02404790392</v>
      </c>
      <c r="D1762" t="str">
        <f>"02404790392"</f>
        <v>02404790392</v>
      </c>
      <c r="E1762" t="s">
        <v>52</v>
      </c>
      <c r="F1762">
        <v>2016</v>
      </c>
      <c r="G1762" t="str">
        <f>"              39 P16"</f>
        <v xml:space="preserve">              39 P16</v>
      </c>
      <c r="H1762" s="3">
        <v>42419</v>
      </c>
      <c r="I1762" s="3">
        <v>42424</v>
      </c>
      <c r="J1762" s="3">
        <v>42424</v>
      </c>
      <c r="K1762" s="3">
        <v>42484</v>
      </c>
      <c r="L1762" s="5">
        <v>67149</v>
      </c>
      <c r="M1762">
        <v>45</v>
      </c>
      <c r="N1762" s="5">
        <v>3021705</v>
      </c>
      <c r="O1762" s="4">
        <v>67149</v>
      </c>
      <c r="P1762">
        <v>45</v>
      </c>
      <c r="Q1762" s="4">
        <v>3021705</v>
      </c>
      <c r="R1762" s="4">
        <v>14772.78</v>
      </c>
      <c r="V1762">
        <v>0</v>
      </c>
      <c r="W1762">
        <v>0</v>
      </c>
      <c r="X1762">
        <v>0</v>
      </c>
      <c r="Y1762" s="4">
        <v>81921.78</v>
      </c>
      <c r="Z1762" s="4">
        <v>81921.78</v>
      </c>
      <c r="AA1762" s="4">
        <v>81921.78</v>
      </c>
      <c r="AB1762" s="3">
        <v>42562</v>
      </c>
      <c r="AC1762" t="s">
        <v>53</v>
      </c>
      <c r="AD1762" t="s">
        <v>53</v>
      </c>
      <c r="AG1762" s="4">
        <v>14772.78</v>
      </c>
      <c r="AK1762">
        <v>0</v>
      </c>
      <c r="AU1762" s="3">
        <v>42529</v>
      </c>
      <c r="AV1762" s="3">
        <v>42529</v>
      </c>
      <c r="AW1762" t="s">
        <v>54</v>
      </c>
      <c r="AX1762" t="str">
        <f t="shared" si="228"/>
        <v>FOR</v>
      </c>
      <c r="AY1762" t="s">
        <v>55</v>
      </c>
    </row>
    <row r="1763" spans="1:51" hidden="1">
      <c r="A1763">
        <v>101585</v>
      </c>
      <c r="B1763" t="s">
        <v>260</v>
      </c>
      <c r="C1763" t="str">
        <f>"11210661002"</f>
        <v>11210661002</v>
      </c>
      <c r="D1763" t="str">
        <f>"11210661002"</f>
        <v>11210661002</v>
      </c>
      <c r="E1763" t="s">
        <v>52</v>
      </c>
      <c r="F1763">
        <v>2016</v>
      </c>
      <c r="G1763" t="str">
        <f>"                  57"</f>
        <v xml:space="preserve">                  57</v>
      </c>
      <c r="H1763" s="3">
        <v>42433</v>
      </c>
      <c r="I1763" s="3">
        <v>42433</v>
      </c>
      <c r="J1763" s="3">
        <v>42433</v>
      </c>
      <c r="K1763" s="3">
        <v>42493</v>
      </c>
      <c r="L1763"/>
      <c r="N1763"/>
      <c r="O1763" s="4">
        <v>2809.55</v>
      </c>
      <c r="P1763">
        <v>-60</v>
      </c>
      <c r="Q1763" s="4">
        <v>-168573</v>
      </c>
      <c r="R1763">
        <v>0</v>
      </c>
      <c r="V1763">
        <v>0</v>
      </c>
      <c r="W1763">
        <v>0</v>
      </c>
      <c r="X1763">
        <v>0</v>
      </c>
      <c r="Y1763" s="4">
        <v>2809.55</v>
      </c>
      <c r="Z1763" s="4">
        <v>2809.55</v>
      </c>
      <c r="AA1763" s="4">
        <v>2809.55</v>
      </c>
      <c r="AB1763" s="3">
        <v>42562</v>
      </c>
      <c r="AC1763" t="s">
        <v>53</v>
      </c>
      <c r="AD1763" t="s">
        <v>53</v>
      </c>
      <c r="AK1763">
        <v>0</v>
      </c>
      <c r="AU1763" s="3">
        <v>42433</v>
      </c>
      <c r="AV1763" s="3">
        <v>42433</v>
      </c>
      <c r="AW1763" t="s">
        <v>54</v>
      </c>
      <c r="AX1763" t="str">
        <f>"ALT"</f>
        <v>ALT</v>
      </c>
      <c r="AY1763" t="s">
        <v>72</v>
      </c>
    </row>
    <row r="1764" spans="1:51" hidden="1">
      <c r="A1764">
        <v>101586</v>
      </c>
      <c r="B1764" t="s">
        <v>261</v>
      </c>
      <c r="C1764" t="str">
        <f t="shared" ref="C1764:D1777" si="229">"05102540019"</f>
        <v>05102540019</v>
      </c>
      <c r="D1764" t="str">
        <f t="shared" si="229"/>
        <v>05102540019</v>
      </c>
      <c r="E1764" t="s">
        <v>52</v>
      </c>
      <c r="F1764">
        <v>2015</v>
      </c>
      <c r="G1764" t="str">
        <f>"                 360"</f>
        <v xml:space="preserve">                 360</v>
      </c>
      <c r="H1764" s="3">
        <v>42041</v>
      </c>
      <c r="I1764" s="3">
        <v>42053</v>
      </c>
      <c r="J1764" s="3">
        <v>42053</v>
      </c>
      <c r="K1764" s="3">
        <v>42113</v>
      </c>
      <c r="L1764"/>
      <c r="N1764"/>
      <c r="O1764" s="4">
        <v>2145</v>
      </c>
      <c r="P1764">
        <v>292</v>
      </c>
      <c r="Q1764" s="4">
        <v>626340</v>
      </c>
      <c r="R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 s="3">
        <v>42562</v>
      </c>
      <c r="AC1764" t="s">
        <v>53</v>
      </c>
      <c r="AD1764" t="s">
        <v>53</v>
      </c>
      <c r="AK1764">
        <v>0</v>
      </c>
      <c r="AU1764" s="3">
        <v>42405</v>
      </c>
      <c r="AV1764" s="3">
        <v>42405</v>
      </c>
      <c r="AW1764" t="s">
        <v>54</v>
      </c>
      <c r="AX1764" t="str">
        <f t="shared" ref="AX1764:AX1777" si="230">"FOR"</f>
        <v>FOR</v>
      </c>
      <c r="AY1764" t="s">
        <v>55</v>
      </c>
    </row>
    <row r="1765" spans="1:51" hidden="1">
      <c r="A1765">
        <v>101586</v>
      </c>
      <c r="B1765" t="s">
        <v>261</v>
      </c>
      <c r="C1765" t="str">
        <f t="shared" si="229"/>
        <v>05102540019</v>
      </c>
      <c r="D1765" t="str">
        <f t="shared" si="229"/>
        <v>05102540019</v>
      </c>
      <c r="E1765" t="s">
        <v>52</v>
      </c>
      <c r="F1765">
        <v>2015</v>
      </c>
      <c r="G1765" t="str">
        <f>"                 433"</f>
        <v xml:space="preserve">                 433</v>
      </c>
      <c r="H1765" s="3">
        <v>42045</v>
      </c>
      <c r="I1765" s="3">
        <v>42053</v>
      </c>
      <c r="J1765" s="3">
        <v>42053</v>
      </c>
      <c r="K1765" s="3">
        <v>42113</v>
      </c>
      <c r="L1765"/>
      <c r="N1765"/>
      <c r="O1765">
        <v>840</v>
      </c>
      <c r="P1765">
        <v>292</v>
      </c>
      <c r="Q1765" s="4">
        <v>245280</v>
      </c>
      <c r="R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 s="3">
        <v>42562</v>
      </c>
      <c r="AC1765" t="s">
        <v>53</v>
      </c>
      <c r="AD1765" t="s">
        <v>53</v>
      </c>
      <c r="AK1765">
        <v>0</v>
      </c>
      <c r="AU1765" s="3">
        <v>42405</v>
      </c>
      <c r="AV1765" s="3">
        <v>42405</v>
      </c>
      <c r="AW1765" t="s">
        <v>54</v>
      </c>
      <c r="AX1765" t="str">
        <f t="shared" si="230"/>
        <v>FOR</v>
      </c>
      <c r="AY1765" t="s">
        <v>55</v>
      </c>
    </row>
    <row r="1766" spans="1:51" hidden="1">
      <c r="A1766">
        <v>101586</v>
      </c>
      <c r="B1766" t="s">
        <v>261</v>
      </c>
      <c r="C1766" t="str">
        <f t="shared" si="229"/>
        <v>05102540019</v>
      </c>
      <c r="D1766" t="str">
        <f t="shared" si="229"/>
        <v>05102540019</v>
      </c>
      <c r="E1766" t="s">
        <v>52</v>
      </c>
      <c r="F1766">
        <v>2015</v>
      </c>
      <c r="G1766" t="str">
        <f>"                 439"</f>
        <v xml:space="preserve">                 439</v>
      </c>
      <c r="H1766" s="3">
        <v>42045</v>
      </c>
      <c r="I1766" s="3">
        <v>42053</v>
      </c>
      <c r="J1766" s="3">
        <v>42053</v>
      </c>
      <c r="K1766" s="3">
        <v>42113</v>
      </c>
      <c r="L1766"/>
      <c r="N1766"/>
      <c r="O1766">
        <v>390</v>
      </c>
      <c r="P1766">
        <v>292</v>
      </c>
      <c r="Q1766" s="4">
        <v>113880</v>
      </c>
      <c r="R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 s="3">
        <v>42562</v>
      </c>
      <c r="AC1766" t="s">
        <v>53</v>
      </c>
      <c r="AD1766" t="s">
        <v>53</v>
      </c>
      <c r="AK1766">
        <v>0</v>
      </c>
      <c r="AU1766" s="3">
        <v>42405</v>
      </c>
      <c r="AV1766" s="3">
        <v>42405</v>
      </c>
      <c r="AW1766" t="s">
        <v>54</v>
      </c>
      <c r="AX1766" t="str">
        <f t="shared" si="230"/>
        <v>FOR</v>
      </c>
      <c r="AY1766" t="s">
        <v>55</v>
      </c>
    </row>
    <row r="1767" spans="1:51" hidden="1">
      <c r="A1767">
        <v>101586</v>
      </c>
      <c r="B1767" t="s">
        <v>261</v>
      </c>
      <c r="C1767" t="str">
        <f t="shared" si="229"/>
        <v>05102540019</v>
      </c>
      <c r="D1767" t="str">
        <f t="shared" si="229"/>
        <v>05102540019</v>
      </c>
      <c r="E1767" t="s">
        <v>52</v>
      </c>
      <c r="F1767">
        <v>2015</v>
      </c>
      <c r="G1767" t="str">
        <f>"                 536"</f>
        <v xml:space="preserve">                 536</v>
      </c>
      <c r="H1767" s="3">
        <v>42051</v>
      </c>
      <c r="I1767" s="3">
        <v>42061</v>
      </c>
      <c r="J1767" s="3">
        <v>42061</v>
      </c>
      <c r="K1767" s="3">
        <v>42121</v>
      </c>
      <c r="L1767"/>
      <c r="N1767"/>
      <c r="O1767">
        <v>390</v>
      </c>
      <c r="P1767">
        <v>284</v>
      </c>
      <c r="Q1767" s="4">
        <v>110760</v>
      </c>
      <c r="R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 s="3">
        <v>42562</v>
      </c>
      <c r="AC1767" t="s">
        <v>53</v>
      </c>
      <c r="AD1767" t="s">
        <v>53</v>
      </c>
      <c r="AK1767">
        <v>0</v>
      </c>
      <c r="AU1767" s="3">
        <v>42405</v>
      </c>
      <c r="AV1767" s="3">
        <v>42405</v>
      </c>
      <c r="AW1767" t="s">
        <v>54</v>
      </c>
      <c r="AX1767" t="str">
        <f t="shared" si="230"/>
        <v>FOR</v>
      </c>
      <c r="AY1767" t="s">
        <v>55</v>
      </c>
    </row>
    <row r="1768" spans="1:51" hidden="1">
      <c r="A1768">
        <v>101586</v>
      </c>
      <c r="B1768" t="s">
        <v>261</v>
      </c>
      <c r="C1768" t="str">
        <f t="shared" si="229"/>
        <v>05102540019</v>
      </c>
      <c r="D1768" t="str">
        <f t="shared" si="229"/>
        <v>05102540019</v>
      </c>
      <c r="E1768" t="s">
        <v>52</v>
      </c>
      <c r="F1768">
        <v>2015</v>
      </c>
      <c r="G1768" t="str">
        <f>"                 669"</f>
        <v xml:space="preserve">                 669</v>
      </c>
      <c r="H1768" s="3">
        <v>42062</v>
      </c>
      <c r="I1768" s="3">
        <v>42080</v>
      </c>
      <c r="J1768" s="3">
        <v>42080</v>
      </c>
      <c r="K1768" s="3">
        <v>42140</v>
      </c>
      <c r="L1768"/>
      <c r="N1768"/>
      <c r="O1768">
        <v>380</v>
      </c>
      <c r="P1768">
        <v>265</v>
      </c>
      <c r="Q1768" s="4">
        <v>100700</v>
      </c>
      <c r="R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 s="3">
        <v>42562</v>
      </c>
      <c r="AC1768" t="s">
        <v>53</v>
      </c>
      <c r="AD1768" t="s">
        <v>53</v>
      </c>
      <c r="AK1768">
        <v>0</v>
      </c>
      <c r="AU1768" s="3">
        <v>42405</v>
      </c>
      <c r="AV1768" s="3">
        <v>42405</v>
      </c>
      <c r="AW1768" t="s">
        <v>54</v>
      </c>
      <c r="AX1768" t="str">
        <f t="shared" si="230"/>
        <v>FOR</v>
      </c>
      <c r="AY1768" t="s">
        <v>55</v>
      </c>
    </row>
    <row r="1769" spans="1:51" hidden="1">
      <c r="A1769">
        <v>101586</v>
      </c>
      <c r="B1769" t="s">
        <v>261</v>
      </c>
      <c r="C1769" t="str">
        <f t="shared" si="229"/>
        <v>05102540019</v>
      </c>
      <c r="D1769" t="str">
        <f t="shared" si="229"/>
        <v>05102540019</v>
      </c>
      <c r="E1769" t="s">
        <v>52</v>
      </c>
      <c r="F1769">
        <v>2015</v>
      </c>
      <c r="G1769" t="str">
        <f>"              1085/F"</f>
        <v xml:space="preserve">              1085/F</v>
      </c>
      <c r="H1769" s="3">
        <v>42094</v>
      </c>
      <c r="I1769" s="3">
        <v>42107</v>
      </c>
      <c r="J1769" s="3">
        <v>42103</v>
      </c>
      <c r="K1769" s="3">
        <v>42163</v>
      </c>
      <c r="L1769"/>
      <c r="N1769"/>
      <c r="O1769" s="4">
        <v>2550</v>
      </c>
      <c r="P1769">
        <v>289</v>
      </c>
      <c r="Q1769" s="4">
        <v>736950</v>
      </c>
      <c r="R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0</v>
      </c>
      <c r="AB1769" s="3">
        <v>42562</v>
      </c>
      <c r="AC1769" t="s">
        <v>53</v>
      </c>
      <c r="AD1769" t="s">
        <v>53</v>
      </c>
      <c r="AK1769">
        <v>0</v>
      </c>
      <c r="AU1769" s="3">
        <v>42452</v>
      </c>
      <c r="AV1769" s="3">
        <v>42452</v>
      </c>
      <c r="AW1769" t="s">
        <v>54</v>
      </c>
      <c r="AX1769" t="str">
        <f t="shared" si="230"/>
        <v>FOR</v>
      </c>
      <c r="AY1769" t="s">
        <v>55</v>
      </c>
    </row>
    <row r="1770" spans="1:51" hidden="1">
      <c r="A1770">
        <v>101586</v>
      </c>
      <c r="B1770" t="s">
        <v>261</v>
      </c>
      <c r="C1770" t="str">
        <f t="shared" si="229"/>
        <v>05102540019</v>
      </c>
      <c r="D1770" t="str">
        <f t="shared" si="229"/>
        <v>05102540019</v>
      </c>
      <c r="E1770" t="s">
        <v>52</v>
      </c>
      <c r="F1770">
        <v>2015</v>
      </c>
      <c r="G1770" t="str">
        <f>"              1354/F"</f>
        <v xml:space="preserve">              1354/F</v>
      </c>
      <c r="H1770" s="3">
        <v>42121</v>
      </c>
      <c r="I1770" s="3">
        <v>42128</v>
      </c>
      <c r="J1770" s="3">
        <v>42124</v>
      </c>
      <c r="K1770" s="3">
        <v>42184</v>
      </c>
      <c r="L1770"/>
      <c r="N1770"/>
      <c r="O1770">
        <v>575</v>
      </c>
      <c r="P1770">
        <v>268</v>
      </c>
      <c r="Q1770" s="4">
        <v>154100</v>
      </c>
      <c r="R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 s="3">
        <v>42562</v>
      </c>
      <c r="AC1770" t="s">
        <v>53</v>
      </c>
      <c r="AD1770" t="s">
        <v>53</v>
      </c>
      <c r="AK1770">
        <v>0</v>
      </c>
      <c r="AU1770" s="3">
        <v>42452</v>
      </c>
      <c r="AV1770" s="3">
        <v>42452</v>
      </c>
      <c r="AW1770" t="s">
        <v>54</v>
      </c>
      <c r="AX1770" t="str">
        <f t="shared" si="230"/>
        <v>FOR</v>
      </c>
      <c r="AY1770" t="s">
        <v>55</v>
      </c>
    </row>
    <row r="1771" spans="1:51" hidden="1">
      <c r="A1771">
        <v>101586</v>
      </c>
      <c r="B1771" t="s">
        <v>261</v>
      </c>
      <c r="C1771" t="str">
        <f t="shared" si="229"/>
        <v>05102540019</v>
      </c>
      <c r="D1771" t="str">
        <f t="shared" si="229"/>
        <v>05102540019</v>
      </c>
      <c r="E1771" t="s">
        <v>52</v>
      </c>
      <c r="F1771">
        <v>2015</v>
      </c>
      <c r="G1771" t="str">
        <f>"              1534/F"</f>
        <v xml:space="preserve">              1534/F</v>
      </c>
      <c r="H1771" s="3">
        <v>42130</v>
      </c>
      <c r="I1771" s="3">
        <v>42131</v>
      </c>
      <c r="J1771" s="3">
        <v>42130</v>
      </c>
      <c r="K1771" s="3">
        <v>42190</v>
      </c>
      <c r="L1771"/>
      <c r="N1771"/>
      <c r="O1771">
        <v>810</v>
      </c>
      <c r="P1771">
        <v>262</v>
      </c>
      <c r="Q1771" s="4">
        <v>212220</v>
      </c>
      <c r="R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 s="3">
        <v>42562</v>
      </c>
      <c r="AC1771" t="s">
        <v>53</v>
      </c>
      <c r="AD1771" t="s">
        <v>53</v>
      </c>
      <c r="AK1771">
        <v>0</v>
      </c>
      <c r="AU1771" s="3">
        <v>42452</v>
      </c>
      <c r="AV1771" s="3">
        <v>42452</v>
      </c>
      <c r="AW1771" t="s">
        <v>54</v>
      </c>
      <c r="AX1771" t="str">
        <f t="shared" si="230"/>
        <v>FOR</v>
      </c>
      <c r="AY1771" t="s">
        <v>55</v>
      </c>
    </row>
    <row r="1772" spans="1:51" hidden="1">
      <c r="A1772">
        <v>101586</v>
      </c>
      <c r="B1772" t="s">
        <v>261</v>
      </c>
      <c r="C1772" t="str">
        <f t="shared" si="229"/>
        <v>05102540019</v>
      </c>
      <c r="D1772" t="str">
        <f t="shared" si="229"/>
        <v>05102540019</v>
      </c>
      <c r="E1772" t="s">
        <v>52</v>
      </c>
      <c r="F1772">
        <v>2015</v>
      </c>
      <c r="G1772" t="str">
        <f>"              1641/F"</f>
        <v xml:space="preserve">              1641/F</v>
      </c>
      <c r="H1772" s="3">
        <v>42136</v>
      </c>
      <c r="I1772" s="3">
        <v>42139</v>
      </c>
      <c r="J1772" s="3">
        <v>42137</v>
      </c>
      <c r="K1772" s="3">
        <v>42197</v>
      </c>
      <c r="L1772"/>
      <c r="N1772"/>
      <c r="O1772">
        <v>195</v>
      </c>
      <c r="P1772">
        <v>255</v>
      </c>
      <c r="Q1772" s="4">
        <v>49725</v>
      </c>
      <c r="R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0</v>
      </c>
      <c r="AB1772" s="3">
        <v>42562</v>
      </c>
      <c r="AC1772" t="s">
        <v>53</v>
      </c>
      <c r="AD1772" t="s">
        <v>53</v>
      </c>
      <c r="AK1772">
        <v>0</v>
      </c>
      <c r="AU1772" s="3">
        <v>42452</v>
      </c>
      <c r="AV1772" s="3">
        <v>42452</v>
      </c>
      <c r="AW1772" t="s">
        <v>54</v>
      </c>
      <c r="AX1772" t="str">
        <f t="shared" si="230"/>
        <v>FOR</v>
      </c>
      <c r="AY1772" t="s">
        <v>55</v>
      </c>
    </row>
    <row r="1773" spans="1:51" hidden="1">
      <c r="A1773">
        <v>101586</v>
      </c>
      <c r="B1773" t="s">
        <v>261</v>
      </c>
      <c r="C1773" t="str">
        <f t="shared" si="229"/>
        <v>05102540019</v>
      </c>
      <c r="D1773" t="str">
        <f t="shared" si="229"/>
        <v>05102540019</v>
      </c>
      <c r="E1773" t="s">
        <v>52</v>
      </c>
      <c r="F1773">
        <v>2015</v>
      </c>
      <c r="G1773" t="str">
        <f>"              1679/F"</f>
        <v xml:space="preserve">              1679/F</v>
      </c>
      <c r="H1773" s="3">
        <v>42143</v>
      </c>
      <c r="I1773" s="3">
        <v>42165</v>
      </c>
      <c r="J1773" s="3">
        <v>42143</v>
      </c>
      <c r="K1773" s="3">
        <v>42203</v>
      </c>
      <c r="L1773"/>
      <c r="N1773"/>
      <c r="O1773" s="4">
        <v>2550</v>
      </c>
      <c r="P1773">
        <v>249</v>
      </c>
      <c r="Q1773" s="4">
        <v>634950</v>
      </c>
      <c r="R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 s="3">
        <v>42562</v>
      </c>
      <c r="AC1773" t="s">
        <v>53</v>
      </c>
      <c r="AD1773" t="s">
        <v>53</v>
      </c>
      <c r="AK1773">
        <v>0</v>
      </c>
      <c r="AU1773" s="3">
        <v>42452</v>
      </c>
      <c r="AV1773" s="3">
        <v>42452</v>
      </c>
      <c r="AW1773" t="s">
        <v>54</v>
      </c>
      <c r="AX1773" t="str">
        <f t="shared" si="230"/>
        <v>FOR</v>
      </c>
      <c r="AY1773" t="s">
        <v>55</v>
      </c>
    </row>
    <row r="1774" spans="1:51" hidden="1">
      <c r="A1774">
        <v>101586</v>
      </c>
      <c r="B1774" t="s">
        <v>261</v>
      </c>
      <c r="C1774" t="str">
        <f t="shared" si="229"/>
        <v>05102540019</v>
      </c>
      <c r="D1774" t="str">
        <f t="shared" si="229"/>
        <v>05102540019</v>
      </c>
      <c r="E1774" t="s">
        <v>52</v>
      </c>
      <c r="F1774">
        <v>2015</v>
      </c>
      <c r="G1774" t="str">
        <f>"              1805/F"</f>
        <v xml:space="preserve">              1805/F</v>
      </c>
      <c r="H1774" s="3">
        <v>42150</v>
      </c>
      <c r="I1774" s="3">
        <v>42165</v>
      </c>
      <c r="J1774" s="3">
        <v>42153</v>
      </c>
      <c r="K1774" s="3">
        <v>42213</v>
      </c>
      <c r="L1774"/>
      <c r="N1774"/>
      <c r="O1774">
        <v>770</v>
      </c>
      <c r="P1774">
        <v>239</v>
      </c>
      <c r="Q1774" s="4">
        <v>184030</v>
      </c>
      <c r="R1774">
        <v>0</v>
      </c>
      <c r="V1774">
        <v>0</v>
      </c>
      <c r="W1774">
        <v>0</v>
      </c>
      <c r="X1774">
        <v>0</v>
      </c>
      <c r="Y1774">
        <v>0</v>
      </c>
      <c r="Z1774">
        <v>0</v>
      </c>
      <c r="AA1774">
        <v>0</v>
      </c>
      <c r="AB1774" s="3">
        <v>42562</v>
      </c>
      <c r="AC1774" t="s">
        <v>53</v>
      </c>
      <c r="AD1774" t="s">
        <v>53</v>
      </c>
      <c r="AK1774">
        <v>0</v>
      </c>
      <c r="AU1774" s="3">
        <v>42452</v>
      </c>
      <c r="AV1774" s="3">
        <v>42452</v>
      </c>
      <c r="AW1774" t="s">
        <v>54</v>
      </c>
      <c r="AX1774" t="str">
        <f t="shared" si="230"/>
        <v>FOR</v>
      </c>
      <c r="AY1774" t="s">
        <v>55</v>
      </c>
    </row>
    <row r="1775" spans="1:51" hidden="1">
      <c r="A1775">
        <v>101586</v>
      </c>
      <c r="B1775" t="s">
        <v>261</v>
      </c>
      <c r="C1775" t="str">
        <f t="shared" si="229"/>
        <v>05102540019</v>
      </c>
      <c r="D1775" t="str">
        <f t="shared" si="229"/>
        <v>05102540019</v>
      </c>
      <c r="E1775" t="s">
        <v>52</v>
      </c>
      <c r="F1775">
        <v>2015</v>
      </c>
      <c r="G1775" t="str">
        <f>"              1908/F"</f>
        <v xml:space="preserve">              1908/F</v>
      </c>
      <c r="H1775" s="3">
        <v>42153</v>
      </c>
      <c r="I1775" s="3">
        <v>42165</v>
      </c>
      <c r="J1775" s="3">
        <v>42153</v>
      </c>
      <c r="K1775" s="3">
        <v>42213</v>
      </c>
      <c r="L1775"/>
      <c r="N1775"/>
      <c r="O1775">
        <v>420</v>
      </c>
      <c r="P1775">
        <v>239</v>
      </c>
      <c r="Q1775" s="4">
        <v>100380</v>
      </c>
      <c r="R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 s="3">
        <v>42562</v>
      </c>
      <c r="AC1775" t="s">
        <v>53</v>
      </c>
      <c r="AD1775" t="s">
        <v>53</v>
      </c>
      <c r="AK1775">
        <v>0</v>
      </c>
      <c r="AU1775" s="3">
        <v>42452</v>
      </c>
      <c r="AV1775" s="3">
        <v>42452</v>
      </c>
      <c r="AW1775" t="s">
        <v>54</v>
      </c>
      <c r="AX1775" t="str">
        <f t="shared" si="230"/>
        <v>FOR</v>
      </c>
      <c r="AY1775" t="s">
        <v>55</v>
      </c>
    </row>
    <row r="1776" spans="1:51">
      <c r="A1776">
        <v>101586</v>
      </c>
      <c r="B1776" t="s">
        <v>261</v>
      </c>
      <c r="C1776" t="str">
        <f t="shared" si="229"/>
        <v>05102540019</v>
      </c>
      <c r="D1776" t="str">
        <f t="shared" si="229"/>
        <v>05102540019</v>
      </c>
      <c r="E1776" t="s">
        <v>52</v>
      </c>
      <c r="F1776">
        <v>2015</v>
      </c>
      <c r="G1776" t="str">
        <f>"              1996/F"</f>
        <v xml:space="preserve">              1996/F</v>
      </c>
      <c r="H1776" s="3">
        <v>42166</v>
      </c>
      <c r="I1776" s="3">
        <v>42167</v>
      </c>
      <c r="J1776" s="3">
        <v>42166</v>
      </c>
      <c r="K1776" s="3">
        <v>42226</v>
      </c>
      <c r="L1776" s="1">
        <v>780</v>
      </c>
      <c r="M1776">
        <v>294</v>
      </c>
      <c r="N1776" s="5">
        <v>229320</v>
      </c>
      <c r="O1776">
        <v>780</v>
      </c>
      <c r="P1776">
        <v>294</v>
      </c>
      <c r="Q1776" s="4">
        <v>229320</v>
      </c>
      <c r="R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 s="3">
        <v>42562</v>
      </c>
      <c r="AC1776" t="s">
        <v>53</v>
      </c>
      <c r="AD1776" t="s">
        <v>53</v>
      </c>
      <c r="AK1776">
        <v>0</v>
      </c>
      <c r="AU1776" s="3">
        <v>42520</v>
      </c>
      <c r="AV1776" s="3">
        <v>42520</v>
      </c>
      <c r="AW1776" t="s">
        <v>54</v>
      </c>
      <c r="AX1776" t="str">
        <f t="shared" si="230"/>
        <v>FOR</v>
      </c>
      <c r="AY1776" t="s">
        <v>55</v>
      </c>
    </row>
    <row r="1777" spans="1:51">
      <c r="A1777">
        <v>101586</v>
      </c>
      <c r="B1777" t="s">
        <v>261</v>
      </c>
      <c r="C1777" t="str">
        <f t="shared" si="229"/>
        <v>05102540019</v>
      </c>
      <c r="D1777" t="str">
        <f t="shared" si="229"/>
        <v>05102540019</v>
      </c>
      <c r="E1777" t="s">
        <v>52</v>
      </c>
      <c r="F1777">
        <v>2015</v>
      </c>
      <c r="G1777" t="str">
        <f>"              2221/F"</f>
        <v xml:space="preserve">              2221/F</v>
      </c>
      <c r="H1777" s="3">
        <v>42181</v>
      </c>
      <c r="I1777" s="3">
        <v>42186</v>
      </c>
      <c r="J1777" s="3">
        <v>42181</v>
      </c>
      <c r="K1777" s="3">
        <v>42241</v>
      </c>
      <c r="L1777" s="1">
        <v>575</v>
      </c>
      <c r="M1777">
        <v>279</v>
      </c>
      <c r="N1777" s="5">
        <v>160425</v>
      </c>
      <c r="O1777">
        <v>575</v>
      </c>
      <c r="P1777">
        <v>279</v>
      </c>
      <c r="Q1777" s="4">
        <v>160425</v>
      </c>
      <c r="R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 s="3">
        <v>42562</v>
      </c>
      <c r="AC1777" t="s">
        <v>53</v>
      </c>
      <c r="AD1777" t="s">
        <v>53</v>
      </c>
      <c r="AK1777">
        <v>0</v>
      </c>
      <c r="AU1777" s="3">
        <v>42520</v>
      </c>
      <c r="AV1777" s="3">
        <v>42520</v>
      </c>
      <c r="AW1777" t="s">
        <v>54</v>
      </c>
      <c r="AX1777" t="str">
        <f t="shared" si="230"/>
        <v>FOR</v>
      </c>
      <c r="AY1777" t="s">
        <v>55</v>
      </c>
    </row>
    <row r="1778" spans="1:51">
      <c r="A1778">
        <v>101600</v>
      </c>
      <c r="B1778" t="s">
        <v>262</v>
      </c>
      <c r="C1778" t="str">
        <f>"01646370708"</f>
        <v>01646370708</v>
      </c>
      <c r="D1778" t="str">
        <f>"01646370708"</f>
        <v>01646370708</v>
      </c>
      <c r="E1778" t="s">
        <v>52</v>
      </c>
      <c r="F1778">
        <v>2016</v>
      </c>
      <c r="G1778" t="str">
        <f>"              6/2016"</f>
        <v xml:space="preserve">              6/2016</v>
      </c>
      <c r="H1778" s="3">
        <v>42444</v>
      </c>
      <c r="I1778" s="3">
        <v>42445</v>
      </c>
      <c r="J1778" s="3">
        <v>42444</v>
      </c>
      <c r="K1778" s="3">
        <v>42504</v>
      </c>
      <c r="L1778" s="1">
        <v>529.49</v>
      </c>
      <c r="M1778">
        <v>-17</v>
      </c>
      <c r="N1778" s="5">
        <v>-9001.33</v>
      </c>
      <c r="O1778">
        <v>529.49</v>
      </c>
      <c r="P1778">
        <v>-17</v>
      </c>
      <c r="Q1778" s="4">
        <v>-9001.33</v>
      </c>
      <c r="R1778">
        <v>0</v>
      </c>
      <c r="V1778">
        <v>0</v>
      </c>
      <c r="W1778">
        <v>0</v>
      </c>
      <c r="X1778">
        <v>0</v>
      </c>
      <c r="Y1778">
        <v>529.49</v>
      </c>
      <c r="Z1778">
        <v>529.49</v>
      </c>
      <c r="AA1778">
        <v>529.49</v>
      </c>
      <c r="AB1778" s="3">
        <v>42562</v>
      </c>
      <c r="AC1778" t="s">
        <v>53</v>
      </c>
      <c r="AD1778" t="s">
        <v>53</v>
      </c>
      <c r="AK1778">
        <v>0</v>
      </c>
      <c r="AU1778" s="3">
        <v>42487</v>
      </c>
      <c r="AV1778" s="3">
        <v>42487</v>
      </c>
      <c r="AW1778" t="s">
        <v>54</v>
      </c>
      <c r="AX1778" t="str">
        <f>"ALTPRO"</f>
        <v>ALTPRO</v>
      </c>
      <c r="AY1778" t="s">
        <v>93</v>
      </c>
    </row>
    <row r="1779" spans="1:51">
      <c r="A1779">
        <v>101601</v>
      </c>
      <c r="B1779" t="s">
        <v>263</v>
      </c>
      <c r="C1779" t="str">
        <f>"00674091202"</f>
        <v>00674091202</v>
      </c>
      <c r="D1779" t="str">
        <f>"03898780378"</f>
        <v>03898780378</v>
      </c>
      <c r="E1779" t="s">
        <v>52</v>
      </c>
      <c r="F1779">
        <v>2015</v>
      </c>
      <c r="G1779" t="str">
        <f>"             2480/00"</f>
        <v xml:space="preserve">             2480/00</v>
      </c>
      <c r="H1779" s="3">
        <v>42185</v>
      </c>
      <c r="I1779" s="3">
        <v>42198</v>
      </c>
      <c r="J1779" s="3">
        <v>42195</v>
      </c>
      <c r="K1779" s="3">
        <v>42255</v>
      </c>
      <c r="L1779" s="5">
        <v>8591.81</v>
      </c>
      <c r="M1779">
        <v>232</v>
      </c>
      <c r="N1779" s="5">
        <v>1993299.92</v>
      </c>
      <c r="O1779" s="4">
        <v>8591.81</v>
      </c>
      <c r="P1779">
        <v>232</v>
      </c>
      <c r="Q1779" s="4">
        <v>1993299.92</v>
      </c>
      <c r="R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 s="3">
        <v>42562</v>
      </c>
      <c r="AC1779" t="s">
        <v>53</v>
      </c>
      <c r="AD1779" t="s">
        <v>53</v>
      </c>
      <c r="AK1779">
        <v>0</v>
      </c>
      <c r="AU1779" s="3">
        <v>42487</v>
      </c>
      <c r="AV1779" s="3">
        <v>42487</v>
      </c>
      <c r="AW1779" t="s">
        <v>54</v>
      </c>
      <c r="AX1779" t="str">
        <f t="shared" ref="AX1779:AX1794" si="231">"FOR"</f>
        <v>FOR</v>
      </c>
      <c r="AY1779" t="s">
        <v>55</v>
      </c>
    </row>
    <row r="1780" spans="1:51" hidden="1">
      <c r="A1780">
        <v>101601</v>
      </c>
      <c r="B1780" t="s">
        <v>263</v>
      </c>
      <c r="C1780" t="str">
        <f>"00674091202"</f>
        <v>00674091202</v>
      </c>
      <c r="D1780" t="str">
        <f>"03898780378"</f>
        <v>03898780378</v>
      </c>
      <c r="E1780" t="s">
        <v>52</v>
      </c>
      <c r="F1780">
        <v>2015</v>
      </c>
      <c r="G1780" t="str">
        <f>"             2583/00"</f>
        <v xml:space="preserve">             2583/00</v>
      </c>
      <c r="H1780" s="3">
        <v>42215</v>
      </c>
      <c r="I1780" s="3">
        <v>42216</v>
      </c>
      <c r="J1780" s="3">
        <v>42215</v>
      </c>
      <c r="K1780" s="3">
        <v>42275</v>
      </c>
      <c r="L1780"/>
      <c r="N1780"/>
      <c r="O1780" s="4">
        <v>2740.8</v>
      </c>
      <c r="P1780">
        <v>177</v>
      </c>
      <c r="Q1780" s="4">
        <v>485121.6</v>
      </c>
      <c r="R1780">
        <v>0</v>
      </c>
      <c r="V1780">
        <v>0</v>
      </c>
      <c r="W1780">
        <v>0</v>
      </c>
      <c r="X1780">
        <v>0</v>
      </c>
      <c r="Y1780">
        <v>0</v>
      </c>
      <c r="Z1780">
        <v>0</v>
      </c>
      <c r="AA1780">
        <v>0</v>
      </c>
      <c r="AB1780" s="3">
        <v>42562</v>
      </c>
      <c r="AC1780" t="s">
        <v>53</v>
      </c>
      <c r="AD1780" t="s">
        <v>53</v>
      </c>
      <c r="AK1780">
        <v>0</v>
      </c>
      <c r="AU1780" s="3">
        <v>42452</v>
      </c>
      <c r="AV1780" s="3">
        <v>42452</v>
      </c>
      <c r="AW1780" t="s">
        <v>54</v>
      </c>
      <c r="AX1780" t="str">
        <f t="shared" si="231"/>
        <v>FOR</v>
      </c>
      <c r="AY1780" t="s">
        <v>55</v>
      </c>
    </row>
    <row r="1781" spans="1:51" hidden="1">
      <c r="A1781">
        <v>101603</v>
      </c>
      <c r="B1781" t="s">
        <v>264</v>
      </c>
      <c r="C1781" t="str">
        <f>"12870770158"</f>
        <v>12870770158</v>
      </c>
      <c r="D1781" t="str">
        <f>"12870770158"</f>
        <v>12870770158</v>
      </c>
      <c r="E1781" t="s">
        <v>52</v>
      </c>
      <c r="F1781">
        <v>2015</v>
      </c>
      <c r="G1781" t="str">
        <f>"            00000572"</f>
        <v xml:space="preserve">            00000572</v>
      </c>
      <c r="H1781" s="3">
        <v>42360</v>
      </c>
      <c r="I1781" s="3">
        <v>42408</v>
      </c>
      <c r="J1781" s="3">
        <v>42360</v>
      </c>
      <c r="K1781" s="3">
        <v>42420</v>
      </c>
      <c r="L1781"/>
      <c r="N1781"/>
      <c r="O1781" s="4">
        <v>22592.76</v>
      </c>
      <c r="P1781">
        <v>-10</v>
      </c>
      <c r="Q1781" s="4">
        <v>-225927.6</v>
      </c>
      <c r="R1781">
        <v>0</v>
      </c>
      <c r="V1781">
        <v>0</v>
      </c>
      <c r="W1781">
        <v>0</v>
      </c>
      <c r="X1781">
        <v>0</v>
      </c>
      <c r="Y1781" s="4">
        <v>-52716.45</v>
      </c>
      <c r="Z1781" s="4">
        <v>22592.76</v>
      </c>
      <c r="AA1781" s="4">
        <v>-52716.45</v>
      </c>
      <c r="AB1781" s="3">
        <v>42562</v>
      </c>
      <c r="AC1781" t="s">
        <v>53</v>
      </c>
      <c r="AD1781" t="s">
        <v>53</v>
      </c>
      <c r="AK1781">
        <v>0</v>
      </c>
      <c r="AU1781" s="3">
        <v>42410</v>
      </c>
      <c r="AV1781" s="3">
        <v>42410</v>
      </c>
      <c r="AW1781" t="s">
        <v>54</v>
      </c>
      <c r="AX1781" t="str">
        <f t="shared" si="231"/>
        <v>FOR</v>
      </c>
      <c r="AY1781" t="s">
        <v>55</v>
      </c>
    </row>
    <row r="1782" spans="1:51" hidden="1">
      <c r="A1782">
        <v>101604</v>
      </c>
      <c r="B1782" t="s">
        <v>265</v>
      </c>
      <c r="C1782" t="str">
        <f t="shared" ref="C1782:D1789" si="232">"10804870151"</f>
        <v>10804870151</v>
      </c>
      <c r="D1782" t="str">
        <f t="shared" si="232"/>
        <v>10804870151</v>
      </c>
      <c r="E1782" t="s">
        <v>52</v>
      </c>
      <c r="F1782">
        <v>2015</v>
      </c>
      <c r="G1782" t="str">
        <f>"           150500098"</f>
        <v xml:space="preserve">           150500098</v>
      </c>
      <c r="H1782" s="3">
        <v>42048</v>
      </c>
      <c r="I1782" s="3">
        <v>42086</v>
      </c>
      <c r="J1782" s="3">
        <v>42086</v>
      </c>
      <c r="K1782" s="3">
        <v>42146</v>
      </c>
      <c r="L1782"/>
      <c r="N1782"/>
      <c r="O1782" s="4">
        <v>11850</v>
      </c>
      <c r="P1782">
        <v>255</v>
      </c>
      <c r="Q1782" s="4">
        <v>3021750</v>
      </c>
      <c r="R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 s="3">
        <v>42562</v>
      </c>
      <c r="AC1782" t="s">
        <v>53</v>
      </c>
      <c r="AD1782" t="s">
        <v>53</v>
      </c>
      <c r="AK1782">
        <v>0</v>
      </c>
      <c r="AU1782" s="3">
        <v>42401</v>
      </c>
      <c r="AV1782" s="3">
        <v>42401</v>
      </c>
      <c r="AW1782" t="s">
        <v>54</v>
      </c>
      <c r="AX1782" t="str">
        <f t="shared" si="231"/>
        <v>FOR</v>
      </c>
      <c r="AY1782" t="s">
        <v>55</v>
      </c>
    </row>
    <row r="1783" spans="1:51" hidden="1">
      <c r="A1783">
        <v>101604</v>
      </c>
      <c r="B1783" t="s">
        <v>265</v>
      </c>
      <c r="C1783" t="str">
        <f t="shared" si="232"/>
        <v>10804870151</v>
      </c>
      <c r="D1783" t="str">
        <f t="shared" si="232"/>
        <v>10804870151</v>
      </c>
      <c r="E1783" t="s">
        <v>52</v>
      </c>
      <c r="F1783">
        <v>2015</v>
      </c>
      <c r="G1783" t="str">
        <f>"           150500147"</f>
        <v xml:space="preserve">           150500147</v>
      </c>
      <c r="H1783" s="3">
        <v>42060</v>
      </c>
      <c r="I1783" s="3">
        <v>42086</v>
      </c>
      <c r="J1783" s="3">
        <v>42086</v>
      </c>
      <c r="K1783" s="3">
        <v>42146</v>
      </c>
      <c r="L1783"/>
      <c r="N1783"/>
      <c r="O1783" s="4">
        <v>2275</v>
      </c>
      <c r="P1783">
        <v>255</v>
      </c>
      <c r="Q1783" s="4">
        <v>580125</v>
      </c>
      <c r="R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 s="3">
        <v>42562</v>
      </c>
      <c r="AC1783" t="s">
        <v>53</v>
      </c>
      <c r="AD1783" t="s">
        <v>53</v>
      </c>
      <c r="AK1783">
        <v>0</v>
      </c>
      <c r="AU1783" s="3">
        <v>42401</v>
      </c>
      <c r="AV1783" s="3">
        <v>42401</v>
      </c>
      <c r="AW1783" t="s">
        <v>54</v>
      </c>
      <c r="AX1783" t="str">
        <f t="shared" si="231"/>
        <v>FOR</v>
      </c>
      <c r="AY1783" t="s">
        <v>55</v>
      </c>
    </row>
    <row r="1784" spans="1:51" hidden="1">
      <c r="A1784">
        <v>101604</v>
      </c>
      <c r="B1784" t="s">
        <v>265</v>
      </c>
      <c r="C1784" t="str">
        <f t="shared" si="232"/>
        <v>10804870151</v>
      </c>
      <c r="D1784" t="str">
        <f t="shared" si="232"/>
        <v>10804870151</v>
      </c>
      <c r="E1784" t="s">
        <v>52</v>
      </c>
      <c r="F1784">
        <v>2015</v>
      </c>
      <c r="G1784" t="str">
        <f>"           150500254"</f>
        <v xml:space="preserve">           150500254</v>
      </c>
      <c r="H1784" s="3">
        <v>42089</v>
      </c>
      <c r="I1784" s="3">
        <v>42115</v>
      </c>
      <c r="J1784" s="3">
        <v>42115</v>
      </c>
      <c r="K1784" s="3">
        <v>42175</v>
      </c>
      <c r="L1784"/>
      <c r="N1784"/>
      <c r="O1784" s="4">
        <v>6600</v>
      </c>
      <c r="P1784">
        <v>240</v>
      </c>
      <c r="Q1784" s="4">
        <v>1584000</v>
      </c>
      <c r="R1784">
        <v>0</v>
      </c>
      <c r="V1784">
        <v>0</v>
      </c>
      <c r="W1784">
        <v>0</v>
      </c>
      <c r="X1784">
        <v>0</v>
      </c>
      <c r="Y1784">
        <v>0</v>
      </c>
      <c r="Z1784">
        <v>0</v>
      </c>
      <c r="AA1784">
        <v>0</v>
      </c>
      <c r="AB1784" s="3">
        <v>42562</v>
      </c>
      <c r="AC1784" t="s">
        <v>53</v>
      </c>
      <c r="AD1784" t="s">
        <v>53</v>
      </c>
      <c r="AK1784">
        <v>0</v>
      </c>
      <c r="AU1784" s="3">
        <v>42415</v>
      </c>
      <c r="AV1784" s="3">
        <v>42415</v>
      </c>
      <c r="AW1784" t="s">
        <v>54</v>
      </c>
      <c r="AX1784" t="str">
        <f t="shared" si="231"/>
        <v>FOR</v>
      </c>
      <c r="AY1784" t="s">
        <v>55</v>
      </c>
    </row>
    <row r="1785" spans="1:51" hidden="1">
      <c r="A1785">
        <v>101604</v>
      </c>
      <c r="B1785" t="s">
        <v>265</v>
      </c>
      <c r="C1785" t="str">
        <f t="shared" si="232"/>
        <v>10804870151</v>
      </c>
      <c r="D1785" t="str">
        <f t="shared" si="232"/>
        <v>10804870151</v>
      </c>
      <c r="E1785" t="s">
        <v>52</v>
      </c>
      <c r="F1785">
        <v>2015</v>
      </c>
      <c r="G1785" t="str">
        <f>"           150500313"</f>
        <v xml:space="preserve">           150500313</v>
      </c>
      <c r="H1785" s="3">
        <v>42107</v>
      </c>
      <c r="I1785" s="3">
        <v>42262</v>
      </c>
      <c r="J1785" s="3">
        <v>42258</v>
      </c>
      <c r="K1785" s="3">
        <v>42318</v>
      </c>
      <c r="L1785"/>
      <c r="N1785"/>
      <c r="O1785" s="4">
        <v>1620</v>
      </c>
      <c r="P1785">
        <v>134</v>
      </c>
      <c r="Q1785" s="4">
        <v>217080</v>
      </c>
      <c r="R1785">
        <v>0</v>
      </c>
      <c r="V1785">
        <v>0</v>
      </c>
      <c r="W1785">
        <v>0</v>
      </c>
      <c r="X1785">
        <v>0</v>
      </c>
      <c r="Y1785">
        <v>0</v>
      </c>
      <c r="Z1785">
        <v>0</v>
      </c>
      <c r="AA1785">
        <v>0</v>
      </c>
      <c r="AB1785" s="3">
        <v>42562</v>
      </c>
      <c r="AC1785" t="s">
        <v>53</v>
      </c>
      <c r="AD1785" t="s">
        <v>53</v>
      </c>
      <c r="AK1785">
        <v>0</v>
      </c>
      <c r="AU1785" s="3">
        <v>42452</v>
      </c>
      <c r="AV1785" s="3">
        <v>42452</v>
      </c>
      <c r="AW1785" t="s">
        <v>54</v>
      </c>
      <c r="AX1785" t="str">
        <f t="shared" si="231"/>
        <v>FOR</v>
      </c>
      <c r="AY1785" t="s">
        <v>55</v>
      </c>
    </row>
    <row r="1786" spans="1:51" hidden="1">
      <c r="A1786">
        <v>101604</v>
      </c>
      <c r="B1786" t="s">
        <v>265</v>
      </c>
      <c r="C1786" t="str">
        <f t="shared" si="232"/>
        <v>10804870151</v>
      </c>
      <c r="D1786" t="str">
        <f t="shared" si="232"/>
        <v>10804870151</v>
      </c>
      <c r="E1786" t="s">
        <v>52</v>
      </c>
      <c r="F1786">
        <v>2015</v>
      </c>
      <c r="G1786" t="str">
        <f>"           150500357"</f>
        <v xml:space="preserve">           150500357</v>
      </c>
      <c r="H1786" s="3">
        <v>42116</v>
      </c>
      <c r="I1786" s="3">
        <v>42262</v>
      </c>
      <c r="J1786" s="3">
        <v>42261</v>
      </c>
      <c r="K1786" s="3">
        <v>42321</v>
      </c>
      <c r="L1786"/>
      <c r="N1786"/>
      <c r="O1786" s="4">
        <v>2950</v>
      </c>
      <c r="P1786">
        <v>131</v>
      </c>
      <c r="Q1786" s="4">
        <v>386450</v>
      </c>
      <c r="R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 s="3">
        <v>42562</v>
      </c>
      <c r="AC1786" t="s">
        <v>53</v>
      </c>
      <c r="AD1786" t="s">
        <v>53</v>
      </c>
      <c r="AK1786">
        <v>0</v>
      </c>
      <c r="AU1786" s="3">
        <v>42452</v>
      </c>
      <c r="AV1786" s="3">
        <v>42452</v>
      </c>
      <c r="AW1786" t="s">
        <v>54</v>
      </c>
      <c r="AX1786" t="str">
        <f t="shared" si="231"/>
        <v>FOR</v>
      </c>
      <c r="AY1786" t="s">
        <v>55</v>
      </c>
    </row>
    <row r="1787" spans="1:51" hidden="1">
      <c r="A1787">
        <v>101604</v>
      </c>
      <c r="B1787" t="s">
        <v>265</v>
      </c>
      <c r="C1787" t="str">
        <f t="shared" si="232"/>
        <v>10804870151</v>
      </c>
      <c r="D1787" t="str">
        <f t="shared" si="232"/>
        <v>10804870151</v>
      </c>
      <c r="E1787" t="s">
        <v>52</v>
      </c>
      <c r="F1787">
        <v>2015</v>
      </c>
      <c r="G1787" t="str">
        <f>"           150500516"</f>
        <v xml:space="preserve">           150500516</v>
      </c>
      <c r="H1787" s="3">
        <v>42152</v>
      </c>
      <c r="I1787" s="3">
        <v>42207</v>
      </c>
      <c r="J1787" s="3">
        <v>42205</v>
      </c>
      <c r="K1787" s="3">
        <v>42265</v>
      </c>
      <c r="L1787"/>
      <c r="N1787"/>
      <c r="O1787" s="4">
        <v>2950</v>
      </c>
      <c r="P1787">
        <v>187</v>
      </c>
      <c r="Q1787" s="4">
        <v>551650</v>
      </c>
      <c r="R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 s="3">
        <v>42562</v>
      </c>
      <c r="AC1787" t="s">
        <v>53</v>
      </c>
      <c r="AD1787" t="s">
        <v>53</v>
      </c>
      <c r="AK1787">
        <v>0</v>
      </c>
      <c r="AU1787" s="3">
        <v>42452</v>
      </c>
      <c r="AV1787" s="3">
        <v>42452</v>
      </c>
      <c r="AW1787" t="s">
        <v>54</v>
      </c>
      <c r="AX1787" t="str">
        <f t="shared" si="231"/>
        <v>FOR</v>
      </c>
      <c r="AY1787" t="s">
        <v>55</v>
      </c>
    </row>
    <row r="1788" spans="1:51" hidden="1">
      <c r="A1788">
        <v>101604</v>
      </c>
      <c r="B1788" t="s">
        <v>265</v>
      </c>
      <c r="C1788" t="str">
        <f t="shared" si="232"/>
        <v>10804870151</v>
      </c>
      <c r="D1788" t="str">
        <f t="shared" si="232"/>
        <v>10804870151</v>
      </c>
      <c r="E1788" t="s">
        <v>52</v>
      </c>
      <c r="F1788">
        <v>2015</v>
      </c>
      <c r="G1788" t="str">
        <f>"           150500517"</f>
        <v xml:space="preserve">           150500517</v>
      </c>
      <c r="H1788" s="3">
        <v>42152</v>
      </c>
      <c r="I1788" s="3">
        <v>42207</v>
      </c>
      <c r="J1788" s="3">
        <v>42205</v>
      </c>
      <c r="K1788" s="3">
        <v>42265</v>
      </c>
      <c r="L1788"/>
      <c r="N1788"/>
      <c r="O1788" s="4">
        <v>1350</v>
      </c>
      <c r="P1788">
        <v>187</v>
      </c>
      <c r="Q1788" s="4">
        <v>252450</v>
      </c>
      <c r="R1788">
        <v>0</v>
      </c>
      <c r="V1788">
        <v>0</v>
      </c>
      <c r="W1788">
        <v>0</v>
      </c>
      <c r="X1788">
        <v>0</v>
      </c>
      <c r="Y1788">
        <v>0</v>
      </c>
      <c r="Z1788">
        <v>0</v>
      </c>
      <c r="AA1788">
        <v>0</v>
      </c>
      <c r="AB1788" s="3">
        <v>42562</v>
      </c>
      <c r="AC1788" t="s">
        <v>53</v>
      </c>
      <c r="AD1788" t="s">
        <v>53</v>
      </c>
      <c r="AK1788">
        <v>0</v>
      </c>
      <c r="AU1788" s="3">
        <v>42452</v>
      </c>
      <c r="AV1788" s="3">
        <v>42452</v>
      </c>
      <c r="AW1788" t="s">
        <v>54</v>
      </c>
      <c r="AX1788" t="str">
        <f t="shared" si="231"/>
        <v>FOR</v>
      </c>
      <c r="AY1788" t="s">
        <v>55</v>
      </c>
    </row>
    <row r="1789" spans="1:51">
      <c r="A1789">
        <v>101604</v>
      </c>
      <c r="B1789" t="s">
        <v>265</v>
      </c>
      <c r="C1789" t="str">
        <f t="shared" si="232"/>
        <v>10804870151</v>
      </c>
      <c r="D1789" t="str">
        <f t="shared" si="232"/>
        <v>10804870151</v>
      </c>
      <c r="E1789" t="s">
        <v>52</v>
      </c>
      <c r="F1789">
        <v>2015</v>
      </c>
      <c r="G1789" t="str">
        <f>"           150500600"</f>
        <v xml:space="preserve">           150500600</v>
      </c>
      <c r="H1789" s="3">
        <v>42171</v>
      </c>
      <c r="I1789" s="3">
        <v>42230</v>
      </c>
      <c r="J1789" s="3">
        <v>42223</v>
      </c>
      <c r="K1789" s="3">
        <v>42283</v>
      </c>
      <c r="L1789" s="5">
        <v>1475</v>
      </c>
      <c r="M1789">
        <v>237</v>
      </c>
      <c r="N1789" s="5">
        <v>349575</v>
      </c>
      <c r="O1789" s="4">
        <v>1475</v>
      </c>
      <c r="P1789">
        <v>237</v>
      </c>
      <c r="Q1789" s="4">
        <v>349575</v>
      </c>
      <c r="R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 s="3">
        <v>42562</v>
      </c>
      <c r="AC1789" t="s">
        <v>53</v>
      </c>
      <c r="AD1789" t="s">
        <v>53</v>
      </c>
      <c r="AK1789">
        <v>0</v>
      </c>
      <c r="AU1789" s="3">
        <v>42520</v>
      </c>
      <c r="AV1789" s="3">
        <v>42520</v>
      </c>
      <c r="AW1789" t="s">
        <v>54</v>
      </c>
      <c r="AX1789" t="str">
        <f t="shared" si="231"/>
        <v>FOR</v>
      </c>
      <c r="AY1789" t="s">
        <v>55</v>
      </c>
    </row>
    <row r="1790" spans="1:51" hidden="1">
      <c r="A1790">
        <v>101636</v>
      </c>
      <c r="B1790" t="s">
        <v>266</v>
      </c>
      <c r="C1790" t="str">
        <f t="shared" ref="C1790:D1792" si="233">"01446930628"</f>
        <v>01446930628</v>
      </c>
      <c r="D1790" t="str">
        <f t="shared" si="233"/>
        <v>01446930628</v>
      </c>
      <c r="E1790" t="s">
        <v>52</v>
      </c>
      <c r="F1790">
        <v>2015</v>
      </c>
      <c r="G1790" t="str">
        <f>"               8 BIS"</f>
        <v xml:space="preserve">               8 BIS</v>
      </c>
      <c r="H1790" s="3">
        <v>42064</v>
      </c>
      <c r="I1790" s="3">
        <v>42164</v>
      </c>
      <c r="J1790" s="3">
        <v>42164</v>
      </c>
      <c r="K1790" s="3">
        <v>42224</v>
      </c>
      <c r="L1790"/>
      <c r="N1790"/>
      <c r="O1790" s="4">
        <v>2125.5</v>
      </c>
      <c r="P1790">
        <v>180</v>
      </c>
      <c r="Q1790" s="4">
        <v>382590</v>
      </c>
      <c r="R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 s="3">
        <v>42562</v>
      </c>
      <c r="AC1790" t="s">
        <v>53</v>
      </c>
      <c r="AD1790" t="s">
        <v>53</v>
      </c>
      <c r="AK1790">
        <v>0</v>
      </c>
      <c r="AU1790" s="3">
        <v>42404</v>
      </c>
      <c r="AV1790" s="3">
        <v>42404</v>
      </c>
      <c r="AW1790" t="s">
        <v>54</v>
      </c>
      <c r="AX1790" t="str">
        <f t="shared" si="231"/>
        <v>FOR</v>
      </c>
      <c r="AY1790" t="s">
        <v>55</v>
      </c>
    </row>
    <row r="1791" spans="1:51" hidden="1">
      <c r="A1791">
        <v>101636</v>
      </c>
      <c r="B1791" t="s">
        <v>266</v>
      </c>
      <c r="C1791" t="str">
        <f t="shared" si="233"/>
        <v>01446930628</v>
      </c>
      <c r="D1791" t="str">
        <f t="shared" si="233"/>
        <v>01446930628</v>
      </c>
      <c r="E1791" t="s">
        <v>52</v>
      </c>
      <c r="F1791">
        <v>2015</v>
      </c>
      <c r="G1791" t="str">
        <f>"              14 BIS"</f>
        <v xml:space="preserve">              14 BIS</v>
      </c>
      <c r="H1791" s="3">
        <v>42093</v>
      </c>
      <c r="I1791" s="3">
        <v>42164</v>
      </c>
      <c r="J1791" s="3">
        <v>42164</v>
      </c>
      <c r="K1791" s="3">
        <v>42224</v>
      </c>
      <c r="L1791"/>
      <c r="N1791"/>
      <c r="O1791" s="4">
        <v>1962</v>
      </c>
      <c r="P1791">
        <v>180</v>
      </c>
      <c r="Q1791" s="4">
        <v>353160</v>
      </c>
      <c r="R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 s="3">
        <v>42562</v>
      </c>
      <c r="AC1791" t="s">
        <v>53</v>
      </c>
      <c r="AD1791" t="s">
        <v>53</v>
      </c>
      <c r="AK1791">
        <v>0</v>
      </c>
      <c r="AU1791" s="3">
        <v>42404</v>
      </c>
      <c r="AV1791" s="3">
        <v>42404</v>
      </c>
      <c r="AW1791" t="s">
        <v>54</v>
      </c>
      <c r="AX1791" t="str">
        <f t="shared" si="231"/>
        <v>FOR</v>
      </c>
      <c r="AY1791" t="s">
        <v>55</v>
      </c>
    </row>
    <row r="1792" spans="1:51" hidden="1">
      <c r="A1792">
        <v>101636</v>
      </c>
      <c r="B1792" t="s">
        <v>266</v>
      </c>
      <c r="C1792" t="str">
        <f t="shared" si="233"/>
        <v>01446930628</v>
      </c>
      <c r="D1792" t="str">
        <f t="shared" si="233"/>
        <v>01446930628</v>
      </c>
      <c r="E1792" t="s">
        <v>52</v>
      </c>
      <c r="F1792">
        <v>2015</v>
      </c>
      <c r="G1792" t="str">
        <f>"          19BIS/2015"</f>
        <v xml:space="preserve">          19BIS/2015</v>
      </c>
      <c r="H1792" s="3">
        <v>42125</v>
      </c>
      <c r="I1792" s="3">
        <v>42163</v>
      </c>
      <c r="J1792" s="3">
        <v>42152</v>
      </c>
      <c r="K1792" s="3">
        <v>42212</v>
      </c>
      <c r="L1792"/>
      <c r="N1792"/>
      <c r="O1792" s="4">
        <v>2725</v>
      </c>
      <c r="P1792">
        <v>241</v>
      </c>
      <c r="Q1792" s="4">
        <v>656725</v>
      </c>
      <c r="R1792">
        <v>0</v>
      </c>
      <c r="V1792">
        <v>0</v>
      </c>
      <c r="W1792">
        <v>0</v>
      </c>
      <c r="X1792">
        <v>0</v>
      </c>
      <c r="Y1792">
        <v>0</v>
      </c>
      <c r="Z1792">
        <v>0</v>
      </c>
      <c r="AA1792">
        <v>0</v>
      </c>
      <c r="AB1792" s="3">
        <v>42562</v>
      </c>
      <c r="AC1792" t="s">
        <v>53</v>
      </c>
      <c r="AD1792" t="s">
        <v>53</v>
      </c>
      <c r="AK1792">
        <v>0</v>
      </c>
      <c r="AU1792" s="3">
        <v>42453</v>
      </c>
      <c r="AV1792" s="3">
        <v>42453</v>
      </c>
      <c r="AW1792" t="s">
        <v>54</v>
      </c>
      <c r="AX1792" t="str">
        <f t="shared" si="231"/>
        <v>FOR</v>
      </c>
      <c r="AY1792" t="s">
        <v>55</v>
      </c>
    </row>
    <row r="1793" spans="1:51" hidden="1">
      <c r="A1793">
        <v>101643</v>
      </c>
      <c r="B1793" t="s">
        <v>267</v>
      </c>
      <c r="C1793" t="str">
        <f>"07220700962"</f>
        <v>07220700962</v>
      </c>
      <c r="D1793" t="str">
        <f>"07220700962"</f>
        <v>07220700962</v>
      </c>
      <c r="E1793" t="s">
        <v>52</v>
      </c>
      <c r="F1793">
        <v>2015</v>
      </c>
      <c r="G1793" t="str">
        <f>"          CD15029807"</f>
        <v xml:space="preserve">          CD15029807</v>
      </c>
      <c r="H1793" s="3">
        <v>42268</v>
      </c>
      <c r="I1793" s="3">
        <v>42269</v>
      </c>
      <c r="J1793" s="3">
        <v>42268</v>
      </c>
      <c r="K1793" s="3">
        <v>42328</v>
      </c>
      <c r="L1793"/>
      <c r="N1793"/>
      <c r="O1793">
        <v>842</v>
      </c>
      <c r="P1793">
        <v>124</v>
      </c>
      <c r="Q1793" s="4">
        <v>104408</v>
      </c>
      <c r="R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 s="3">
        <v>42562</v>
      </c>
      <c r="AC1793" t="s">
        <v>53</v>
      </c>
      <c r="AD1793" t="s">
        <v>53</v>
      </c>
      <c r="AK1793">
        <v>0</v>
      </c>
      <c r="AU1793" s="3">
        <v>42452</v>
      </c>
      <c r="AV1793" s="3">
        <v>42452</v>
      </c>
      <c r="AW1793" t="s">
        <v>54</v>
      </c>
      <c r="AX1793" t="str">
        <f t="shared" si="231"/>
        <v>FOR</v>
      </c>
      <c r="AY1793" t="s">
        <v>55</v>
      </c>
    </row>
    <row r="1794" spans="1:51">
      <c r="A1794">
        <v>101643</v>
      </c>
      <c r="B1794" t="s">
        <v>267</v>
      </c>
      <c r="C1794" t="str">
        <f>"07220700962"</f>
        <v>07220700962</v>
      </c>
      <c r="D1794" t="str">
        <f>"07220700962"</f>
        <v>07220700962</v>
      </c>
      <c r="E1794" t="s">
        <v>52</v>
      </c>
      <c r="F1794">
        <v>2016</v>
      </c>
      <c r="G1794" t="str">
        <f>"          CD16001622"</f>
        <v xml:space="preserve">          CD16001622</v>
      </c>
      <c r="H1794" s="3">
        <v>42387</v>
      </c>
      <c r="I1794" s="3">
        <v>42389</v>
      </c>
      <c r="J1794" s="3">
        <v>42387</v>
      </c>
      <c r="K1794" s="3">
        <v>42447</v>
      </c>
      <c r="L1794" s="5">
        <v>1517.5</v>
      </c>
      <c r="M1794">
        <v>81</v>
      </c>
      <c r="N1794" s="5">
        <v>122917.5</v>
      </c>
      <c r="O1794" s="4">
        <v>1517.5</v>
      </c>
      <c r="P1794">
        <v>81</v>
      </c>
      <c r="Q1794" s="4">
        <v>122917.5</v>
      </c>
      <c r="R1794">
        <v>333.85</v>
      </c>
      <c r="V1794">
        <v>0</v>
      </c>
      <c r="W1794">
        <v>0</v>
      </c>
      <c r="X1794">
        <v>0</v>
      </c>
      <c r="Y1794" s="4">
        <v>1851.35</v>
      </c>
      <c r="Z1794" s="4">
        <v>1851.35</v>
      </c>
      <c r="AA1794" s="4">
        <v>1851.35</v>
      </c>
      <c r="AB1794" s="3">
        <v>42562</v>
      </c>
      <c r="AC1794" t="s">
        <v>53</v>
      </c>
      <c r="AD1794" t="s">
        <v>53</v>
      </c>
      <c r="AH1794">
        <v>333.85</v>
      </c>
      <c r="AK1794">
        <v>0</v>
      </c>
      <c r="AU1794" s="3">
        <v>42528</v>
      </c>
      <c r="AV1794" s="3">
        <v>42528</v>
      </c>
      <c r="AW1794" t="s">
        <v>54</v>
      </c>
      <c r="AX1794" t="str">
        <f t="shared" si="231"/>
        <v>FOR</v>
      </c>
      <c r="AY1794" t="s">
        <v>55</v>
      </c>
    </row>
    <row r="1795" spans="1:51">
      <c r="A1795">
        <v>101671</v>
      </c>
      <c r="B1795" t="s">
        <v>268</v>
      </c>
      <c r="C1795" t="str">
        <f>"06391740724"</f>
        <v>06391740724</v>
      </c>
      <c r="D1795" t="str">
        <f>"90062670725"</f>
        <v>90062670725</v>
      </c>
      <c r="E1795" t="s">
        <v>52</v>
      </c>
      <c r="F1795">
        <v>2016</v>
      </c>
      <c r="G1795" t="str">
        <f>"                 111"</f>
        <v xml:space="preserve">                 111</v>
      </c>
      <c r="H1795" s="3">
        <v>42506</v>
      </c>
      <c r="I1795" s="3">
        <v>42506</v>
      </c>
      <c r="J1795" s="3">
        <v>42506</v>
      </c>
      <c r="K1795" s="3">
        <v>42566</v>
      </c>
      <c r="L1795" s="1">
        <v>316.83</v>
      </c>
      <c r="M1795">
        <v>-46</v>
      </c>
      <c r="N1795" s="5">
        <v>-14574.18</v>
      </c>
      <c r="O1795">
        <v>316.83</v>
      </c>
      <c r="P1795">
        <v>-46</v>
      </c>
      <c r="Q1795" s="4">
        <v>-14574.18</v>
      </c>
      <c r="R1795">
        <v>0</v>
      </c>
      <c r="V1795">
        <v>316.83</v>
      </c>
      <c r="W1795">
        <v>316.83</v>
      </c>
      <c r="X1795">
        <v>316.83</v>
      </c>
      <c r="Y1795">
        <v>316.83</v>
      </c>
      <c r="Z1795">
        <v>316.83</v>
      </c>
      <c r="AA1795">
        <v>316.83</v>
      </c>
      <c r="AB1795" s="3">
        <v>42562</v>
      </c>
      <c r="AC1795" t="s">
        <v>53</v>
      </c>
      <c r="AD1795" t="s">
        <v>53</v>
      </c>
      <c r="AK1795">
        <v>0</v>
      </c>
      <c r="AU1795" s="3">
        <v>42520</v>
      </c>
      <c r="AV1795" s="3">
        <v>42520</v>
      </c>
      <c r="AW1795" t="s">
        <v>54</v>
      </c>
      <c r="AX1795" t="str">
        <f>"AZI"</f>
        <v>AZI</v>
      </c>
      <c r="AY1795" t="s">
        <v>269</v>
      </c>
    </row>
    <row r="1796" spans="1:51" hidden="1">
      <c r="A1796">
        <v>101681</v>
      </c>
      <c r="B1796" t="s">
        <v>270</v>
      </c>
      <c r="C1796" t="str">
        <f>"06617261216"</f>
        <v>06617261216</v>
      </c>
      <c r="D1796" t="str">
        <f>"DLGGVR80T62F839C"</f>
        <v>DLGGVR80T62F839C</v>
      </c>
      <c r="E1796" t="s">
        <v>52</v>
      </c>
      <c r="F1796">
        <v>2016</v>
      </c>
      <c r="G1796" t="str">
        <f>"         FATTPA 1_16"</f>
        <v xml:space="preserve">         FATTPA 1_16</v>
      </c>
      <c r="H1796" s="3">
        <v>42379</v>
      </c>
      <c r="I1796" s="3">
        <v>42408</v>
      </c>
      <c r="J1796" s="3">
        <v>42406</v>
      </c>
      <c r="K1796" s="3">
        <v>42466</v>
      </c>
      <c r="L1796"/>
      <c r="N1796"/>
      <c r="O1796" s="4">
        <v>1426.47</v>
      </c>
      <c r="P1796">
        <v>-40</v>
      </c>
      <c r="Q1796" s="4">
        <v>-57058.8</v>
      </c>
      <c r="R1796">
        <v>0</v>
      </c>
      <c r="V1796">
        <v>0</v>
      </c>
      <c r="W1796">
        <v>0</v>
      </c>
      <c r="X1796">
        <v>0</v>
      </c>
      <c r="Y1796">
        <v>0</v>
      </c>
      <c r="Z1796" s="4">
        <v>1426.47</v>
      </c>
      <c r="AA1796" s="4">
        <v>1426.47</v>
      </c>
      <c r="AB1796" s="3">
        <v>42562</v>
      </c>
      <c r="AC1796" t="s">
        <v>53</v>
      </c>
      <c r="AD1796" t="s">
        <v>53</v>
      </c>
      <c r="AK1796">
        <v>0</v>
      </c>
      <c r="AU1796" s="3">
        <v>42426</v>
      </c>
      <c r="AV1796" s="3">
        <v>42426</v>
      </c>
      <c r="AW1796" t="s">
        <v>54</v>
      </c>
      <c r="AX1796" t="str">
        <f t="shared" ref="AX1796:AX1810" si="234">"ALTPRO"</f>
        <v>ALTPRO</v>
      </c>
      <c r="AY1796" t="s">
        <v>93</v>
      </c>
    </row>
    <row r="1797" spans="1:51" hidden="1">
      <c r="A1797">
        <v>101681</v>
      </c>
      <c r="B1797" t="s">
        <v>270</v>
      </c>
      <c r="C1797" t="str">
        <f>"06617261216"</f>
        <v>06617261216</v>
      </c>
      <c r="D1797" t="str">
        <f>"DLGGVR80T62F839C"</f>
        <v>DLGGVR80T62F839C</v>
      </c>
      <c r="E1797" t="s">
        <v>52</v>
      </c>
      <c r="F1797">
        <v>2016</v>
      </c>
      <c r="G1797" t="str">
        <f>"         FATTPA 2_16"</f>
        <v xml:space="preserve">         FATTPA 2_16</v>
      </c>
      <c r="H1797" s="3">
        <v>42406</v>
      </c>
      <c r="I1797" s="3">
        <v>42408</v>
      </c>
      <c r="J1797" s="3">
        <v>42406</v>
      </c>
      <c r="K1797" s="3">
        <v>42466</v>
      </c>
      <c r="L1797"/>
      <c r="N1797"/>
      <c r="O1797" s="4">
        <v>1433.5</v>
      </c>
      <c r="P1797">
        <v>-40</v>
      </c>
      <c r="Q1797" s="4">
        <v>-57340</v>
      </c>
      <c r="R1797">
        <v>0</v>
      </c>
      <c r="V1797">
        <v>0</v>
      </c>
      <c r="W1797">
        <v>0</v>
      </c>
      <c r="X1797">
        <v>0</v>
      </c>
      <c r="Y1797" s="4">
        <v>1433.5</v>
      </c>
      <c r="Z1797" s="4">
        <v>1433.5</v>
      </c>
      <c r="AA1797" s="4">
        <v>1433.5</v>
      </c>
      <c r="AB1797" s="3">
        <v>42562</v>
      </c>
      <c r="AC1797" t="s">
        <v>53</v>
      </c>
      <c r="AD1797" t="s">
        <v>53</v>
      </c>
      <c r="AK1797">
        <v>0</v>
      </c>
      <c r="AU1797" s="3">
        <v>42426</v>
      </c>
      <c r="AV1797" s="3">
        <v>42426</v>
      </c>
      <c r="AW1797" t="s">
        <v>54</v>
      </c>
      <c r="AX1797" t="str">
        <f t="shared" si="234"/>
        <v>ALTPRO</v>
      </c>
      <c r="AY1797" t="s">
        <v>93</v>
      </c>
    </row>
    <row r="1798" spans="1:51" hidden="1">
      <c r="A1798">
        <v>101681</v>
      </c>
      <c r="B1798" t="s">
        <v>270</v>
      </c>
      <c r="C1798" t="str">
        <f>"06617261216"</f>
        <v>06617261216</v>
      </c>
      <c r="D1798" t="str">
        <f>"DLGGVR80T62F839C"</f>
        <v>DLGGVR80T62F839C</v>
      </c>
      <c r="E1798" t="s">
        <v>52</v>
      </c>
      <c r="F1798">
        <v>2016</v>
      </c>
      <c r="G1798" t="str">
        <f>"         FATTPA 3_16"</f>
        <v xml:space="preserve">         FATTPA 3_16</v>
      </c>
      <c r="H1798" s="3">
        <v>42441</v>
      </c>
      <c r="I1798" s="3">
        <v>42443</v>
      </c>
      <c r="J1798" s="3">
        <v>42441</v>
      </c>
      <c r="K1798" s="3">
        <v>42501</v>
      </c>
      <c r="L1798"/>
      <c r="N1798"/>
      <c r="O1798" s="4">
        <v>1763.27</v>
      </c>
      <c r="P1798">
        <v>-50</v>
      </c>
      <c r="Q1798" s="4">
        <v>-88163.5</v>
      </c>
      <c r="R1798">
        <v>0</v>
      </c>
      <c r="V1798">
        <v>0</v>
      </c>
      <c r="W1798">
        <v>0</v>
      </c>
      <c r="X1798">
        <v>0</v>
      </c>
      <c r="Y1798" s="4">
        <v>1763.27</v>
      </c>
      <c r="Z1798" s="4">
        <v>1763.27</v>
      </c>
      <c r="AA1798" s="4">
        <v>1763.27</v>
      </c>
      <c r="AB1798" s="3">
        <v>42562</v>
      </c>
      <c r="AC1798" t="s">
        <v>53</v>
      </c>
      <c r="AD1798" t="s">
        <v>53</v>
      </c>
      <c r="AK1798">
        <v>0</v>
      </c>
      <c r="AU1798" s="3">
        <v>42451</v>
      </c>
      <c r="AV1798" s="3">
        <v>42451</v>
      </c>
      <c r="AW1798" t="s">
        <v>54</v>
      </c>
      <c r="AX1798" t="str">
        <f t="shared" si="234"/>
        <v>ALTPRO</v>
      </c>
      <c r="AY1798" t="s">
        <v>93</v>
      </c>
    </row>
    <row r="1799" spans="1:51">
      <c r="A1799">
        <v>101681</v>
      </c>
      <c r="B1799" t="s">
        <v>270</v>
      </c>
      <c r="C1799" t="str">
        <f>"06617261216"</f>
        <v>06617261216</v>
      </c>
      <c r="D1799" t="str">
        <f>"DLGGVR80T62F839C"</f>
        <v>DLGGVR80T62F839C</v>
      </c>
      <c r="E1799" t="s">
        <v>52</v>
      </c>
      <c r="F1799">
        <v>2016</v>
      </c>
      <c r="G1799" t="str">
        <f>"         FATTPA 4_16"</f>
        <v xml:space="preserve">         FATTPA 4_16</v>
      </c>
      <c r="H1799" s="3">
        <v>42475</v>
      </c>
      <c r="I1799" s="3">
        <v>42478</v>
      </c>
      <c r="J1799" s="3">
        <v>42475</v>
      </c>
      <c r="K1799" s="3">
        <v>42535</v>
      </c>
      <c r="L1799" s="5">
        <v>1630.88</v>
      </c>
      <c r="M1799">
        <v>-48</v>
      </c>
      <c r="N1799" s="5">
        <v>-78282.240000000005</v>
      </c>
      <c r="O1799" s="4">
        <v>1630.88</v>
      </c>
      <c r="P1799">
        <v>-48</v>
      </c>
      <c r="Q1799" s="4">
        <v>-78282.240000000005</v>
      </c>
      <c r="R1799">
        <v>0</v>
      </c>
      <c r="V1799">
        <v>0</v>
      </c>
      <c r="W1799" s="4">
        <v>1630.88</v>
      </c>
      <c r="X1799" s="4">
        <v>1630.88</v>
      </c>
      <c r="Y1799" s="4">
        <v>1630.88</v>
      </c>
      <c r="Z1799" s="4">
        <v>1630.88</v>
      </c>
      <c r="AA1799" s="4">
        <v>1630.88</v>
      </c>
      <c r="AB1799" s="3">
        <v>42562</v>
      </c>
      <c r="AC1799" t="s">
        <v>53</v>
      </c>
      <c r="AD1799" t="s">
        <v>53</v>
      </c>
      <c r="AK1799">
        <v>0</v>
      </c>
      <c r="AU1799" s="3">
        <v>42487</v>
      </c>
      <c r="AV1799" s="3">
        <v>42487</v>
      </c>
      <c r="AW1799" t="s">
        <v>54</v>
      </c>
      <c r="AX1799" t="str">
        <f t="shared" si="234"/>
        <v>ALTPRO</v>
      </c>
      <c r="AY1799" t="s">
        <v>93</v>
      </c>
    </row>
    <row r="1800" spans="1:51" hidden="1">
      <c r="A1800">
        <v>101700</v>
      </c>
      <c r="B1800" t="s">
        <v>271</v>
      </c>
      <c r="C1800" t="str">
        <f t="shared" ref="C1800:C1805" si="235">"01523240628"</f>
        <v>01523240628</v>
      </c>
      <c r="D1800" t="str">
        <f t="shared" ref="D1800:D1805" si="236">"PRRRFL82P13A783D"</f>
        <v>PRRRFL82P13A783D</v>
      </c>
      <c r="E1800" t="s">
        <v>52</v>
      </c>
      <c r="F1800">
        <v>2015</v>
      </c>
      <c r="G1800" t="str">
        <f>"     006-2015-PERRAF"</f>
        <v xml:space="preserve">     006-2015-PERRAF</v>
      </c>
      <c r="H1800" s="3">
        <v>42359</v>
      </c>
      <c r="I1800" s="3">
        <v>42360</v>
      </c>
      <c r="J1800" s="3">
        <v>42359</v>
      </c>
      <c r="K1800" s="3">
        <v>42419</v>
      </c>
      <c r="L1800"/>
      <c r="N1800"/>
      <c r="O1800" s="4">
        <v>1899.15</v>
      </c>
      <c r="P1800">
        <v>-39</v>
      </c>
      <c r="Q1800" s="4">
        <v>-74066.850000000006</v>
      </c>
      <c r="R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 s="3">
        <v>42562</v>
      </c>
      <c r="AC1800" t="s">
        <v>53</v>
      </c>
      <c r="AD1800" t="s">
        <v>53</v>
      </c>
      <c r="AK1800">
        <v>0</v>
      </c>
      <c r="AU1800" s="3">
        <v>42380</v>
      </c>
      <c r="AV1800" s="3">
        <v>42380</v>
      </c>
      <c r="AW1800" t="s">
        <v>54</v>
      </c>
      <c r="AX1800" t="str">
        <f t="shared" si="234"/>
        <v>ALTPRO</v>
      </c>
      <c r="AY1800" t="s">
        <v>93</v>
      </c>
    </row>
    <row r="1801" spans="1:51" hidden="1">
      <c r="A1801">
        <v>101700</v>
      </c>
      <c r="B1801" t="s">
        <v>271</v>
      </c>
      <c r="C1801" t="str">
        <f t="shared" si="235"/>
        <v>01523240628</v>
      </c>
      <c r="D1801" t="str">
        <f t="shared" si="236"/>
        <v>PRRRFL82P13A783D</v>
      </c>
      <c r="E1801" t="s">
        <v>52</v>
      </c>
      <c r="F1801">
        <v>2015</v>
      </c>
      <c r="G1801" t="str">
        <f>"     007-2015-PERRAF"</f>
        <v xml:space="preserve">     007-2015-PERRAF</v>
      </c>
      <c r="H1801" s="3">
        <v>42366</v>
      </c>
      <c r="I1801" s="3">
        <v>42369</v>
      </c>
      <c r="J1801" s="3">
        <v>42366</v>
      </c>
      <c r="K1801" s="3">
        <v>42426</v>
      </c>
      <c r="L1801"/>
      <c r="N1801"/>
      <c r="O1801">
        <v>302.86</v>
      </c>
      <c r="P1801">
        <v>-29</v>
      </c>
      <c r="Q1801" s="4">
        <v>-8782.94</v>
      </c>
      <c r="R1801">
        <v>0</v>
      </c>
      <c r="V1801">
        <v>0</v>
      </c>
      <c r="W1801">
        <v>0</v>
      </c>
      <c r="X1801">
        <v>0</v>
      </c>
      <c r="Y1801">
        <v>0</v>
      </c>
      <c r="Z1801">
        <v>0</v>
      </c>
      <c r="AA1801">
        <v>0</v>
      </c>
      <c r="AB1801" s="3">
        <v>42562</v>
      </c>
      <c r="AC1801" t="s">
        <v>53</v>
      </c>
      <c r="AD1801" t="s">
        <v>53</v>
      </c>
      <c r="AK1801">
        <v>0</v>
      </c>
      <c r="AU1801" s="3">
        <v>42397</v>
      </c>
      <c r="AV1801" s="3">
        <v>42397</v>
      </c>
      <c r="AW1801" t="s">
        <v>54</v>
      </c>
      <c r="AX1801" t="str">
        <f t="shared" si="234"/>
        <v>ALTPRO</v>
      </c>
      <c r="AY1801" t="s">
        <v>93</v>
      </c>
    </row>
    <row r="1802" spans="1:51" hidden="1">
      <c r="A1802">
        <v>101700</v>
      </c>
      <c r="B1802" t="s">
        <v>271</v>
      </c>
      <c r="C1802" t="str">
        <f t="shared" si="235"/>
        <v>01523240628</v>
      </c>
      <c r="D1802" t="str">
        <f t="shared" si="236"/>
        <v>PRRRFL82P13A783D</v>
      </c>
      <c r="E1802" t="s">
        <v>52</v>
      </c>
      <c r="F1802">
        <v>2016</v>
      </c>
      <c r="G1802" t="str">
        <f>"     001-2016-PERRAF"</f>
        <v xml:space="preserve">     001-2016-PERRAF</v>
      </c>
      <c r="H1802" s="3">
        <v>42388</v>
      </c>
      <c r="I1802" s="3">
        <v>42389</v>
      </c>
      <c r="J1802" s="3">
        <v>42388</v>
      </c>
      <c r="K1802" s="3">
        <v>42448</v>
      </c>
      <c r="L1802"/>
      <c r="N1802"/>
      <c r="O1802" s="4">
        <v>1599.37</v>
      </c>
      <c r="P1802">
        <v>-51</v>
      </c>
      <c r="Q1802" s="4">
        <v>-81567.87</v>
      </c>
      <c r="R1802">
        <v>0</v>
      </c>
      <c r="V1802">
        <v>0</v>
      </c>
      <c r="W1802">
        <v>0</v>
      </c>
      <c r="X1802">
        <v>0</v>
      </c>
      <c r="Y1802">
        <v>-399.84</v>
      </c>
      <c r="Z1802" s="4">
        <v>1599.37</v>
      </c>
      <c r="AA1802" s="4">
        <v>1599.37</v>
      </c>
      <c r="AB1802" s="3">
        <v>42562</v>
      </c>
      <c r="AC1802" t="s">
        <v>53</v>
      </c>
      <c r="AD1802" t="s">
        <v>53</v>
      </c>
      <c r="AK1802">
        <v>0</v>
      </c>
      <c r="AU1802" s="3">
        <v>42397</v>
      </c>
      <c r="AV1802" s="3">
        <v>42397</v>
      </c>
      <c r="AW1802" t="s">
        <v>54</v>
      </c>
      <c r="AX1802" t="str">
        <f t="shared" si="234"/>
        <v>ALTPRO</v>
      </c>
      <c r="AY1802" t="s">
        <v>93</v>
      </c>
    </row>
    <row r="1803" spans="1:51" hidden="1">
      <c r="A1803">
        <v>101700</v>
      </c>
      <c r="B1803" t="s">
        <v>271</v>
      </c>
      <c r="C1803" t="str">
        <f t="shared" si="235"/>
        <v>01523240628</v>
      </c>
      <c r="D1803" t="str">
        <f t="shared" si="236"/>
        <v>PRRRFL82P13A783D</v>
      </c>
      <c r="E1803" t="s">
        <v>52</v>
      </c>
      <c r="F1803">
        <v>2016</v>
      </c>
      <c r="G1803" t="str">
        <f>"     002-2016-PERRAF"</f>
        <v xml:space="preserve">     002-2016-PERRAF</v>
      </c>
      <c r="H1803" s="3">
        <v>42438</v>
      </c>
      <c r="I1803" s="3">
        <v>42438</v>
      </c>
      <c r="J1803" s="3">
        <v>42438</v>
      </c>
      <c r="K1803" s="3">
        <v>42498</v>
      </c>
      <c r="L1803"/>
      <c r="N1803"/>
      <c r="O1803" s="4">
        <v>4001.44</v>
      </c>
      <c r="P1803">
        <v>-47</v>
      </c>
      <c r="Q1803" s="4">
        <v>-188067.68</v>
      </c>
      <c r="R1803">
        <v>0</v>
      </c>
      <c r="V1803">
        <v>0</v>
      </c>
      <c r="W1803">
        <v>0</v>
      </c>
      <c r="X1803">
        <v>0</v>
      </c>
      <c r="Y1803" s="4">
        <v>4001.44</v>
      </c>
      <c r="Z1803" s="4">
        <v>4001.44</v>
      </c>
      <c r="AA1803" s="4">
        <v>4001.44</v>
      </c>
      <c r="AB1803" s="3">
        <v>42562</v>
      </c>
      <c r="AC1803" t="s">
        <v>53</v>
      </c>
      <c r="AD1803" t="s">
        <v>53</v>
      </c>
      <c r="AK1803">
        <v>0</v>
      </c>
      <c r="AU1803" s="3">
        <v>42451</v>
      </c>
      <c r="AV1803" s="3">
        <v>42451</v>
      </c>
      <c r="AW1803" t="s">
        <v>54</v>
      </c>
      <c r="AX1803" t="str">
        <f t="shared" si="234"/>
        <v>ALTPRO</v>
      </c>
      <c r="AY1803" t="s">
        <v>93</v>
      </c>
    </row>
    <row r="1804" spans="1:51">
      <c r="A1804">
        <v>101700</v>
      </c>
      <c r="B1804" t="s">
        <v>271</v>
      </c>
      <c r="C1804" t="str">
        <f t="shared" si="235"/>
        <v>01523240628</v>
      </c>
      <c r="D1804" t="str">
        <f t="shared" si="236"/>
        <v>PRRRFL82P13A783D</v>
      </c>
      <c r="E1804" t="s">
        <v>52</v>
      </c>
      <c r="F1804">
        <v>2016</v>
      </c>
      <c r="G1804" t="str">
        <f>"  000003-2016-PERRAF"</f>
        <v xml:space="preserve">  000003-2016-PERRAF</v>
      </c>
      <c r="H1804" s="3">
        <v>42471</v>
      </c>
      <c r="I1804" s="3">
        <v>42475</v>
      </c>
      <c r="J1804" s="3">
        <v>42473</v>
      </c>
      <c r="K1804" s="3">
        <v>42533</v>
      </c>
      <c r="L1804" s="5">
        <v>2022.38</v>
      </c>
      <c r="M1804">
        <v>-46</v>
      </c>
      <c r="N1804" s="5">
        <v>-93029.48</v>
      </c>
      <c r="O1804" s="4">
        <v>2022.38</v>
      </c>
      <c r="P1804">
        <v>-46</v>
      </c>
      <c r="Q1804" s="4">
        <v>-93029.48</v>
      </c>
      <c r="R1804">
        <v>0</v>
      </c>
      <c r="V1804">
        <v>-505.1</v>
      </c>
      <c r="W1804" s="4">
        <v>2022.38</v>
      </c>
      <c r="X1804" s="4">
        <v>2022.38</v>
      </c>
      <c r="Y1804" s="4">
        <v>2022.38</v>
      </c>
      <c r="Z1804" s="4">
        <v>2022.38</v>
      </c>
      <c r="AA1804" s="4">
        <v>2022.38</v>
      </c>
      <c r="AB1804" s="3">
        <v>42562</v>
      </c>
      <c r="AC1804" t="s">
        <v>53</v>
      </c>
      <c r="AD1804" t="s">
        <v>53</v>
      </c>
      <c r="AK1804">
        <v>0</v>
      </c>
      <c r="AU1804" s="3">
        <v>42487</v>
      </c>
      <c r="AV1804" s="3">
        <v>42487</v>
      </c>
      <c r="AW1804" t="s">
        <v>54</v>
      </c>
      <c r="AX1804" t="str">
        <f t="shared" si="234"/>
        <v>ALTPRO</v>
      </c>
      <c r="AY1804" t="s">
        <v>93</v>
      </c>
    </row>
    <row r="1805" spans="1:51">
      <c r="A1805">
        <v>101700</v>
      </c>
      <c r="B1805" t="s">
        <v>271</v>
      </c>
      <c r="C1805" t="str">
        <f t="shared" si="235"/>
        <v>01523240628</v>
      </c>
      <c r="D1805" t="str">
        <f t="shared" si="236"/>
        <v>PRRRFL82P13A783D</v>
      </c>
      <c r="E1805" t="s">
        <v>52</v>
      </c>
      <c r="F1805">
        <v>2016</v>
      </c>
      <c r="G1805" t="str">
        <f>"  000004-2016-PERRAF"</f>
        <v xml:space="preserve">  000004-2016-PERRAF</v>
      </c>
      <c r="H1805" s="3">
        <v>42502</v>
      </c>
      <c r="I1805" s="3">
        <v>42507</v>
      </c>
      <c r="J1805" s="3">
        <v>42502</v>
      </c>
      <c r="K1805" s="3">
        <v>42562</v>
      </c>
      <c r="L1805" s="5">
        <v>1635.78</v>
      </c>
      <c r="M1805">
        <v>-46</v>
      </c>
      <c r="N1805" s="5">
        <v>-75245.88</v>
      </c>
      <c r="O1805" s="4">
        <v>1635.78</v>
      </c>
      <c r="P1805">
        <v>-46</v>
      </c>
      <c r="Q1805" s="4">
        <v>-75245.88</v>
      </c>
      <c r="R1805">
        <v>0</v>
      </c>
      <c r="V1805" s="4">
        <v>1635.78</v>
      </c>
      <c r="W1805" s="4">
        <v>1635.78</v>
      </c>
      <c r="X1805" s="4">
        <v>1635.78</v>
      </c>
      <c r="Y1805" s="4">
        <v>1635.78</v>
      </c>
      <c r="Z1805" s="4">
        <v>1635.78</v>
      </c>
      <c r="AA1805" s="4">
        <v>1635.78</v>
      </c>
      <c r="AB1805" s="3">
        <v>42562</v>
      </c>
      <c r="AC1805" t="s">
        <v>53</v>
      </c>
      <c r="AD1805" t="s">
        <v>53</v>
      </c>
      <c r="AK1805">
        <v>0</v>
      </c>
      <c r="AU1805" s="3">
        <v>42516</v>
      </c>
      <c r="AV1805" s="3">
        <v>42516</v>
      </c>
      <c r="AW1805" t="s">
        <v>54</v>
      </c>
      <c r="AX1805" t="str">
        <f t="shared" si="234"/>
        <v>ALTPRO</v>
      </c>
      <c r="AY1805" t="s">
        <v>93</v>
      </c>
    </row>
    <row r="1806" spans="1:51" hidden="1">
      <c r="A1806">
        <v>101701</v>
      </c>
      <c r="B1806" t="s">
        <v>272</v>
      </c>
      <c r="C1806" t="str">
        <f>"01509880629"</f>
        <v>01509880629</v>
      </c>
      <c r="D1806" t="str">
        <f>"PRCVCN79D42A783I"</f>
        <v>PRCVCN79D42A783I</v>
      </c>
      <c r="E1806" t="s">
        <v>52</v>
      </c>
      <c r="F1806">
        <v>2016</v>
      </c>
      <c r="G1806" t="str">
        <f>"         FATTPA 1_16"</f>
        <v xml:space="preserve">         FATTPA 1_16</v>
      </c>
      <c r="H1806" s="3">
        <v>42388</v>
      </c>
      <c r="I1806" s="3">
        <v>42388</v>
      </c>
      <c r="J1806" s="3">
        <v>42388</v>
      </c>
      <c r="K1806" s="3">
        <v>42448</v>
      </c>
      <c r="L1806"/>
      <c r="N1806"/>
      <c r="O1806" s="4">
        <v>2024.91</v>
      </c>
      <c r="P1806">
        <v>-51</v>
      </c>
      <c r="Q1806" s="4">
        <v>-103270.41</v>
      </c>
      <c r="R1806">
        <v>0</v>
      </c>
      <c r="V1806">
        <v>0</v>
      </c>
      <c r="W1806">
        <v>0</v>
      </c>
      <c r="X1806">
        <v>0</v>
      </c>
      <c r="Y1806">
        <v>-505.73</v>
      </c>
      <c r="Z1806" s="4">
        <v>2024.91</v>
      </c>
      <c r="AA1806" s="4">
        <v>2024.91</v>
      </c>
      <c r="AB1806" s="3">
        <v>42562</v>
      </c>
      <c r="AC1806" t="s">
        <v>53</v>
      </c>
      <c r="AD1806" t="s">
        <v>53</v>
      </c>
      <c r="AK1806">
        <v>0</v>
      </c>
      <c r="AU1806" s="3">
        <v>42397</v>
      </c>
      <c r="AV1806" s="3">
        <v>42397</v>
      </c>
      <c r="AW1806" t="s">
        <v>54</v>
      </c>
      <c r="AX1806" t="str">
        <f t="shared" si="234"/>
        <v>ALTPRO</v>
      </c>
      <c r="AY1806" t="s">
        <v>93</v>
      </c>
    </row>
    <row r="1807" spans="1:51" hidden="1">
      <c r="A1807">
        <v>101701</v>
      </c>
      <c r="B1807" t="s">
        <v>272</v>
      </c>
      <c r="C1807" t="str">
        <f>"01509880629"</f>
        <v>01509880629</v>
      </c>
      <c r="D1807" t="str">
        <f>"PRCVCN79D42A783I"</f>
        <v>PRCVCN79D42A783I</v>
      </c>
      <c r="E1807" t="s">
        <v>52</v>
      </c>
      <c r="F1807">
        <v>2016</v>
      </c>
      <c r="G1807" t="str">
        <f>"         FATTPA 2_16"</f>
        <v xml:space="preserve">         FATTPA 2_16</v>
      </c>
      <c r="H1807" s="3">
        <v>42404</v>
      </c>
      <c r="I1807" s="3">
        <v>42405</v>
      </c>
      <c r="J1807" s="3">
        <v>42404</v>
      </c>
      <c r="K1807" s="3">
        <v>42464</v>
      </c>
      <c r="L1807"/>
      <c r="N1807"/>
      <c r="O1807" s="4">
        <v>2024.91</v>
      </c>
      <c r="P1807">
        <v>-38</v>
      </c>
      <c r="Q1807" s="4">
        <v>-76946.58</v>
      </c>
      <c r="R1807">
        <v>0</v>
      </c>
      <c r="V1807">
        <v>0</v>
      </c>
      <c r="W1807">
        <v>0</v>
      </c>
      <c r="X1807">
        <v>0</v>
      </c>
      <c r="Y1807" s="4">
        <v>2024.91</v>
      </c>
      <c r="Z1807" s="4">
        <v>2024.91</v>
      </c>
      <c r="AA1807" s="4">
        <v>2024.91</v>
      </c>
      <c r="AB1807" s="3">
        <v>42562</v>
      </c>
      <c r="AC1807" t="s">
        <v>53</v>
      </c>
      <c r="AD1807" t="s">
        <v>53</v>
      </c>
      <c r="AK1807">
        <v>0</v>
      </c>
      <c r="AU1807" s="3">
        <v>42426</v>
      </c>
      <c r="AV1807" s="3">
        <v>42426</v>
      </c>
      <c r="AW1807" t="s">
        <v>54</v>
      </c>
      <c r="AX1807" t="str">
        <f t="shared" si="234"/>
        <v>ALTPRO</v>
      </c>
      <c r="AY1807" t="s">
        <v>93</v>
      </c>
    </row>
    <row r="1808" spans="1:51">
      <c r="A1808">
        <v>101701</v>
      </c>
      <c r="B1808" t="s">
        <v>272</v>
      </c>
      <c r="C1808" t="str">
        <f>"01509880629"</f>
        <v>01509880629</v>
      </c>
      <c r="D1808" t="str">
        <f>"PRCVCN79D42A783I"</f>
        <v>PRCVCN79D42A783I</v>
      </c>
      <c r="E1808" t="s">
        <v>52</v>
      </c>
      <c r="F1808">
        <v>2016</v>
      </c>
      <c r="G1808" t="str">
        <f>"         FATTPA 3_16"</f>
        <v xml:space="preserve">         FATTPA 3_16</v>
      </c>
      <c r="H1808" s="3">
        <v>42450</v>
      </c>
      <c r="I1808" s="3">
        <v>42460</v>
      </c>
      <c r="J1808" s="3">
        <v>42450</v>
      </c>
      <c r="K1808" s="3">
        <v>42510</v>
      </c>
      <c r="L1808" s="5">
        <v>2036.43</v>
      </c>
      <c r="M1808">
        <v>-23</v>
      </c>
      <c r="N1808" s="5">
        <v>-46837.89</v>
      </c>
      <c r="O1808" s="4">
        <v>2036.43</v>
      </c>
      <c r="P1808">
        <v>-23</v>
      </c>
      <c r="Q1808" s="4">
        <v>-46837.89</v>
      </c>
      <c r="R1808">
        <v>0</v>
      </c>
      <c r="V1808">
        <v>0</v>
      </c>
      <c r="W1808">
        <v>0</v>
      </c>
      <c r="X1808">
        <v>0</v>
      </c>
      <c r="Y1808" s="4">
        <v>2036.43</v>
      </c>
      <c r="Z1808" s="4">
        <v>2036.43</v>
      </c>
      <c r="AA1808" s="4">
        <v>2036.43</v>
      </c>
      <c r="AB1808" s="3">
        <v>42562</v>
      </c>
      <c r="AC1808" t="s">
        <v>53</v>
      </c>
      <c r="AD1808" t="s">
        <v>53</v>
      </c>
      <c r="AK1808">
        <v>0</v>
      </c>
      <c r="AU1808" s="3">
        <v>42487</v>
      </c>
      <c r="AV1808" s="3">
        <v>42487</v>
      </c>
      <c r="AW1808" t="s">
        <v>54</v>
      </c>
      <c r="AX1808" t="str">
        <f t="shared" si="234"/>
        <v>ALTPRO</v>
      </c>
      <c r="AY1808" t="s">
        <v>93</v>
      </c>
    </row>
    <row r="1809" spans="1:51">
      <c r="A1809">
        <v>101701</v>
      </c>
      <c r="B1809" t="s">
        <v>272</v>
      </c>
      <c r="C1809" t="str">
        <f>"01509880629"</f>
        <v>01509880629</v>
      </c>
      <c r="D1809" t="str">
        <f>"PRCVCN79D42A783I"</f>
        <v>PRCVCN79D42A783I</v>
      </c>
      <c r="E1809" t="s">
        <v>52</v>
      </c>
      <c r="F1809">
        <v>2016</v>
      </c>
      <c r="G1809" t="str">
        <f>"         FATTPA 4_16"</f>
        <v xml:space="preserve">         FATTPA 4_16</v>
      </c>
      <c r="H1809" s="3">
        <v>42478</v>
      </c>
      <c r="I1809" s="3">
        <v>42478</v>
      </c>
      <c r="J1809" s="3">
        <v>42478</v>
      </c>
      <c r="K1809" s="3">
        <v>42538</v>
      </c>
      <c r="L1809" s="5">
        <v>2193.4899999999998</v>
      </c>
      <c r="M1809">
        <v>-51</v>
      </c>
      <c r="N1809" s="5">
        <v>-111867.99</v>
      </c>
      <c r="O1809" s="4">
        <v>2193.4899999999998</v>
      </c>
      <c r="P1809">
        <v>-51</v>
      </c>
      <c r="Q1809" s="4">
        <v>-111867.99</v>
      </c>
      <c r="R1809">
        <v>0</v>
      </c>
      <c r="V1809">
        <v>-547.87</v>
      </c>
      <c r="W1809" s="4">
        <v>2193.4899999999998</v>
      </c>
      <c r="X1809" s="4">
        <v>2193.4899999999998</v>
      </c>
      <c r="Y1809" s="4">
        <v>2193.4899999999998</v>
      </c>
      <c r="Z1809" s="4">
        <v>2193.4899999999998</v>
      </c>
      <c r="AA1809" s="4">
        <v>2193.4899999999998</v>
      </c>
      <c r="AB1809" s="3">
        <v>42562</v>
      </c>
      <c r="AC1809" t="s">
        <v>53</v>
      </c>
      <c r="AD1809" t="s">
        <v>53</v>
      </c>
      <c r="AK1809">
        <v>0</v>
      </c>
      <c r="AU1809" s="3">
        <v>42487</v>
      </c>
      <c r="AV1809" s="3">
        <v>42487</v>
      </c>
      <c r="AW1809" t="s">
        <v>54</v>
      </c>
      <c r="AX1809" t="str">
        <f t="shared" si="234"/>
        <v>ALTPRO</v>
      </c>
      <c r="AY1809" t="s">
        <v>93</v>
      </c>
    </row>
    <row r="1810" spans="1:51">
      <c r="A1810">
        <v>101701</v>
      </c>
      <c r="B1810" t="s">
        <v>272</v>
      </c>
      <c r="C1810" t="str">
        <f>"01509880629"</f>
        <v>01509880629</v>
      </c>
      <c r="D1810" t="str">
        <f>"PRCVCN79D42A783I"</f>
        <v>PRCVCN79D42A783I</v>
      </c>
      <c r="E1810" t="s">
        <v>52</v>
      </c>
      <c r="F1810">
        <v>2016</v>
      </c>
      <c r="G1810" t="str">
        <f>"         FATTPA 5_16"</f>
        <v xml:space="preserve">         FATTPA 5_16</v>
      </c>
      <c r="H1810" s="3">
        <v>42516</v>
      </c>
      <c r="I1810" s="3">
        <v>42520</v>
      </c>
      <c r="J1810" s="3">
        <v>42516</v>
      </c>
      <c r="K1810" s="3">
        <v>42576</v>
      </c>
      <c r="L1810" s="5">
        <v>2109.1999999999998</v>
      </c>
      <c r="M1810">
        <v>-49</v>
      </c>
      <c r="N1810" s="5">
        <v>-103350.8</v>
      </c>
      <c r="O1810" s="4">
        <v>2109.1999999999998</v>
      </c>
      <c r="P1810">
        <v>-49</v>
      </c>
      <c r="Q1810" s="4">
        <v>-103350.8</v>
      </c>
      <c r="R1810">
        <v>0</v>
      </c>
      <c r="V1810" s="4">
        <v>2109.1999999999998</v>
      </c>
      <c r="W1810" s="4">
        <v>2109.1999999999998</v>
      </c>
      <c r="X1810" s="4">
        <v>2109.1999999999998</v>
      </c>
      <c r="Y1810" s="4">
        <v>2109.1999999999998</v>
      </c>
      <c r="Z1810" s="4">
        <v>2109.1999999999998</v>
      </c>
      <c r="AA1810" s="4">
        <v>2109.1999999999998</v>
      </c>
      <c r="AB1810" s="3">
        <v>42562</v>
      </c>
      <c r="AC1810" t="s">
        <v>53</v>
      </c>
      <c r="AD1810" t="s">
        <v>53</v>
      </c>
      <c r="AK1810">
        <v>0</v>
      </c>
      <c r="AU1810" s="3">
        <v>42527</v>
      </c>
      <c r="AV1810" s="3">
        <v>42527</v>
      </c>
      <c r="AW1810" t="s">
        <v>54</v>
      </c>
      <c r="AX1810" t="str">
        <f t="shared" si="234"/>
        <v>ALTPRO</v>
      </c>
      <c r="AY1810" t="s">
        <v>93</v>
      </c>
    </row>
    <row r="1811" spans="1:51" hidden="1">
      <c r="A1811">
        <v>101703</v>
      </c>
      <c r="B1811" t="s">
        <v>273</v>
      </c>
      <c r="C1811" t="str">
        <f>"09549001007"</f>
        <v>09549001007</v>
      </c>
      <c r="D1811" t="str">
        <f>"09549001007"</f>
        <v>09549001007</v>
      </c>
      <c r="E1811" t="s">
        <v>52</v>
      </c>
      <c r="F1811">
        <v>2015</v>
      </c>
      <c r="G1811" t="str">
        <f>"                  17"</f>
        <v xml:space="preserve">                  17</v>
      </c>
      <c r="H1811" s="3">
        <v>42201</v>
      </c>
      <c r="I1811" s="3">
        <v>42369</v>
      </c>
      <c r="J1811" s="3">
        <v>42369</v>
      </c>
      <c r="K1811" s="3">
        <v>42429</v>
      </c>
      <c r="L1811"/>
      <c r="N1811"/>
      <c r="O1811" s="4">
        <v>4200</v>
      </c>
      <c r="P1811">
        <v>-13</v>
      </c>
      <c r="Q1811" s="4">
        <v>-54600</v>
      </c>
      <c r="R1811">
        <v>0</v>
      </c>
      <c r="V1811">
        <v>0</v>
      </c>
      <c r="W1811">
        <v>0</v>
      </c>
      <c r="X1811">
        <v>0</v>
      </c>
      <c r="Y1811">
        <v>0</v>
      </c>
      <c r="Z1811">
        <v>0</v>
      </c>
      <c r="AA1811">
        <v>0</v>
      </c>
      <c r="AB1811" s="3">
        <v>42562</v>
      </c>
      <c r="AC1811" t="s">
        <v>53</v>
      </c>
      <c r="AD1811" t="s">
        <v>53</v>
      </c>
      <c r="AK1811">
        <v>0</v>
      </c>
      <c r="AU1811" s="3">
        <v>42416</v>
      </c>
      <c r="AV1811" s="3">
        <v>42416</v>
      </c>
      <c r="AW1811" t="s">
        <v>54</v>
      </c>
      <c r="AX1811" t="str">
        <f t="shared" ref="AX1811:AX1819" si="237">"FOR"</f>
        <v>FOR</v>
      </c>
      <c r="AY1811" t="s">
        <v>55</v>
      </c>
    </row>
    <row r="1812" spans="1:51" hidden="1">
      <c r="A1812">
        <v>101709</v>
      </c>
      <c r="B1812" t="s">
        <v>274</v>
      </c>
      <c r="C1812" t="str">
        <f>"06088781213"</f>
        <v>06088781213</v>
      </c>
      <c r="D1812" t="str">
        <f>"06088781213"</f>
        <v>06088781213</v>
      </c>
      <c r="E1812" t="s">
        <v>52</v>
      </c>
      <c r="F1812">
        <v>2015</v>
      </c>
      <c r="G1812" t="str">
        <f>"                3/86"</f>
        <v xml:space="preserve">                3/86</v>
      </c>
      <c r="H1812" s="3">
        <v>42299</v>
      </c>
      <c r="I1812" s="3">
        <v>42317</v>
      </c>
      <c r="J1812" s="3">
        <v>42313</v>
      </c>
      <c r="K1812" s="3">
        <v>42373</v>
      </c>
      <c r="L1812"/>
      <c r="N1812"/>
      <c r="O1812" s="4">
        <v>2100</v>
      </c>
      <c r="P1812">
        <v>42</v>
      </c>
      <c r="Q1812" s="4">
        <v>88200</v>
      </c>
      <c r="R1812">
        <v>0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 s="3">
        <v>42562</v>
      </c>
      <c r="AC1812" t="s">
        <v>53</v>
      </c>
      <c r="AD1812" t="s">
        <v>53</v>
      </c>
      <c r="AK1812">
        <v>0</v>
      </c>
      <c r="AU1812" s="3">
        <v>42415</v>
      </c>
      <c r="AV1812" s="3">
        <v>42415</v>
      </c>
      <c r="AW1812" t="s">
        <v>54</v>
      </c>
      <c r="AX1812" t="str">
        <f t="shared" si="237"/>
        <v>FOR</v>
      </c>
      <c r="AY1812" t="s">
        <v>55</v>
      </c>
    </row>
    <row r="1813" spans="1:51" hidden="1">
      <c r="A1813">
        <v>101709</v>
      </c>
      <c r="B1813" t="s">
        <v>274</v>
      </c>
      <c r="C1813" t="str">
        <f>"06088781213"</f>
        <v>06088781213</v>
      </c>
      <c r="D1813" t="str">
        <f>"06088781213"</f>
        <v>06088781213</v>
      </c>
      <c r="E1813" t="s">
        <v>52</v>
      </c>
      <c r="F1813">
        <v>2015</v>
      </c>
      <c r="G1813" t="str">
        <f>"               3/112"</f>
        <v xml:space="preserve">               3/112</v>
      </c>
      <c r="H1813" s="3">
        <v>42369</v>
      </c>
      <c r="I1813" s="3">
        <v>42403</v>
      </c>
      <c r="J1813" s="3">
        <v>42402</v>
      </c>
      <c r="K1813" s="3">
        <v>42462</v>
      </c>
      <c r="L1813"/>
      <c r="N1813"/>
      <c r="O1813" s="4">
        <v>1600</v>
      </c>
      <c r="P1813">
        <v>-47</v>
      </c>
      <c r="Q1813" s="4">
        <v>-75200</v>
      </c>
      <c r="R1813">
        <v>0</v>
      </c>
      <c r="V1813">
        <v>0</v>
      </c>
      <c r="W1813">
        <v>0</v>
      </c>
      <c r="X1813">
        <v>0</v>
      </c>
      <c r="Y1813">
        <v>0</v>
      </c>
      <c r="Z1813" s="4">
        <v>1952</v>
      </c>
      <c r="AA1813">
        <v>0</v>
      </c>
      <c r="AB1813" s="3">
        <v>42562</v>
      </c>
      <c r="AC1813" t="s">
        <v>53</v>
      </c>
      <c r="AD1813" t="s">
        <v>53</v>
      </c>
      <c r="AK1813">
        <v>0</v>
      </c>
      <c r="AU1813" s="3">
        <v>42415</v>
      </c>
      <c r="AV1813" s="3">
        <v>42415</v>
      </c>
      <c r="AW1813" t="s">
        <v>54</v>
      </c>
      <c r="AX1813" t="str">
        <f t="shared" si="237"/>
        <v>FOR</v>
      </c>
      <c r="AY1813" t="s">
        <v>55</v>
      </c>
    </row>
    <row r="1814" spans="1:51" hidden="1">
      <c r="A1814">
        <v>101710</v>
      </c>
      <c r="B1814" t="s">
        <v>275</v>
      </c>
      <c r="C1814" t="str">
        <f t="shared" ref="C1814:D1816" si="238">"07275210636"</f>
        <v>07275210636</v>
      </c>
      <c r="D1814" t="str">
        <f t="shared" si="238"/>
        <v>07275210636</v>
      </c>
      <c r="E1814" t="s">
        <v>52</v>
      </c>
      <c r="F1814">
        <v>2015</v>
      </c>
      <c r="G1814" t="str">
        <f>"               87/CV"</f>
        <v xml:space="preserve">               87/CV</v>
      </c>
      <c r="H1814" s="3">
        <v>42083</v>
      </c>
      <c r="I1814" s="3">
        <v>42089</v>
      </c>
      <c r="J1814" s="3">
        <v>42089</v>
      </c>
      <c r="K1814" s="3">
        <v>42149</v>
      </c>
      <c r="L1814"/>
      <c r="N1814"/>
      <c r="O1814" s="4">
        <v>29705.200000000001</v>
      </c>
      <c r="P1814">
        <v>254</v>
      </c>
      <c r="Q1814" s="4">
        <v>7545120.7999999998</v>
      </c>
      <c r="R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 s="3">
        <v>42562</v>
      </c>
      <c r="AC1814" t="s">
        <v>53</v>
      </c>
      <c r="AD1814" t="s">
        <v>53</v>
      </c>
      <c r="AK1814">
        <v>0</v>
      </c>
      <c r="AU1814" s="3">
        <v>42403</v>
      </c>
      <c r="AV1814" s="3">
        <v>42403</v>
      </c>
      <c r="AW1814" t="s">
        <v>54</v>
      </c>
      <c r="AX1814" t="str">
        <f t="shared" si="237"/>
        <v>FOR</v>
      </c>
      <c r="AY1814" t="s">
        <v>55</v>
      </c>
    </row>
    <row r="1815" spans="1:51">
      <c r="A1815">
        <v>101710</v>
      </c>
      <c r="B1815" t="s">
        <v>275</v>
      </c>
      <c r="C1815" t="str">
        <f t="shared" si="238"/>
        <v>07275210636</v>
      </c>
      <c r="D1815" t="str">
        <f t="shared" si="238"/>
        <v>07275210636</v>
      </c>
      <c r="E1815" t="s">
        <v>52</v>
      </c>
      <c r="F1815">
        <v>2015</v>
      </c>
      <c r="G1815" t="str">
        <f>"              198/CV"</f>
        <v xml:space="preserve">              198/CV</v>
      </c>
      <c r="H1815" s="3">
        <v>42181</v>
      </c>
      <c r="I1815" s="3">
        <v>42187</v>
      </c>
      <c r="J1815" s="3">
        <v>42184</v>
      </c>
      <c r="K1815" s="3">
        <v>42244</v>
      </c>
      <c r="L1815" s="5">
        <v>34200</v>
      </c>
      <c r="M1815">
        <v>276</v>
      </c>
      <c r="N1815" s="5">
        <v>9439200</v>
      </c>
      <c r="O1815" s="4">
        <v>34200</v>
      </c>
      <c r="P1815">
        <v>276</v>
      </c>
      <c r="Q1815" s="4">
        <v>9439200</v>
      </c>
      <c r="R1815">
        <v>0</v>
      </c>
      <c r="V1815">
        <v>0</v>
      </c>
      <c r="W1815">
        <v>0</v>
      </c>
      <c r="X1815">
        <v>0</v>
      </c>
      <c r="Y1815">
        <v>0</v>
      </c>
      <c r="Z1815">
        <v>0</v>
      </c>
      <c r="AA1815">
        <v>0</v>
      </c>
      <c r="AB1815" s="3">
        <v>42562</v>
      </c>
      <c r="AC1815" t="s">
        <v>53</v>
      </c>
      <c r="AD1815" t="s">
        <v>53</v>
      </c>
      <c r="AK1815">
        <v>0</v>
      </c>
      <c r="AU1815" s="3">
        <v>42520</v>
      </c>
      <c r="AV1815" s="3">
        <v>42520</v>
      </c>
      <c r="AW1815" t="s">
        <v>54</v>
      </c>
      <c r="AX1815" t="str">
        <f t="shared" si="237"/>
        <v>FOR</v>
      </c>
      <c r="AY1815" t="s">
        <v>55</v>
      </c>
    </row>
    <row r="1816" spans="1:51">
      <c r="A1816">
        <v>101710</v>
      </c>
      <c r="B1816" t="s">
        <v>275</v>
      </c>
      <c r="C1816" t="str">
        <f t="shared" si="238"/>
        <v>07275210636</v>
      </c>
      <c r="D1816" t="str">
        <f t="shared" si="238"/>
        <v>07275210636</v>
      </c>
      <c r="E1816" t="s">
        <v>52</v>
      </c>
      <c r="F1816">
        <v>2015</v>
      </c>
      <c r="G1816" t="str">
        <f>"              203/CV"</f>
        <v xml:space="preserve">              203/CV</v>
      </c>
      <c r="H1816" s="3">
        <v>42185</v>
      </c>
      <c r="I1816" s="3">
        <v>42198</v>
      </c>
      <c r="J1816" s="3">
        <v>42193</v>
      </c>
      <c r="K1816" s="3">
        <v>42253</v>
      </c>
      <c r="L1816" s="5">
        <v>3800</v>
      </c>
      <c r="M1816">
        <v>267</v>
      </c>
      <c r="N1816" s="5">
        <v>1014600</v>
      </c>
      <c r="O1816" s="4">
        <v>3800</v>
      </c>
      <c r="P1816">
        <v>267</v>
      </c>
      <c r="Q1816" s="4">
        <v>1014600</v>
      </c>
      <c r="R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 s="3">
        <v>42562</v>
      </c>
      <c r="AC1816" t="s">
        <v>53</v>
      </c>
      <c r="AD1816" t="s">
        <v>53</v>
      </c>
      <c r="AK1816">
        <v>0</v>
      </c>
      <c r="AU1816" s="3">
        <v>42520</v>
      </c>
      <c r="AV1816" s="3">
        <v>42520</v>
      </c>
      <c r="AW1816" t="s">
        <v>54</v>
      </c>
      <c r="AX1816" t="str">
        <f t="shared" si="237"/>
        <v>FOR</v>
      </c>
      <c r="AY1816" t="s">
        <v>55</v>
      </c>
    </row>
    <row r="1817" spans="1:51" hidden="1">
      <c r="A1817">
        <v>101711</v>
      </c>
      <c r="B1817" t="s">
        <v>276</v>
      </c>
      <c r="C1817" t="str">
        <f t="shared" ref="C1817:D1819" si="239">"06436131210"</f>
        <v>06436131210</v>
      </c>
      <c r="D1817" t="str">
        <f t="shared" si="239"/>
        <v>06436131210</v>
      </c>
      <c r="E1817" t="s">
        <v>52</v>
      </c>
      <c r="F1817">
        <v>2015</v>
      </c>
      <c r="G1817" t="str">
        <f>"               PA028"</f>
        <v xml:space="preserve">               PA028</v>
      </c>
      <c r="H1817" s="3">
        <v>42117</v>
      </c>
      <c r="I1817" s="3">
        <v>42172</v>
      </c>
      <c r="J1817" s="3">
        <v>42138</v>
      </c>
      <c r="K1817" s="3">
        <v>42198</v>
      </c>
      <c r="L1817"/>
      <c r="N1817"/>
      <c r="O1817" s="4">
        <v>2520</v>
      </c>
      <c r="P1817">
        <v>203</v>
      </c>
      <c r="Q1817" s="4">
        <v>511560</v>
      </c>
      <c r="R1817">
        <v>0</v>
      </c>
      <c r="V1817">
        <v>0</v>
      </c>
      <c r="W1817">
        <v>0</v>
      </c>
      <c r="X1817">
        <v>0</v>
      </c>
      <c r="Y1817">
        <v>0</v>
      </c>
      <c r="Z1817">
        <v>0</v>
      </c>
      <c r="AA1817">
        <v>0</v>
      </c>
      <c r="AB1817" s="3">
        <v>42562</v>
      </c>
      <c r="AC1817" t="s">
        <v>53</v>
      </c>
      <c r="AD1817" t="s">
        <v>53</v>
      </c>
      <c r="AK1817">
        <v>0</v>
      </c>
      <c r="AU1817" s="3">
        <v>42401</v>
      </c>
      <c r="AV1817" s="3">
        <v>42401</v>
      </c>
      <c r="AW1817" t="s">
        <v>54</v>
      </c>
      <c r="AX1817" t="str">
        <f t="shared" si="237"/>
        <v>FOR</v>
      </c>
      <c r="AY1817" t="s">
        <v>55</v>
      </c>
    </row>
    <row r="1818" spans="1:51" hidden="1">
      <c r="A1818">
        <v>101711</v>
      </c>
      <c r="B1818" t="s">
        <v>276</v>
      </c>
      <c r="C1818" t="str">
        <f t="shared" si="239"/>
        <v>06436131210</v>
      </c>
      <c r="D1818" t="str">
        <f t="shared" si="239"/>
        <v>06436131210</v>
      </c>
      <c r="E1818" t="s">
        <v>52</v>
      </c>
      <c r="F1818">
        <v>2015</v>
      </c>
      <c r="G1818" t="str">
        <f>"               PA132"</f>
        <v xml:space="preserve">               PA132</v>
      </c>
      <c r="H1818" s="3">
        <v>42205</v>
      </c>
      <c r="I1818" s="3">
        <v>42233</v>
      </c>
      <c r="J1818" s="3">
        <v>42207</v>
      </c>
      <c r="K1818" s="3">
        <v>42267</v>
      </c>
      <c r="L1818"/>
      <c r="N1818"/>
      <c r="O1818" s="4">
        <v>1591.8</v>
      </c>
      <c r="P1818">
        <v>134</v>
      </c>
      <c r="Q1818" s="4">
        <v>213301.2</v>
      </c>
      <c r="R1818">
        <v>0</v>
      </c>
      <c r="V1818">
        <v>0</v>
      </c>
      <c r="W1818">
        <v>0</v>
      </c>
      <c r="X1818">
        <v>0</v>
      </c>
      <c r="Y1818">
        <v>0</v>
      </c>
      <c r="Z1818">
        <v>0</v>
      </c>
      <c r="AA1818">
        <v>0</v>
      </c>
      <c r="AB1818" s="3">
        <v>42562</v>
      </c>
      <c r="AC1818" t="s">
        <v>53</v>
      </c>
      <c r="AD1818" t="s">
        <v>53</v>
      </c>
      <c r="AK1818">
        <v>0</v>
      </c>
      <c r="AU1818" s="3">
        <v>42401</v>
      </c>
      <c r="AV1818" s="3">
        <v>42401</v>
      </c>
      <c r="AW1818" t="s">
        <v>54</v>
      </c>
      <c r="AX1818" t="str">
        <f t="shared" si="237"/>
        <v>FOR</v>
      </c>
      <c r="AY1818" t="s">
        <v>55</v>
      </c>
    </row>
    <row r="1819" spans="1:51">
      <c r="A1819">
        <v>101711</v>
      </c>
      <c r="B1819" t="s">
        <v>276</v>
      </c>
      <c r="C1819" t="str">
        <f t="shared" si="239"/>
        <v>06436131210</v>
      </c>
      <c r="D1819" t="str">
        <f t="shared" si="239"/>
        <v>06436131210</v>
      </c>
      <c r="E1819" t="s">
        <v>52</v>
      </c>
      <c r="F1819">
        <v>2015</v>
      </c>
      <c r="G1819" t="str">
        <f>"               PA187"</f>
        <v xml:space="preserve">               PA187</v>
      </c>
      <c r="H1819" s="3">
        <v>42237</v>
      </c>
      <c r="I1819" s="3">
        <v>42258</v>
      </c>
      <c r="J1819" s="3">
        <v>42256</v>
      </c>
      <c r="K1819" s="3">
        <v>42316</v>
      </c>
      <c r="L1819" s="5">
        <v>1732.5</v>
      </c>
      <c r="M1819">
        <v>171</v>
      </c>
      <c r="N1819" s="5">
        <v>296257.5</v>
      </c>
      <c r="O1819" s="4">
        <v>1732.5</v>
      </c>
      <c r="P1819">
        <v>171</v>
      </c>
      <c r="Q1819" s="4">
        <v>296257.5</v>
      </c>
      <c r="R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 s="3">
        <v>42562</v>
      </c>
      <c r="AC1819" t="s">
        <v>53</v>
      </c>
      <c r="AD1819" t="s">
        <v>53</v>
      </c>
      <c r="AK1819">
        <v>0</v>
      </c>
      <c r="AU1819" s="3">
        <v>42487</v>
      </c>
      <c r="AV1819" s="3">
        <v>42487</v>
      </c>
      <c r="AW1819" t="s">
        <v>54</v>
      </c>
      <c r="AX1819" t="str">
        <f t="shared" si="237"/>
        <v>FOR</v>
      </c>
      <c r="AY1819" t="s">
        <v>55</v>
      </c>
    </row>
    <row r="1820" spans="1:51" hidden="1">
      <c r="A1820">
        <v>101713</v>
      </c>
      <c r="B1820" t="s">
        <v>277</v>
      </c>
      <c r="C1820" t="str">
        <f>""</f>
        <v/>
      </c>
      <c r="D1820" t="str">
        <f t="shared" ref="D1820:D1825" si="240">"CRFNGL58A13A024M"</f>
        <v>CRFNGL58A13A024M</v>
      </c>
      <c r="E1820" t="s">
        <v>52</v>
      </c>
      <c r="F1820">
        <v>2015</v>
      </c>
      <c r="G1820" t="str">
        <f>"                 301"</f>
        <v xml:space="preserve">                 301</v>
      </c>
      <c r="H1820" s="3">
        <v>42366</v>
      </c>
      <c r="I1820" s="3">
        <v>42366</v>
      </c>
      <c r="J1820" s="3">
        <v>42366</v>
      </c>
      <c r="K1820" s="3">
        <v>42426</v>
      </c>
      <c r="L1820"/>
      <c r="N1820"/>
      <c r="O1820" s="4">
        <v>1258.98</v>
      </c>
      <c r="P1820">
        <v>-46</v>
      </c>
      <c r="Q1820" s="4">
        <v>-57913.08</v>
      </c>
      <c r="R1820">
        <v>0</v>
      </c>
      <c r="V1820">
        <v>0</v>
      </c>
      <c r="W1820">
        <v>0</v>
      </c>
      <c r="X1820">
        <v>0</v>
      </c>
      <c r="Y1820">
        <v>0</v>
      </c>
      <c r="Z1820">
        <v>0</v>
      </c>
      <c r="AA1820">
        <v>0</v>
      </c>
      <c r="AB1820" s="3">
        <v>42562</v>
      </c>
      <c r="AC1820" t="s">
        <v>53</v>
      </c>
      <c r="AD1820" t="s">
        <v>53</v>
      </c>
      <c r="AK1820">
        <v>0</v>
      </c>
      <c r="AU1820" s="3">
        <v>42380</v>
      </c>
      <c r="AV1820" s="3">
        <v>42380</v>
      </c>
      <c r="AW1820" t="s">
        <v>54</v>
      </c>
      <c r="AX1820" t="str">
        <f t="shared" ref="AX1820:AX1827" si="241">"ALTPRO"</f>
        <v>ALTPRO</v>
      </c>
      <c r="AY1820" t="s">
        <v>93</v>
      </c>
    </row>
    <row r="1821" spans="1:51" hidden="1">
      <c r="A1821">
        <v>101713</v>
      </c>
      <c r="B1821" t="s">
        <v>277</v>
      </c>
      <c r="C1821" t="str">
        <f>""</f>
        <v/>
      </c>
      <c r="D1821" t="str">
        <f t="shared" si="240"/>
        <v>CRFNGL58A13A024M</v>
      </c>
      <c r="E1821" t="s">
        <v>52</v>
      </c>
      <c r="F1821">
        <v>2016</v>
      </c>
      <c r="G1821" t="str">
        <f>"                   5"</f>
        <v xml:space="preserve">                   5</v>
      </c>
      <c r="H1821" s="3">
        <v>42394</v>
      </c>
      <c r="I1821" s="3">
        <v>42394</v>
      </c>
      <c r="J1821" s="3">
        <v>42394</v>
      </c>
      <c r="K1821" s="3">
        <v>42454</v>
      </c>
      <c r="L1821"/>
      <c r="N1821"/>
      <c r="O1821" s="4">
        <v>1258.98</v>
      </c>
      <c r="P1821">
        <v>-57</v>
      </c>
      <c r="Q1821" s="4">
        <v>-71761.86</v>
      </c>
      <c r="R1821">
        <v>0</v>
      </c>
      <c r="V1821">
        <v>0</v>
      </c>
      <c r="W1821">
        <v>0</v>
      </c>
      <c r="X1821">
        <v>0</v>
      </c>
      <c r="Y1821" s="4">
        <v>1258.98</v>
      </c>
      <c r="Z1821" s="4">
        <v>1258.98</v>
      </c>
      <c r="AA1821" s="4">
        <v>1258.98</v>
      </c>
      <c r="AB1821" s="3">
        <v>42562</v>
      </c>
      <c r="AC1821" t="s">
        <v>53</v>
      </c>
      <c r="AD1821" t="s">
        <v>53</v>
      </c>
      <c r="AK1821">
        <v>0</v>
      </c>
      <c r="AU1821" s="3">
        <v>42397</v>
      </c>
      <c r="AV1821" s="3">
        <v>42397</v>
      </c>
      <c r="AW1821" t="s">
        <v>54</v>
      </c>
      <c r="AX1821" t="str">
        <f t="shared" si="241"/>
        <v>ALTPRO</v>
      </c>
      <c r="AY1821" t="s">
        <v>93</v>
      </c>
    </row>
    <row r="1822" spans="1:51" hidden="1">
      <c r="A1822">
        <v>101713</v>
      </c>
      <c r="B1822" t="s">
        <v>277</v>
      </c>
      <c r="C1822" t="str">
        <f>""</f>
        <v/>
      </c>
      <c r="D1822" t="str">
        <f t="shared" si="240"/>
        <v>CRFNGL58A13A024M</v>
      </c>
      <c r="E1822" t="s">
        <v>52</v>
      </c>
      <c r="F1822">
        <v>2016</v>
      </c>
      <c r="G1822" t="str">
        <f>"                  23"</f>
        <v xml:space="preserve">                  23</v>
      </c>
      <c r="H1822" s="3">
        <v>42426</v>
      </c>
      <c r="I1822" s="3">
        <v>42426</v>
      </c>
      <c r="J1822" s="3">
        <v>42426</v>
      </c>
      <c r="K1822" s="3">
        <v>42486</v>
      </c>
      <c r="L1822"/>
      <c r="N1822"/>
      <c r="O1822" s="4">
        <v>1258.98</v>
      </c>
      <c r="P1822">
        <v>-60</v>
      </c>
      <c r="Q1822" s="4">
        <v>-75538.8</v>
      </c>
      <c r="R1822">
        <v>0</v>
      </c>
      <c r="V1822">
        <v>0</v>
      </c>
      <c r="W1822">
        <v>0</v>
      </c>
      <c r="X1822">
        <v>0</v>
      </c>
      <c r="Y1822" s="4">
        <v>1258.98</v>
      </c>
      <c r="Z1822" s="4">
        <v>1258.98</v>
      </c>
      <c r="AA1822" s="4">
        <v>1258.98</v>
      </c>
      <c r="AB1822" s="3">
        <v>42562</v>
      </c>
      <c r="AC1822" t="s">
        <v>53</v>
      </c>
      <c r="AD1822" t="s">
        <v>53</v>
      </c>
      <c r="AK1822">
        <v>0</v>
      </c>
      <c r="AU1822" s="3">
        <v>42426</v>
      </c>
      <c r="AV1822" s="3">
        <v>42426</v>
      </c>
      <c r="AW1822" t="s">
        <v>54</v>
      </c>
      <c r="AX1822" t="str">
        <f t="shared" si="241"/>
        <v>ALTPRO</v>
      </c>
      <c r="AY1822" t="s">
        <v>93</v>
      </c>
    </row>
    <row r="1823" spans="1:51" hidden="1">
      <c r="A1823">
        <v>101713</v>
      </c>
      <c r="B1823" t="s">
        <v>277</v>
      </c>
      <c r="C1823" t="str">
        <f>""</f>
        <v/>
      </c>
      <c r="D1823" t="str">
        <f t="shared" si="240"/>
        <v>CRFNGL58A13A024M</v>
      </c>
      <c r="E1823" t="s">
        <v>52</v>
      </c>
      <c r="F1823">
        <v>2016</v>
      </c>
      <c r="G1823" t="str">
        <f>"                  64"</f>
        <v xml:space="preserve">                  64</v>
      </c>
      <c r="H1823" s="3">
        <v>42459</v>
      </c>
      <c r="I1823" s="3">
        <v>42459</v>
      </c>
      <c r="J1823" s="3">
        <v>42459</v>
      </c>
      <c r="K1823" s="3">
        <v>42519</v>
      </c>
      <c r="L1823"/>
      <c r="N1823"/>
      <c r="O1823" s="4">
        <v>1258.98</v>
      </c>
      <c r="P1823">
        <v>-60</v>
      </c>
      <c r="Q1823" s="4">
        <v>-75538.8</v>
      </c>
      <c r="R1823">
        <v>0</v>
      </c>
      <c r="V1823">
        <v>0</v>
      </c>
      <c r="W1823">
        <v>0</v>
      </c>
      <c r="X1823">
        <v>0</v>
      </c>
      <c r="Y1823" s="4">
        <v>1258.98</v>
      </c>
      <c r="Z1823" s="4">
        <v>1258.98</v>
      </c>
      <c r="AA1823" s="4">
        <v>1258.98</v>
      </c>
      <c r="AB1823" s="3">
        <v>42562</v>
      </c>
      <c r="AC1823" t="s">
        <v>53</v>
      </c>
      <c r="AD1823" t="s">
        <v>53</v>
      </c>
      <c r="AK1823">
        <v>0</v>
      </c>
      <c r="AU1823" s="3">
        <v>42459</v>
      </c>
      <c r="AV1823" s="3">
        <v>42459</v>
      </c>
      <c r="AW1823" t="s">
        <v>54</v>
      </c>
      <c r="AX1823" t="str">
        <f t="shared" si="241"/>
        <v>ALTPRO</v>
      </c>
      <c r="AY1823" t="s">
        <v>93</v>
      </c>
    </row>
    <row r="1824" spans="1:51">
      <c r="A1824">
        <v>101713</v>
      </c>
      <c r="B1824" t="s">
        <v>277</v>
      </c>
      <c r="C1824" t="str">
        <f>""</f>
        <v/>
      </c>
      <c r="D1824" t="str">
        <f t="shared" si="240"/>
        <v>CRFNGL58A13A024M</v>
      </c>
      <c r="E1824" t="s">
        <v>52</v>
      </c>
      <c r="F1824">
        <v>2016</v>
      </c>
      <c r="G1824" t="str">
        <f>"                 104"</f>
        <v xml:space="preserve">                 104</v>
      </c>
      <c r="H1824" s="3">
        <v>42489</v>
      </c>
      <c r="I1824" s="3">
        <v>42489</v>
      </c>
      <c r="J1824" s="3">
        <v>42489</v>
      </c>
      <c r="K1824" s="3">
        <v>42549</v>
      </c>
      <c r="L1824" s="5">
        <v>1258.98</v>
      </c>
      <c r="M1824">
        <v>-57</v>
      </c>
      <c r="N1824" s="5">
        <v>-71761.86</v>
      </c>
      <c r="O1824" s="4">
        <v>1258.98</v>
      </c>
      <c r="P1824">
        <v>-57</v>
      </c>
      <c r="Q1824" s="4">
        <v>-71761.86</v>
      </c>
      <c r="R1824">
        <v>0</v>
      </c>
      <c r="V1824" s="4">
        <v>1258.98</v>
      </c>
      <c r="W1824" s="4">
        <v>1258.98</v>
      </c>
      <c r="X1824" s="4">
        <v>1258.98</v>
      </c>
      <c r="Y1824" s="4">
        <v>1258.98</v>
      </c>
      <c r="Z1824" s="4">
        <v>1258.98</v>
      </c>
      <c r="AA1824" s="4">
        <v>1258.98</v>
      </c>
      <c r="AB1824" s="3">
        <v>42562</v>
      </c>
      <c r="AC1824" t="s">
        <v>53</v>
      </c>
      <c r="AD1824" t="s">
        <v>53</v>
      </c>
      <c r="AK1824">
        <v>0</v>
      </c>
      <c r="AU1824" s="3">
        <v>42492</v>
      </c>
      <c r="AV1824" s="3">
        <v>42492</v>
      </c>
      <c r="AW1824" t="s">
        <v>54</v>
      </c>
      <c r="AX1824" t="str">
        <f t="shared" si="241"/>
        <v>ALTPRO</v>
      </c>
      <c r="AY1824" t="s">
        <v>93</v>
      </c>
    </row>
    <row r="1825" spans="1:51">
      <c r="A1825">
        <v>101713</v>
      </c>
      <c r="B1825" t="s">
        <v>277</v>
      </c>
      <c r="C1825" t="str">
        <f>""</f>
        <v/>
      </c>
      <c r="D1825" t="str">
        <f t="shared" si="240"/>
        <v>CRFNGL58A13A024M</v>
      </c>
      <c r="E1825" t="s">
        <v>52</v>
      </c>
      <c r="F1825">
        <v>2016</v>
      </c>
      <c r="G1825" t="str">
        <f>"                 133"</f>
        <v xml:space="preserve">                 133</v>
      </c>
      <c r="H1825" s="3">
        <v>42524</v>
      </c>
      <c r="I1825" s="3">
        <v>42524</v>
      </c>
      <c r="J1825" s="3">
        <v>42524</v>
      </c>
      <c r="K1825" s="3">
        <v>42584</v>
      </c>
      <c r="L1825" s="5">
        <v>1258.98</v>
      </c>
      <c r="M1825">
        <v>-57</v>
      </c>
      <c r="N1825" s="5">
        <v>-71761.86</v>
      </c>
      <c r="O1825" s="4">
        <v>1258.98</v>
      </c>
      <c r="P1825">
        <v>-57</v>
      </c>
      <c r="Q1825" s="4">
        <v>-71761.86</v>
      </c>
      <c r="R1825">
        <v>0</v>
      </c>
      <c r="V1825" s="4">
        <v>1258.98</v>
      </c>
      <c r="W1825" s="4">
        <v>1258.98</v>
      </c>
      <c r="X1825" s="4">
        <v>1258.98</v>
      </c>
      <c r="Y1825" s="4">
        <v>1258.98</v>
      </c>
      <c r="Z1825" s="4">
        <v>1258.98</v>
      </c>
      <c r="AA1825" s="4">
        <v>1258.98</v>
      </c>
      <c r="AB1825" s="3">
        <v>42562</v>
      </c>
      <c r="AC1825" t="s">
        <v>53</v>
      </c>
      <c r="AD1825" t="s">
        <v>53</v>
      </c>
      <c r="AK1825">
        <v>0</v>
      </c>
      <c r="AU1825" s="3">
        <v>42527</v>
      </c>
      <c r="AV1825" s="3">
        <v>42527</v>
      </c>
      <c r="AW1825" t="s">
        <v>54</v>
      </c>
      <c r="AX1825" t="str">
        <f t="shared" si="241"/>
        <v>ALTPRO</v>
      </c>
      <c r="AY1825" t="s">
        <v>93</v>
      </c>
    </row>
    <row r="1826" spans="1:51" hidden="1">
      <c r="A1826">
        <v>101728</v>
      </c>
      <c r="B1826" t="s">
        <v>278</v>
      </c>
      <c r="C1826" t="str">
        <f>"06263410638"</f>
        <v>06263410638</v>
      </c>
      <c r="D1826" t="str">
        <f>"06263410638"</f>
        <v>06263410638</v>
      </c>
      <c r="E1826" t="s">
        <v>52</v>
      </c>
      <c r="F1826">
        <v>2016</v>
      </c>
      <c r="G1826" t="str">
        <f>"      16 elettronica"</f>
        <v xml:space="preserve">      16 elettronica</v>
      </c>
      <c r="H1826" s="3">
        <v>42408</v>
      </c>
      <c r="I1826" s="3">
        <v>42410</v>
      </c>
      <c r="J1826" s="3">
        <v>42408</v>
      </c>
      <c r="K1826" s="3">
        <v>42468</v>
      </c>
      <c r="L1826"/>
      <c r="N1826"/>
      <c r="O1826" s="4">
        <v>7839.33</v>
      </c>
      <c r="P1826">
        <v>-35</v>
      </c>
      <c r="Q1826" s="4">
        <v>-274376.55</v>
      </c>
      <c r="R1826">
        <v>0</v>
      </c>
      <c r="V1826">
        <v>0</v>
      </c>
      <c r="W1826">
        <v>0</v>
      </c>
      <c r="X1826">
        <v>0</v>
      </c>
      <c r="Y1826" s="4">
        <v>7839.33</v>
      </c>
      <c r="Z1826" s="4">
        <v>7839.33</v>
      </c>
      <c r="AA1826" s="4">
        <v>7839.33</v>
      </c>
      <c r="AB1826" s="3">
        <v>42562</v>
      </c>
      <c r="AC1826" t="s">
        <v>53</v>
      </c>
      <c r="AD1826" t="s">
        <v>53</v>
      </c>
      <c r="AK1826">
        <v>0</v>
      </c>
      <c r="AU1826" s="3">
        <v>42433</v>
      </c>
      <c r="AV1826" s="3">
        <v>42433</v>
      </c>
      <c r="AW1826" t="s">
        <v>54</v>
      </c>
      <c r="AX1826" t="str">
        <f t="shared" si="241"/>
        <v>ALTPRO</v>
      </c>
      <c r="AY1826" t="s">
        <v>93</v>
      </c>
    </row>
    <row r="1827" spans="1:51" hidden="1">
      <c r="A1827">
        <v>101728</v>
      </c>
      <c r="B1827" t="s">
        <v>278</v>
      </c>
      <c r="C1827" t="str">
        <f>"06263410638"</f>
        <v>06263410638</v>
      </c>
      <c r="D1827" t="str">
        <f>"06263410638"</f>
        <v>06263410638</v>
      </c>
      <c r="E1827" t="s">
        <v>52</v>
      </c>
      <c r="F1827">
        <v>2016</v>
      </c>
      <c r="G1827" t="str">
        <f>"      18 elettronica"</f>
        <v xml:space="preserve">      18 elettronica</v>
      </c>
      <c r="H1827" s="3">
        <v>42431</v>
      </c>
      <c r="I1827" s="3">
        <v>42436</v>
      </c>
      <c r="J1827" s="3">
        <v>42436</v>
      </c>
      <c r="K1827" s="3">
        <v>42496</v>
      </c>
      <c r="L1827"/>
      <c r="N1827"/>
      <c r="O1827" s="4">
        <v>4895.66</v>
      </c>
      <c r="P1827">
        <v>-45</v>
      </c>
      <c r="Q1827" s="4">
        <v>-220304.7</v>
      </c>
      <c r="R1827">
        <v>0</v>
      </c>
      <c r="V1827">
        <v>0</v>
      </c>
      <c r="W1827">
        <v>0</v>
      </c>
      <c r="X1827">
        <v>0</v>
      </c>
      <c r="Y1827" s="4">
        <v>4895.66</v>
      </c>
      <c r="Z1827" s="4">
        <v>4895.66</v>
      </c>
      <c r="AA1827" s="4">
        <v>4895.66</v>
      </c>
      <c r="AB1827" s="3">
        <v>42562</v>
      </c>
      <c r="AC1827" t="s">
        <v>53</v>
      </c>
      <c r="AD1827" t="s">
        <v>53</v>
      </c>
      <c r="AK1827">
        <v>0</v>
      </c>
      <c r="AU1827" s="3">
        <v>42451</v>
      </c>
      <c r="AV1827" s="3">
        <v>42451</v>
      </c>
      <c r="AW1827" t="s">
        <v>54</v>
      </c>
      <c r="AX1827" t="str">
        <f t="shared" si="241"/>
        <v>ALTPRO</v>
      </c>
      <c r="AY1827" t="s">
        <v>93</v>
      </c>
    </row>
    <row r="1828" spans="1:51" hidden="1">
      <c r="A1828">
        <v>101729</v>
      </c>
      <c r="B1828" t="s">
        <v>279</v>
      </c>
      <c r="C1828" t="str">
        <f>"00840200158"</f>
        <v>00840200158</v>
      </c>
      <c r="D1828" t="str">
        <f>"00840200158"</f>
        <v>00840200158</v>
      </c>
      <c r="E1828" t="s">
        <v>52</v>
      </c>
      <c r="F1828">
        <v>2015</v>
      </c>
      <c r="G1828" t="str">
        <f>"          2015V00089"</f>
        <v xml:space="preserve">          2015V00089</v>
      </c>
      <c r="H1828" s="3">
        <v>42093</v>
      </c>
      <c r="I1828" s="3">
        <v>42102</v>
      </c>
      <c r="J1828" s="3">
        <v>42102</v>
      </c>
      <c r="K1828" s="3">
        <v>42162</v>
      </c>
      <c r="L1828"/>
      <c r="N1828"/>
      <c r="O1828" s="4">
        <v>1292.24</v>
      </c>
      <c r="P1828">
        <v>242</v>
      </c>
      <c r="Q1828" s="4">
        <v>312722.08</v>
      </c>
      <c r="R1828">
        <v>0</v>
      </c>
      <c r="V1828">
        <v>0</v>
      </c>
      <c r="W1828">
        <v>0</v>
      </c>
      <c r="X1828">
        <v>0</v>
      </c>
      <c r="Y1828">
        <v>0</v>
      </c>
      <c r="Z1828">
        <v>0</v>
      </c>
      <c r="AA1828">
        <v>0</v>
      </c>
      <c r="AB1828" s="3">
        <v>42562</v>
      </c>
      <c r="AC1828" t="s">
        <v>53</v>
      </c>
      <c r="AD1828" t="s">
        <v>53</v>
      </c>
      <c r="AK1828">
        <v>0</v>
      </c>
      <c r="AU1828" s="3">
        <v>42404</v>
      </c>
      <c r="AV1828" s="3">
        <v>42404</v>
      </c>
      <c r="AW1828" t="s">
        <v>54</v>
      </c>
      <c r="AX1828" t="str">
        <f t="shared" ref="AX1828:AX1891" si="242">"FOR"</f>
        <v>FOR</v>
      </c>
      <c r="AY1828" t="s">
        <v>55</v>
      </c>
    </row>
    <row r="1829" spans="1:51" hidden="1">
      <c r="A1829">
        <v>101732</v>
      </c>
      <c r="B1829" t="s">
        <v>280</v>
      </c>
      <c r="C1829" t="str">
        <f>"00980351001"</f>
        <v>00980351001</v>
      </c>
      <c r="D1829" t="str">
        <f>"01270690587"</f>
        <v>01270690587</v>
      </c>
      <c r="E1829" t="s">
        <v>52</v>
      </c>
      <c r="F1829">
        <v>2015</v>
      </c>
      <c r="G1829" t="str">
        <f>"                 208"</f>
        <v xml:space="preserve">                 208</v>
      </c>
      <c r="H1829" s="3">
        <v>42062</v>
      </c>
      <c r="I1829" s="3">
        <v>42412</v>
      </c>
      <c r="J1829" s="3">
        <v>42412</v>
      </c>
      <c r="K1829" s="3">
        <v>42472</v>
      </c>
      <c r="L1829"/>
      <c r="N1829"/>
      <c r="O1829" s="4">
        <v>2600</v>
      </c>
      <c r="P1829">
        <v>-43</v>
      </c>
      <c r="Q1829" s="4">
        <v>-111800</v>
      </c>
      <c r="R1829">
        <v>0</v>
      </c>
      <c r="V1829">
        <v>0</v>
      </c>
      <c r="W1829">
        <v>0</v>
      </c>
      <c r="X1829">
        <v>0</v>
      </c>
      <c r="Y1829">
        <v>0</v>
      </c>
      <c r="Z1829" s="4">
        <v>3172</v>
      </c>
      <c r="AA1829">
        <v>0</v>
      </c>
      <c r="AB1829" s="3">
        <v>42562</v>
      </c>
      <c r="AC1829" t="s">
        <v>53</v>
      </c>
      <c r="AD1829" t="s">
        <v>53</v>
      </c>
      <c r="AK1829">
        <v>0</v>
      </c>
      <c r="AU1829" s="3">
        <v>42429</v>
      </c>
      <c r="AV1829" s="3">
        <v>42429</v>
      </c>
      <c r="AW1829" t="s">
        <v>54</v>
      </c>
      <c r="AX1829" t="str">
        <f t="shared" si="242"/>
        <v>FOR</v>
      </c>
      <c r="AY1829" t="s">
        <v>55</v>
      </c>
    </row>
    <row r="1830" spans="1:51" hidden="1">
      <c r="A1830">
        <v>101732</v>
      </c>
      <c r="B1830" t="s">
        <v>280</v>
      </c>
      <c r="C1830" t="str">
        <f>"00980351001"</f>
        <v>00980351001</v>
      </c>
      <c r="D1830" t="str">
        <f>"01270690587"</f>
        <v>01270690587</v>
      </c>
      <c r="E1830" t="s">
        <v>52</v>
      </c>
      <c r="F1830">
        <v>2015</v>
      </c>
      <c r="G1830" t="str">
        <f>"              387/00"</f>
        <v xml:space="preserve">              387/00</v>
      </c>
      <c r="H1830" s="3">
        <v>42124</v>
      </c>
      <c r="I1830" s="3">
        <v>42142</v>
      </c>
      <c r="J1830" s="3">
        <v>42138</v>
      </c>
      <c r="K1830" s="3">
        <v>42198</v>
      </c>
      <c r="L1830"/>
      <c r="N1830"/>
      <c r="O1830" s="4">
        <v>2600</v>
      </c>
      <c r="P1830">
        <v>203</v>
      </c>
      <c r="Q1830" s="4">
        <v>527800</v>
      </c>
      <c r="R1830">
        <v>0</v>
      </c>
      <c r="V1830">
        <v>0</v>
      </c>
      <c r="W1830">
        <v>0</v>
      </c>
      <c r="X1830">
        <v>0</v>
      </c>
      <c r="Y1830">
        <v>0</v>
      </c>
      <c r="Z1830">
        <v>0</v>
      </c>
      <c r="AA1830">
        <v>0</v>
      </c>
      <c r="AB1830" s="3">
        <v>42562</v>
      </c>
      <c r="AC1830" t="s">
        <v>53</v>
      </c>
      <c r="AD1830" t="s">
        <v>53</v>
      </c>
      <c r="AK1830">
        <v>0</v>
      </c>
      <c r="AU1830" s="3">
        <v>42401</v>
      </c>
      <c r="AV1830" s="3">
        <v>42401</v>
      </c>
      <c r="AW1830" t="s">
        <v>54</v>
      </c>
      <c r="AX1830" t="str">
        <f t="shared" si="242"/>
        <v>FOR</v>
      </c>
      <c r="AY1830" t="s">
        <v>55</v>
      </c>
    </row>
    <row r="1831" spans="1:51" hidden="1">
      <c r="A1831">
        <v>101732</v>
      </c>
      <c r="B1831" t="s">
        <v>280</v>
      </c>
      <c r="C1831" t="str">
        <f>"00980351001"</f>
        <v>00980351001</v>
      </c>
      <c r="D1831" t="str">
        <f>"01270690587"</f>
        <v>01270690587</v>
      </c>
      <c r="E1831" t="s">
        <v>52</v>
      </c>
      <c r="F1831">
        <v>2015</v>
      </c>
      <c r="G1831" t="str">
        <f>"              549/00"</f>
        <v xml:space="preserve">              549/00</v>
      </c>
      <c r="H1831" s="3">
        <v>42185</v>
      </c>
      <c r="I1831" s="3">
        <v>42191</v>
      </c>
      <c r="J1831" s="3">
        <v>42188</v>
      </c>
      <c r="K1831" s="3">
        <v>42248</v>
      </c>
      <c r="L1831"/>
      <c r="N1831"/>
      <c r="O1831" s="4">
        <v>2600</v>
      </c>
      <c r="P1831">
        <v>153</v>
      </c>
      <c r="Q1831" s="4">
        <v>397800</v>
      </c>
      <c r="R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 s="3">
        <v>42562</v>
      </c>
      <c r="AC1831" t="s">
        <v>53</v>
      </c>
      <c r="AD1831" t="s">
        <v>53</v>
      </c>
      <c r="AK1831">
        <v>0</v>
      </c>
      <c r="AU1831" s="3">
        <v>42401</v>
      </c>
      <c r="AV1831" s="3">
        <v>42401</v>
      </c>
      <c r="AW1831" t="s">
        <v>54</v>
      </c>
      <c r="AX1831" t="str">
        <f t="shared" si="242"/>
        <v>FOR</v>
      </c>
      <c r="AY1831" t="s">
        <v>55</v>
      </c>
    </row>
    <row r="1832" spans="1:51" hidden="1">
      <c r="A1832">
        <v>101732</v>
      </c>
      <c r="B1832" t="s">
        <v>280</v>
      </c>
      <c r="C1832" t="str">
        <f>"00980351001"</f>
        <v>00980351001</v>
      </c>
      <c r="D1832" t="str">
        <f>"01270690587"</f>
        <v>01270690587</v>
      </c>
      <c r="E1832" t="s">
        <v>52</v>
      </c>
      <c r="F1832">
        <v>2016</v>
      </c>
      <c r="G1832" t="str">
        <f>"                1/PA"</f>
        <v xml:space="preserve">                1/PA</v>
      </c>
      <c r="H1832" s="3">
        <v>42400</v>
      </c>
      <c r="I1832" s="3">
        <v>42410</v>
      </c>
      <c r="J1832" s="3">
        <v>42410</v>
      </c>
      <c r="K1832" s="3">
        <v>42470</v>
      </c>
      <c r="L1832"/>
      <c r="N1832"/>
      <c r="O1832" s="4">
        <v>2600</v>
      </c>
      <c r="P1832">
        <v>-17</v>
      </c>
      <c r="Q1832" s="4">
        <v>-44200</v>
      </c>
      <c r="R1832">
        <v>0</v>
      </c>
      <c r="V1832">
        <v>0</v>
      </c>
      <c r="W1832">
        <v>0</v>
      </c>
      <c r="X1832">
        <v>0</v>
      </c>
      <c r="Y1832" s="4">
        <v>3172</v>
      </c>
      <c r="Z1832" s="4">
        <v>3172</v>
      </c>
      <c r="AA1832" s="4">
        <v>3172</v>
      </c>
      <c r="AB1832" s="3">
        <v>42562</v>
      </c>
      <c r="AC1832" t="s">
        <v>53</v>
      </c>
      <c r="AD1832" t="s">
        <v>53</v>
      </c>
      <c r="AK1832">
        <v>0</v>
      </c>
      <c r="AU1832" s="3">
        <v>42453</v>
      </c>
      <c r="AV1832" s="3">
        <v>42453</v>
      </c>
      <c r="AW1832" t="s">
        <v>54</v>
      </c>
      <c r="AX1832" t="str">
        <f t="shared" si="242"/>
        <v>FOR</v>
      </c>
      <c r="AY1832" t="s">
        <v>55</v>
      </c>
    </row>
    <row r="1833" spans="1:51" hidden="1">
      <c r="A1833">
        <v>101735</v>
      </c>
      <c r="B1833" t="s">
        <v>281</v>
      </c>
      <c r="C1833" t="str">
        <f>"03581091216"</f>
        <v>03581091216</v>
      </c>
      <c r="D1833" t="str">
        <f>"03581091216"</f>
        <v>03581091216</v>
      </c>
      <c r="E1833" t="s">
        <v>52</v>
      </c>
      <c r="F1833">
        <v>2015</v>
      </c>
      <c r="G1833" t="str">
        <f>"                   7"</f>
        <v xml:space="preserve">                   7</v>
      </c>
      <c r="H1833" s="3">
        <v>42186</v>
      </c>
      <c r="I1833" s="3">
        <v>42202</v>
      </c>
      <c r="J1833" s="3">
        <v>42201</v>
      </c>
      <c r="K1833" s="3">
        <v>42261</v>
      </c>
      <c r="L1833"/>
      <c r="N1833"/>
      <c r="O1833" s="4">
        <v>6364.33</v>
      </c>
      <c r="P1833">
        <v>140</v>
      </c>
      <c r="Q1833" s="4">
        <v>891006.2</v>
      </c>
      <c r="R1833">
        <v>0</v>
      </c>
      <c r="V1833">
        <v>0</v>
      </c>
      <c r="W1833">
        <v>0</v>
      </c>
      <c r="X1833">
        <v>0</v>
      </c>
      <c r="Y1833">
        <v>0</v>
      </c>
      <c r="Z1833">
        <v>0</v>
      </c>
      <c r="AA1833">
        <v>0</v>
      </c>
      <c r="AB1833" s="3">
        <v>42562</v>
      </c>
      <c r="AC1833" t="s">
        <v>53</v>
      </c>
      <c r="AD1833" t="s">
        <v>53</v>
      </c>
      <c r="AK1833">
        <v>0</v>
      </c>
      <c r="AU1833" s="3">
        <v>42401</v>
      </c>
      <c r="AV1833" s="3">
        <v>42401</v>
      </c>
      <c r="AW1833" t="s">
        <v>54</v>
      </c>
      <c r="AX1833" t="str">
        <f t="shared" si="242"/>
        <v>FOR</v>
      </c>
      <c r="AY1833" t="s">
        <v>55</v>
      </c>
    </row>
    <row r="1834" spans="1:51" hidden="1">
      <c r="A1834">
        <v>101735</v>
      </c>
      <c r="B1834" t="s">
        <v>281</v>
      </c>
      <c r="C1834" t="str">
        <f>"03581091216"</f>
        <v>03581091216</v>
      </c>
      <c r="D1834" t="str">
        <f>"03581091216"</f>
        <v>03581091216</v>
      </c>
      <c r="E1834" t="s">
        <v>52</v>
      </c>
      <c r="F1834">
        <v>2015</v>
      </c>
      <c r="G1834" t="str">
        <f>"                   9"</f>
        <v xml:space="preserve">                   9</v>
      </c>
      <c r="H1834" s="3">
        <v>42205</v>
      </c>
      <c r="I1834" s="3">
        <v>42205</v>
      </c>
      <c r="J1834" s="3">
        <v>42205</v>
      </c>
      <c r="K1834" s="3">
        <v>42265</v>
      </c>
      <c r="L1834"/>
      <c r="N1834"/>
      <c r="O1834" s="4">
        <v>6364.33</v>
      </c>
      <c r="P1834">
        <v>136</v>
      </c>
      <c r="Q1834" s="4">
        <v>865548.88</v>
      </c>
      <c r="R1834">
        <v>0</v>
      </c>
      <c r="V1834">
        <v>0</v>
      </c>
      <c r="W1834">
        <v>0</v>
      </c>
      <c r="X1834">
        <v>0</v>
      </c>
      <c r="Y1834">
        <v>0</v>
      </c>
      <c r="Z1834">
        <v>0</v>
      </c>
      <c r="AA1834">
        <v>0</v>
      </c>
      <c r="AB1834" s="3">
        <v>42562</v>
      </c>
      <c r="AC1834" t="s">
        <v>53</v>
      </c>
      <c r="AD1834" t="s">
        <v>53</v>
      </c>
      <c r="AK1834">
        <v>0</v>
      </c>
      <c r="AU1834" s="3">
        <v>42401</v>
      </c>
      <c r="AV1834" s="3">
        <v>42401</v>
      </c>
      <c r="AW1834" t="s">
        <v>54</v>
      </c>
      <c r="AX1834" t="str">
        <f t="shared" si="242"/>
        <v>FOR</v>
      </c>
      <c r="AY1834" t="s">
        <v>55</v>
      </c>
    </row>
    <row r="1835" spans="1:51">
      <c r="A1835">
        <v>101741</v>
      </c>
      <c r="B1835" t="s">
        <v>282</v>
      </c>
      <c r="C1835" t="str">
        <f t="shared" ref="C1835:D1838" si="243">"01487150623"</f>
        <v>01487150623</v>
      </c>
      <c r="D1835" t="str">
        <f t="shared" si="243"/>
        <v>01487150623</v>
      </c>
      <c r="E1835" t="s">
        <v>52</v>
      </c>
      <c r="F1835">
        <v>2015</v>
      </c>
      <c r="G1835" t="str">
        <f>"              072015"</f>
        <v xml:space="preserve">              072015</v>
      </c>
      <c r="H1835" s="3">
        <v>42139</v>
      </c>
      <c r="I1835" s="3">
        <v>42165</v>
      </c>
      <c r="J1835" s="3">
        <v>42139</v>
      </c>
      <c r="K1835" s="3">
        <v>42199</v>
      </c>
      <c r="L1835" s="5">
        <v>90300</v>
      </c>
      <c r="M1835">
        <v>265</v>
      </c>
      <c r="N1835" s="5">
        <v>23929500</v>
      </c>
      <c r="O1835" s="4">
        <v>90300</v>
      </c>
      <c r="P1835">
        <v>265</v>
      </c>
      <c r="Q1835" s="4">
        <v>23929500</v>
      </c>
      <c r="R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 s="3">
        <v>42562</v>
      </c>
      <c r="AC1835" t="s">
        <v>53</v>
      </c>
      <c r="AD1835" t="s">
        <v>53</v>
      </c>
      <c r="AK1835">
        <v>0</v>
      </c>
      <c r="AU1835" s="3">
        <v>42464</v>
      </c>
      <c r="AV1835" s="3">
        <v>42464</v>
      </c>
      <c r="AW1835" t="s">
        <v>54</v>
      </c>
      <c r="AX1835" t="str">
        <f t="shared" si="242"/>
        <v>FOR</v>
      </c>
      <c r="AY1835" t="s">
        <v>55</v>
      </c>
    </row>
    <row r="1836" spans="1:51" hidden="1">
      <c r="A1836">
        <v>101741</v>
      </c>
      <c r="B1836" t="s">
        <v>282</v>
      </c>
      <c r="C1836" t="str">
        <f t="shared" si="243"/>
        <v>01487150623</v>
      </c>
      <c r="D1836" t="str">
        <f t="shared" si="243"/>
        <v>01487150623</v>
      </c>
      <c r="E1836" t="s">
        <v>52</v>
      </c>
      <c r="F1836">
        <v>2015</v>
      </c>
      <c r="G1836" t="str">
        <f>"             05 2015"</f>
        <v xml:space="preserve">             05 2015</v>
      </c>
      <c r="H1836" s="3">
        <v>42124</v>
      </c>
      <c r="I1836" s="3">
        <v>42191</v>
      </c>
      <c r="J1836" s="3">
        <v>42188</v>
      </c>
      <c r="K1836" s="3">
        <v>42248</v>
      </c>
      <c r="L1836"/>
      <c r="N1836"/>
      <c r="O1836" s="4">
        <v>41680.379999999997</v>
      </c>
      <c r="P1836">
        <v>155</v>
      </c>
      <c r="Q1836" s="4">
        <v>6460458.9000000004</v>
      </c>
      <c r="R1836">
        <v>0</v>
      </c>
      <c r="V1836">
        <v>0</v>
      </c>
      <c r="W1836">
        <v>0</v>
      </c>
      <c r="X1836">
        <v>0</v>
      </c>
      <c r="Y1836">
        <v>0</v>
      </c>
      <c r="Z1836">
        <v>0</v>
      </c>
      <c r="AA1836">
        <v>0</v>
      </c>
      <c r="AB1836" s="3">
        <v>42562</v>
      </c>
      <c r="AC1836" t="s">
        <v>53</v>
      </c>
      <c r="AD1836" t="s">
        <v>53</v>
      </c>
      <c r="AK1836">
        <v>0</v>
      </c>
      <c r="AU1836" s="3">
        <v>42403</v>
      </c>
      <c r="AV1836" s="3">
        <v>42403</v>
      </c>
      <c r="AW1836" t="s">
        <v>54</v>
      </c>
      <c r="AX1836" t="str">
        <f t="shared" si="242"/>
        <v>FOR</v>
      </c>
      <c r="AY1836" t="s">
        <v>55</v>
      </c>
    </row>
    <row r="1837" spans="1:51">
      <c r="A1837">
        <v>101741</v>
      </c>
      <c r="B1837" t="s">
        <v>282</v>
      </c>
      <c r="C1837" t="str">
        <f t="shared" si="243"/>
        <v>01487150623</v>
      </c>
      <c r="D1837" t="str">
        <f t="shared" si="243"/>
        <v>01487150623</v>
      </c>
      <c r="E1837" t="s">
        <v>52</v>
      </c>
      <c r="F1837">
        <v>2015</v>
      </c>
      <c r="G1837" t="str">
        <f>"             10/2015"</f>
        <v xml:space="preserve">             10/2015</v>
      </c>
      <c r="H1837" s="3">
        <v>42185</v>
      </c>
      <c r="I1837" s="3">
        <v>42187</v>
      </c>
      <c r="J1837" s="3">
        <v>42185</v>
      </c>
      <c r="K1837" s="3">
        <v>42245</v>
      </c>
      <c r="L1837" s="5">
        <v>41680.379999999997</v>
      </c>
      <c r="M1837">
        <v>247</v>
      </c>
      <c r="N1837" s="5">
        <v>10295053.859999999</v>
      </c>
      <c r="O1837" s="4">
        <v>41680.379999999997</v>
      </c>
      <c r="P1837">
        <v>247</v>
      </c>
      <c r="Q1837" s="4">
        <v>10295053.859999999</v>
      </c>
      <c r="R1837">
        <v>0</v>
      </c>
      <c r="V1837">
        <v>0</v>
      </c>
      <c r="W1837">
        <v>0</v>
      </c>
      <c r="X1837">
        <v>0</v>
      </c>
      <c r="Y1837">
        <v>0</v>
      </c>
      <c r="Z1837">
        <v>0</v>
      </c>
      <c r="AA1837">
        <v>0</v>
      </c>
      <c r="AB1837" s="3">
        <v>42562</v>
      </c>
      <c r="AC1837" t="s">
        <v>53</v>
      </c>
      <c r="AD1837" t="s">
        <v>53</v>
      </c>
      <c r="AK1837">
        <v>0</v>
      </c>
      <c r="AU1837" s="3">
        <v>42492</v>
      </c>
      <c r="AV1837" s="3">
        <v>42492</v>
      </c>
      <c r="AW1837" t="s">
        <v>54</v>
      </c>
      <c r="AX1837" t="str">
        <f t="shared" si="242"/>
        <v>FOR</v>
      </c>
      <c r="AY1837" t="s">
        <v>55</v>
      </c>
    </row>
    <row r="1838" spans="1:51">
      <c r="A1838">
        <v>101741</v>
      </c>
      <c r="B1838" t="s">
        <v>282</v>
      </c>
      <c r="C1838" t="str">
        <f t="shared" si="243"/>
        <v>01487150623</v>
      </c>
      <c r="D1838" t="str">
        <f t="shared" si="243"/>
        <v>01487150623</v>
      </c>
      <c r="E1838" t="s">
        <v>52</v>
      </c>
      <c r="F1838">
        <v>2015</v>
      </c>
      <c r="G1838" t="str">
        <f>"             13/2015"</f>
        <v xml:space="preserve">             13/2015</v>
      </c>
      <c r="H1838" s="3">
        <v>42247</v>
      </c>
      <c r="I1838" s="3">
        <v>42248</v>
      </c>
      <c r="J1838" s="3">
        <v>42247</v>
      </c>
      <c r="K1838" s="3">
        <v>42307</v>
      </c>
      <c r="L1838" s="5">
        <v>41680.379999999997</v>
      </c>
      <c r="M1838">
        <v>221</v>
      </c>
      <c r="N1838" s="5">
        <v>9211363.9800000004</v>
      </c>
      <c r="O1838" s="4">
        <v>41680.379999999997</v>
      </c>
      <c r="P1838">
        <v>221</v>
      </c>
      <c r="Q1838" s="4">
        <v>9211363.9800000004</v>
      </c>
      <c r="R1838" s="4">
        <v>9169.68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 s="3">
        <v>42562</v>
      </c>
      <c r="AC1838" t="s">
        <v>53</v>
      </c>
      <c r="AD1838" t="s">
        <v>53</v>
      </c>
      <c r="AK1838" s="4">
        <v>9169.68</v>
      </c>
      <c r="AU1838" s="3">
        <v>42528</v>
      </c>
      <c r="AV1838" s="3">
        <v>42528</v>
      </c>
      <c r="AW1838" t="s">
        <v>54</v>
      </c>
      <c r="AX1838" t="str">
        <f t="shared" si="242"/>
        <v>FOR</v>
      </c>
      <c r="AY1838" t="s">
        <v>55</v>
      </c>
    </row>
    <row r="1839" spans="1:51" hidden="1">
      <c r="A1839">
        <v>101747</v>
      </c>
      <c r="B1839" t="s">
        <v>283</v>
      </c>
      <c r="C1839" t="str">
        <f t="shared" ref="C1839:C1846" si="244">"01018080620"</f>
        <v>01018080620</v>
      </c>
      <c r="D1839" t="str">
        <f t="shared" ref="D1839:D1846" si="245">"ZTTRSM69D02L254H"</f>
        <v>ZTTRSM69D02L254H</v>
      </c>
      <c r="E1839" t="s">
        <v>52</v>
      </c>
      <c r="F1839">
        <v>2015</v>
      </c>
      <c r="G1839" t="str">
        <f>"             68/2015"</f>
        <v xml:space="preserve">             68/2015</v>
      </c>
      <c r="H1839" s="3">
        <v>42094</v>
      </c>
      <c r="I1839" s="3">
        <v>42345</v>
      </c>
      <c r="J1839" s="3">
        <v>42344</v>
      </c>
      <c r="K1839" s="3">
        <v>42404</v>
      </c>
      <c r="L1839"/>
      <c r="N1839"/>
      <c r="O1839">
        <v>35.33</v>
      </c>
      <c r="P1839">
        <v>-1</v>
      </c>
      <c r="Q1839">
        <v>-35.33</v>
      </c>
      <c r="R1839">
        <v>7.77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 s="3">
        <v>42562</v>
      </c>
      <c r="AC1839" t="s">
        <v>53</v>
      </c>
      <c r="AD1839" t="s">
        <v>53</v>
      </c>
      <c r="AI1839">
        <v>7.77</v>
      </c>
      <c r="AK1839">
        <v>0</v>
      </c>
      <c r="AU1839" s="3">
        <v>42403</v>
      </c>
      <c r="AV1839" s="3">
        <v>42403</v>
      </c>
      <c r="AW1839" t="s">
        <v>54</v>
      </c>
      <c r="AX1839" t="str">
        <f t="shared" si="242"/>
        <v>FOR</v>
      </c>
      <c r="AY1839" t="s">
        <v>55</v>
      </c>
    </row>
    <row r="1840" spans="1:51" hidden="1">
      <c r="A1840">
        <v>101747</v>
      </c>
      <c r="B1840" t="s">
        <v>283</v>
      </c>
      <c r="C1840" t="str">
        <f t="shared" si="244"/>
        <v>01018080620</v>
      </c>
      <c r="D1840" t="str">
        <f t="shared" si="245"/>
        <v>ZTTRSM69D02L254H</v>
      </c>
      <c r="E1840" t="s">
        <v>52</v>
      </c>
      <c r="F1840">
        <v>2015</v>
      </c>
      <c r="G1840" t="str">
        <f>"             97/2015"</f>
        <v xml:space="preserve">             97/2015</v>
      </c>
      <c r="H1840" s="3">
        <v>42124</v>
      </c>
      <c r="I1840" s="3">
        <v>42345</v>
      </c>
      <c r="J1840" s="3">
        <v>42344</v>
      </c>
      <c r="K1840" s="3">
        <v>42404</v>
      </c>
      <c r="L1840"/>
      <c r="N1840"/>
      <c r="O1840">
        <v>110.17</v>
      </c>
      <c r="P1840">
        <v>-1</v>
      </c>
      <c r="Q1840">
        <v>-110.17</v>
      </c>
      <c r="R1840">
        <v>24.24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 s="3">
        <v>42562</v>
      </c>
      <c r="AC1840" t="s">
        <v>53</v>
      </c>
      <c r="AD1840" t="s">
        <v>53</v>
      </c>
      <c r="AI1840">
        <v>24.24</v>
      </c>
      <c r="AK1840">
        <v>0</v>
      </c>
      <c r="AU1840" s="3">
        <v>42403</v>
      </c>
      <c r="AV1840" s="3">
        <v>42403</v>
      </c>
      <c r="AW1840" t="s">
        <v>54</v>
      </c>
      <c r="AX1840" t="str">
        <f t="shared" si="242"/>
        <v>FOR</v>
      </c>
      <c r="AY1840" t="s">
        <v>55</v>
      </c>
    </row>
    <row r="1841" spans="1:51" hidden="1">
      <c r="A1841">
        <v>101747</v>
      </c>
      <c r="B1841" t="s">
        <v>283</v>
      </c>
      <c r="C1841" t="str">
        <f t="shared" si="244"/>
        <v>01018080620</v>
      </c>
      <c r="D1841" t="str">
        <f t="shared" si="245"/>
        <v>ZTTRSM69D02L254H</v>
      </c>
      <c r="E1841" t="s">
        <v>52</v>
      </c>
      <c r="F1841">
        <v>2015</v>
      </c>
      <c r="G1841" t="str">
        <f>"            151/2015"</f>
        <v xml:space="preserve">            151/2015</v>
      </c>
      <c r="H1841" s="3">
        <v>42185</v>
      </c>
      <c r="I1841" s="3">
        <v>42345</v>
      </c>
      <c r="J1841" s="3">
        <v>42344</v>
      </c>
      <c r="K1841" s="3">
        <v>42404</v>
      </c>
      <c r="L1841"/>
      <c r="N1841"/>
      <c r="O1841">
        <v>31.97</v>
      </c>
      <c r="P1841">
        <v>-1</v>
      </c>
      <c r="Q1841">
        <v>-31.97</v>
      </c>
      <c r="R1841">
        <v>7.03</v>
      </c>
      <c r="V1841">
        <v>0</v>
      </c>
      <c r="W1841">
        <v>0</v>
      </c>
      <c r="X1841">
        <v>0</v>
      </c>
      <c r="Y1841">
        <v>0</v>
      </c>
      <c r="Z1841">
        <v>0</v>
      </c>
      <c r="AA1841">
        <v>0</v>
      </c>
      <c r="AB1841" s="3">
        <v>42562</v>
      </c>
      <c r="AC1841" t="s">
        <v>53</v>
      </c>
      <c r="AD1841" t="s">
        <v>53</v>
      </c>
      <c r="AI1841">
        <v>7.03</v>
      </c>
      <c r="AK1841">
        <v>0</v>
      </c>
      <c r="AU1841" s="3">
        <v>42403</v>
      </c>
      <c r="AV1841" s="3">
        <v>42403</v>
      </c>
      <c r="AW1841" t="s">
        <v>54</v>
      </c>
      <c r="AX1841" t="str">
        <f t="shared" si="242"/>
        <v>FOR</v>
      </c>
      <c r="AY1841" t="s">
        <v>55</v>
      </c>
    </row>
    <row r="1842" spans="1:51" hidden="1">
      <c r="A1842">
        <v>101747</v>
      </c>
      <c r="B1842" t="s">
        <v>283</v>
      </c>
      <c r="C1842" t="str">
        <f t="shared" si="244"/>
        <v>01018080620</v>
      </c>
      <c r="D1842" t="str">
        <f t="shared" si="245"/>
        <v>ZTTRSM69D02L254H</v>
      </c>
      <c r="E1842" t="s">
        <v>52</v>
      </c>
      <c r="F1842">
        <v>2015</v>
      </c>
      <c r="G1842" t="str">
        <f>"            184/2015"</f>
        <v xml:space="preserve">            184/2015</v>
      </c>
      <c r="H1842" s="3">
        <v>42216</v>
      </c>
      <c r="I1842" s="3">
        <v>42345</v>
      </c>
      <c r="J1842" s="3">
        <v>42344</v>
      </c>
      <c r="K1842" s="3">
        <v>42404</v>
      </c>
      <c r="L1842"/>
      <c r="N1842"/>
      <c r="O1842">
        <v>33.61</v>
      </c>
      <c r="P1842">
        <v>-1</v>
      </c>
      <c r="Q1842">
        <v>-33.61</v>
      </c>
      <c r="R1842">
        <v>7.4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 s="3">
        <v>42562</v>
      </c>
      <c r="AC1842" t="s">
        <v>53</v>
      </c>
      <c r="AD1842" t="s">
        <v>53</v>
      </c>
      <c r="AI1842">
        <v>7.4</v>
      </c>
      <c r="AK1842">
        <v>0</v>
      </c>
      <c r="AU1842" s="3">
        <v>42403</v>
      </c>
      <c r="AV1842" s="3">
        <v>42403</v>
      </c>
      <c r="AW1842" t="s">
        <v>54</v>
      </c>
      <c r="AX1842" t="str">
        <f t="shared" si="242"/>
        <v>FOR</v>
      </c>
      <c r="AY1842" t="s">
        <v>55</v>
      </c>
    </row>
    <row r="1843" spans="1:51" hidden="1">
      <c r="A1843">
        <v>101747</v>
      </c>
      <c r="B1843" t="s">
        <v>283</v>
      </c>
      <c r="C1843" t="str">
        <f t="shared" si="244"/>
        <v>01018080620</v>
      </c>
      <c r="D1843" t="str">
        <f t="shared" si="245"/>
        <v>ZTTRSM69D02L254H</v>
      </c>
      <c r="E1843" t="s">
        <v>52</v>
      </c>
      <c r="F1843">
        <v>2015</v>
      </c>
      <c r="G1843" t="str">
        <f>"            207/2015"</f>
        <v xml:space="preserve">            207/2015</v>
      </c>
      <c r="H1843" s="3">
        <v>42247</v>
      </c>
      <c r="I1843" s="3">
        <v>42345</v>
      </c>
      <c r="J1843" s="3">
        <v>42344</v>
      </c>
      <c r="K1843" s="3">
        <v>42404</v>
      </c>
      <c r="L1843"/>
      <c r="N1843"/>
      <c r="O1843">
        <v>62.09</v>
      </c>
      <c r="P1843">
        <v>-1</v>
      </c>
      <c r="Q1843">
        <v>-62.09</v>
      </c>
      <c r="R1843">
        <v>13.66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 s="3">
        <v>42562</v>
      </c>
      <c r="AC1843" t="s">
        <v>53</v>
      </c>
      <c r="AD1843" t="s">
        <v>53</v>
      </c>
      <c r="AI1843">
        <v>13.66</v>
      </c>
      <c r="AK1843">
        <v>0</v>
      </c>
      <c r="AU1843" s="3">
        <v>42403</v>
      </c>
      <c r="AV1843" s="3">
        <v>42403</v>
      </c>
      <c r="AW1843" t="s">
        <v>54</v>
      </c>
      <c r="AX1843" t="str">
        <f t="shared" si="242"/>
        <v>FOR</v>
      </c>
      <c r="AY1843" t="s">
        <v>55</v>
      </c>
    </row>
    <row r="1844" spans="1:51" hidden="1">
      <c r="A1844">
        <v>101747</v>
      </c>
      <c r="B1844" t="s">
        <v>283</v>
      </c>
      <c r="C1844" t="str">
        <f t="shared" si="244"/>
        <v>01018080620</v>
      </c>
      <c r="D1844" t="str">
        <f t="shared" si="245"/>
        <v>ZTTRSM69D02L254H</v>
      </c>
      <c r="E1844" t="s">
        <v>52</v>
      </c>
      <c r="F1844">
        <v>2015</v>
      </c>
      <c r="G1844" t="str">
        <f>"            246/2015"</f>
        <v xml:space="preserve">            246/2015</v>
      </c>
      <c r="H1844" s="3">
        <v>42277</v>
      </c>
      <c r="I1844" s="3">
        <v>42345</v>
      </c>
      <c r="J1844" s="3">
        <v>42345</v>
      </c>
      <c r="K1844" s="3">
        <v>42405</v>
      </c>
      <c r="L1844"/>
      <c r="N1844"/>
      <c r="O1844">
        <v>572.52</v>
      </c>
      <c r="P1844">
        <v>-2</v>
      </c>
      <c r="Q1844" s="4">
        <v>-1145.04</v>
      </c>
      <c r="R1844">
        <v>125.96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 s="3">
        <v>42562</v>
      </c>
      <c r="AC1844" t="s">
        <v>53</v>
      </c>
      <c r="AD1844" t="s">
        <v>53</v>
      </c>
      <c r="AI1844">
        <v>125.96</v>
      </c>
      <c r="AK1844">
        <v>0</v>
      </c>
      <c r="AU1844" s="3">
        <v>42403</v>
      </c>
      <c r="AV1844" s="3">
        <v>42403</v>
      </c>
      <c r="AW1844" t="s">
        <v>54</v>
      </c>
      <c r="AX1844" t="str">
        <f t="shared" si="242"/>
        <v>FOR</v>
      </c>
      <c r="AY1844" t="s">
        <v>55</v>
      </c>
    </row>
    <row r="1845" spans="1:51" hidden="1">
      <c r="A1845">
        <v>101747</v>
      </c>
      <c r="B1845" t="s">
        <v>283</v>
      </c>
      <c r="C1845" t="str">
        <f t="shared" si="244"/>
        <v>01018080620</v>
      </c>
      <c r="D1845" t="str">
        <f t="shared" si="245"/>
        <v>ZTTRSM69D02L254H</v>
      </c>
      <c r="E1845" t="s">
        <v>52</v>
      </c>
      <c r="F1845">
        <v>2015</v>
      </c>
      <c r="G1845" t="str">
        <f>"            293/2015"</f>
        <v xml:space="preserve">            293/2015</v>
      </c>
      <c r="H1845" s="3">
        <v>42308</v>
      </c>
      <c r="I1845" s="3">
        <v>42352</v>
      </c>
      <c r="J1845" s="3">
        <v>42347</v>
      </c>
      <c r="K1845" s="3">
        <v>42407</v>
      </c>
      <c r="L1845"/>
      <c r="N1845"/>
      <c r="O1845">
        <v>236.75</v>
      </c>
      <c r="P1845">
        <v>-4</v>
      </c>
      <c r="Q1845">
        <v>-947</v>
      </c>
      <c r="R1845">
        <v>52.09</v>
      </c>
      <c r="V1845">
        <v>0</v>
      </c>
      <c r="W1845">
        <v>0</v>
      </c>
      <c r="X1845">
        <v>0</v>
      </c>
      <c r="Y1845">
        <v>0</v>
      </c>
      <c r="Z1845">
        <v>0</v>
      </c>
      <c r="AA1845">
        <v>0</v>
      </c>
      <c r="AB1845" s="3">
        <v>42562</v>
      </c>
      <c r="AC1845" t="s">
        <v>53</v>
      </c>
      <c r="AD1845" t="s">
        <v>53</v>
      </c>
      <c r="AI1845">
        <v>52.09</v>
      </c>
      <c r="AK1845">
        <v>0</v>
      </c>
      <c r="AU1845" s="3">
        <v>42403</v>
      </c>
      <c r="AV1845" s="3">
        <v>42403</v>
      </c>
      <c r="AW1845" t="s">
        <v>54</v>
      </c>
      <c r="AX1845" t="str">
        <f t="shared" si="242"/>
        <v>FOR</v>
      </c>
      <c r="AY1845" t="s">
        <v>55</v>
      </c>
    </row>
    <row r="1846" spans="1:51" hidden="1">
      <c r="A1846">
        <v>101747</v>
      </c>
      <c r="B1846" t="s">
        <v>283</v>
      </c>
      <c r="C1846" t="str">
        <f t="shared" si="244"/>
        <v>01018080620</v>
      </c>
      <c r="D1846" t="str">
        <f t="shared" si="245"/>
        <v>ZTTRSM69D02L254H</v>
      </c>
      <c r="E1846" t="s">
        <v>52</v>
      </c>
      <c r="F1846">
        <v>2015</v>
      </c>
      <c r="G1846" t="str">
        <f>"            316/2015"</f>
        <v xml:space="preserve">            316/2015</v>
      </c>
      <c r="H1846" s="3">
        <v>42338</v>
      </c>
      <c r="I1846" s="3">
        <v>42352</v>
      </c>
      <c r="J1846" s="3">
        <v>42347</v>
      </c>
      <c r="K1846" s="3">
        <v>42407</v>
      </c>
      <c r="L1846"/>
      <c r="N1846"/>
      <c r="O1846">
        <v>13.53</v>
      </c>
      <c r="P1846">
        <v>-4</v>
      </c>
      <c r="Q1846">
        <v>-54.12</v>
      </c>
      <c r="R1846">
        <v>2.98</v>
      </c>
      <c r="V1846">
        <v>0</v>
      </c>
      <c r="W1846">
        <v>0</v>
      </c>
      <c r="X1846">
        <v>0</v>
      </c>
      <c r="Y1846">
        <v>0</v>
      </c>
      <c r="Z1846">
        <v>0</v>
      </c>
      <c r="AA1846">
        <v>0</v>
      </c>
      <c r="AB1846" s="3">
        <v>42562</v>
      </c>
      <c r="AC1846" t="s">
        <v>53</v>
      </c>
      <c r="AD1846" t="s">
        <v>53</v>
      </c>
      <c r="AI1846">
        <v>2.98</v>
      </c>
      <c r="AK1846">
        <v>0</v>
      </c>
      <c r="AU1846" s="3">
        <v>42403</v>
      </c>
      <c r="AV1846" s="3">
        <v>42403</v>
      </c>
      <c r="AW1846" t="s">
        <v>54</v>
      </c>
      <c r="AX1846" t="str">
        <f t="shared" si="242"/>
        <v>FOR</v>
      </c>
      <c r="AY1846" t="s">
        <v>55</v>
      </c>
    </row>
    <row r="1847" spans="1:51" hidden="1">
      <c r="A1847">
        <v>101754</v>
      </c>
      <c r="B1847" t="s">
        <v>284</v>
      </c>
      <c r="C1847" t="str">
        <f t="shared" ref="C1847:D1865" si="246">"07328871210"</f>
        <v>07328871210</v>
      </c>
      <c r="D1847" t="str">
        <f t="shared" si="246"/>
        <v>07328871210</v>
      </c>
      <c r="E1847" t="s">
        <v>52</v>
      </c>
      <c r="F1847">
        <v>2015</v>
      </c>
      <c r="G1847" t="str">
        <f>"                 572"</f>
        <v xml:space="preserve">                 572</v>
      </c>
      <c r="H1847" s="3">
        <v>42062</v>
      </c>
      <c r="I1847" s="3">
        <v>42108</v>
      </c>
      <c r="J1847" s="3">
        <v>42108</v>
      </c>
      <c r="K1847" s="3">
        <v>42168</v>
      </c>
      <c r="L1847"/>
      <c r="N1847"/>
      <c r="O1847">
        <v>855</v>
      </c>
      <c r="P1847">
        <v>236</v>
      </c>
      <c r="Q1847" s="4">
        <v>201780</v>
      </c>
      <c r="R1847">
        <v>0</v>
      </c>
      <c r="V1847">
        <v>0</v>
      </c>
      <c r="W1847">
        <v>0</v>
      </c>
      <c r="X1847">
        <v>0</v>
      </c>
      <c r="Y1847">
        <v>0</v>
      </c>
      <c r="Z1847">
        <v>0</v>
      </c>
      <c r="AA1847">
        <v>0</v>
      </c>
      <c r="AB1847" s="3">
        <v>42562</v>
      </c>
      <c r="AC1847" t="s">
        <v>53</v>
      </c>
      <c r="AD1847" t="s">
        <v>53</v>
      </c>
      <c r="AK1847">
        <v>0</v>
      </c>
      <c r="AU1847" s="3">
        <v>42404</v>
      </c>
      <c r="AV1847" s="3">
        <v>42404</v>
      </c>
      <c r="AW1847" t="s">
        <v>54</v>
      </c>
      <c r="AX1847" t="str">
        <f t="shared" si="242"/>
        <v>FOR</v>
      </c>
      <c r="AY1847" t="s">
        <v>55</v>
      </c>
    </row>
    <row r="1848" spans="1:51" hidden="1">
      <c r="A1848">
        <v>101754</v>
      </c>
      <c r="B1848" t="s">
        <v>284</v>
      </c>
      <c r="C1848" t="str">
        <f t="shared" si="246"/>
        <v>07328871210</v>
      </c>
      <c r="D1848" t="str">
        <f t="shared" si="246"/>
        <v>07328871210</v>
      </c>
      <c r="E1848" t="s">
        <v>52</v>
      </c>
      <c r="F1848">
        <v>2015</v>
      </c>
      <c r="G1848" t="str">
        <f>"                 573"</f>
        <v xml:space="preserve">                 573</v>
      </c>
      <c r="H1848" s="3">
        <v>42062</v>
      </c>
      <c r="I1848" s="3">
        <v>42108</v>
      </c>
      <c r="J1848" s="3">
        <v>42108</v>
      </c>
      <c r="K1848" s="3">
        <v>42168</v>
      </c>
      <c r="L1848"/>
      <c r="N1848"/>
      <c r="O1848" s="4">
        <v>1020</v>
      </c>
      <c r="P1848">
        <v>236</v>
      </c>
      <c r="Q1848" s="4">
        <v>240720</v>
      </c>
      <c r="R1848">
        <v>0</v>
      </c>
      <c r="V1848">
        <v>0</v>
      </c>
      <c r="W1848">
        <v>0</v>
      </c>
      <c r="X1848">
        <v>0</v>
      </c>
      <c r="Y1848">
        <v>0</v>
      </c>
      <c r="Z1848">
        <v>0</v>
      </c>
      <c r="AA1848">
        <v>0</v>
      </c>
      <c r="AB1848" s="3">
        <v>42562</v>
      </c>
      <c r="AC1848" t="s">
        <v>53</v>
      </c>
      <c r="AD1848" t="s">
        <v>53</v>
      </c>
      <c r="AK1848">
        <v>0</v>
      </c>
      <c r="AU1848" s="3">
        <v>42404</v>
      </c>
      <c r="AV1848" s="3">
        <v>42404</v>
      </c>
      <c r="AW1848" t="s">
        <v>54</v>
      </c>
      <c r="AX1848" t="str">
        <f t="shared" si="242"/>
        <v>FOR</v>
      </c>
      <c r="AY1848" t="s">
        <v>55</v>
      </c>
    </row>
    <row r="1849" spans="1:51" hidden="1">
      <c r="A1849">
        <v>101754</v>
      </c>
      <c r="B1849" t="s">
        <v>284</v>
      </c>
      <c r="C1849" t="str">
        <f t="shared" si="246"/>
        <v>07328871210</v>
      </c>
      <c r="D1849" t="str">
        <f t="shared" si="246"/>
        <v>07328871210</v>
      </c>
      <c r="E1849" t="s">
        <v>52</v>
      </c>
      <c r="F1849">
        <v>2015</v>
      </c>
      <c r="G1849" t="str">
        <f>"                 574"</f>
        <v xml:space="preserve">                 574</v>
      </c>
      <c r="H1849" s="3">
        <v>42062</v>
      </c>
      <c r="I1849" s="3">
        <v>42108</v>
      </c>
      <c r="J1849" s="3">
        <v>42108</v>
      </c>
      <c r="K1849" s="3">
        <v>42168</v>
      </c>
      <c r="L1849"/>
      <c r="N1849"/>
      <c r="O1849" s="4">
        <v>1450</v>
      </c>
      <c r="P1849">
        <v>236</v>
      </c>
      <c r="Q1849" s="4">
        <v>342200</v>
      </c>
      <c r="R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 s="3">
        <v>42562</v>
      </c>
      <c r="AC1849" t="s">
        <v>53</v>
      </c>
      <c r="AD1849" t="s">
        <v>53</v>
      </c>
      <c r="AK1849">
        <v>0</v>
      </c>
      <c r="AU1849" s="3">
        <v>42404</v>
      </c>
      <c r="AV1849" s="3">
        <v>42404</v>
      </c>
      <c r="AW1849" t="s">
        <v>54</v>
      </c>
      <c r="AX1849" t="str">
        <f t="shared" si="242"/>
        <v>FOR</v>
      </c>
      <c r="AY1849" t="s">
        <v>55</v>
      </c>
    </row>
    <row r="1850" spans="1:51" hidden="1">
      <c r="A1850">
        <v>101754</v>
      </c>
      <c r="B1850" t="s">
        <v>284</v>
      </c>
      <c r="C1850" t="str">
        <f t="shared" si="246"/>
        <v>07328871210</v>
      </c>
      <c r="D1850" t="str">
        <f t="shared" si="246"/>
        <v>07328871210</v>
      </c>
      <c r="E1850" t="s">
        <v>52</v>
      </c>
      <c r="F1850">
        <v>2015</v>
      </c>
      <c r="G1850" t="str">
        <f>"                 932"</f>
        <v xml:space="preserve">                 932</v>
      </c>
      <c r="H1850" s="3">
        <v>42093</v>
      </c>
      <c r="I1850" s="3">
        <v>42108</v>
      </c>
      <c r="J1850" s="3">
        <v>42108</v>
      </c>
      <c r="K1850" s="3">
        <v>42168</v>
      </c>
      <c r="L1850"/>
      <c r="N1850"/>
      <c r="O1850">
        <v>340</v>
      </c>
      <c r="P1850">
        <v>240</v>
      </c>
      <c r="Q1850" s="4">
        <v>81600</v>
      </c>
      <c r="R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 s="3">
        <v>42562</v>
      </c>
      <c r="AC1850" t="s">
        <v>53</v>
      </c>
      <c r="AD1850" t="s">
        <v>53</v>
      </c>
      <c r="AK1850">
        <v>0</v>
      </c>
      <c r="AU1850" s="3">
        <v>42408</v>
      </c>
      <c r="AV1850" s="3">
        <v>42408</v>
      </c>
      <c r="AW1850" t="s">
        <v>54</v>
      </c>
      <c r="AX1850" t="str">
        <f t="shared" si="242"/>
        <v>FOR</v>
      </c>
      <c r="AY1850" t="s">
        <v>55</v>
      </c>
    </row>
    <row r="1851" spans="1:51" hidden="1">
      <c r="A1851">
        <v>101754</v>
      </c>
      <c r="B1851" t="s">
        <v>284</v>
      </c>
      <c r="C1851" t="str">
        <f t="shared" si="246"/>
        <v>07328871210</v>
      </c>
      <c r="D1851" t="str">
        <f t="shared" si="246"/>
        <v>07328871210</v>
      </c>
      <c r="E1851" t="s">
        <v>52</v>
      </c>
      <c r="F1851">
        <v>2015</v>
      </c>
      <c r="G1851" t="str">
        <f>"                 933"</f>
        <v xml:space="preserve">                 933</v>
      </c>
      <c r="H1851" s="3">
        <v>42093</v>
      </c>
      <c r="I1851" s="3">
        <v>42108</v>
      </c>
      <c r="J1851" s="3">
        <v>42108</v>
      </c>
      <c r="K1851" s="3">
        <v>42168</v>
      </c>
      <c r="L1851"/>
      <c r="N1851"/>
      <c r="O1851">
        <v>417</v>
      </c>
      <c r="P1851">
        <v>240</v>
      </c>
      <c r="Q1851" s="4">
        <v>100080</v>
      </c>
      <c r="R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 s="3">
        <v>42562</v>
      </c>
      <c r="AC1851" t="s">
        <v>53</v>
      </c>
      <c r="AD1851" t="s">
        <v>53</v>
      </c>
      <c r="AK1851">
        <v>0</v>
      </c>
      <c r="AU1851" s="3">
        <v>42408</v>
      </c>
      <c r="AV1851" s="3">
        <v>42408</v>
      </c>
      <c r="AW1851" t="s">
        <v>54</v>
      </c>
      <c r="AX1851" t="str">
        <f t="shared" si="242"/>
        <v>FOR</v>
      </c>
      <c r="AY1851" t="s">
        <v>55</v>
      </c>
    </row>
    <row r="1852" spans="1:51" hidden="1">
      <c r="A1852">
        <v>101754</v>
      </c>
      <c r="B1852" t="s">
        <v>284</v>
      </c>
      <c r="C1852" t="str">
        <f t="shared" si="246"/>
        <v>07328871210</v>
      </c>
      <c r="D1852" t="str">
        <f t="shared" si="246"/>
        <v>07328871210</v>
      </c>
      <c r="E1852" t="s">
        <v>52</v>
      </c>
      <c r="F1852">
        <v>2015</v>
      </c>
      <c r="G1852" t="str">
        <f>"                 934"</f>
        <v xml:space="preserve">                 934</v>
      </c>
      <c r="H1852" s="3">
        <v>42093</v>
      </c>
      <c r="I1852" s="3">
        <v>42108</v>
      </c>
      <c r="J1852" s="3">
        <v>42108</v>
      </c>
      <c r="K1852" s="3">
        <v>42168</v>
      </c>
      <c r="L1852"/>
      <c r="N1852"/>
      <c r="O1852">
        <v>570</v>
      </c>
      <c r="P1852">
        <v>240</v>
      </c>
      <c r="Q1852" s="4">
        <v>136800</v>
      </c>
      <c r="R1852">
        <v>0</v>
      </c>
      <c r="V1852">
        <v>0</v>
      </c>
      <c r="W1852">
        <v>0</v>
      </c>
      <c r="X1852">
        <v>0</v>
      </c>
      <c r="Y1852">
        <v>0</v>
      </c>
      <c r="Z1852">
        <v>0</v>
      </c>
      <c r="AA1852">
        <v>0</v>
      </c>
      <c r="AB1852" s="3">
        <v>42562</v>
      </c>
      <c r="AC1852" t="s">
        <v>53</v>
      </c>
      <c r="AD1852" t="s">
        <v>53</v>
      </c>
      <c r="AK1852">
        <v>0</v>
      </c>
      <c r="AU1852" s="3">
        <v>42408</v>
      </c>
      <c r="AV1852" s="3">
        <v>42408</v>
      </c>
      <c r="AW1852" t="s">
        <v>54</v>
      </c>
      <c r="AX1852" t="str">
        <f t="shared" si="242"/>
        <v>FOR</v>
      </c>
      <c r="AY1852" t="s">
        <v>55</v>
      </c>
    </row>
    <row r="1853" spans="1:51" hidden="1">
      <c r="A1853">
        <v>101754</v>
      </c>
      <c r="B1853" t="s">
        <v>284</v>
      </c>
      <c r="C1853" t="str">
        <f t="shared" si="246"/>
        <v>07328871210</v>
      </c>
      <c r="D1853" t="str">
        <f t="shared" si="246"/>
        <v>07328871210</v>
      </c>
      <c r="E1853" t="s">
        <v>52</v>
      </c>
      <c r="F1853">
        <v>2015</v>
      </c>
      <c r="G1853" t="str">
        <f>"                1073"</f>
        <v xml:space="preserve">                1073</v>
      </c>
      <c r="H1853" s="3">
        <v>42093</v>
      </c>
      <c r="I1853" s="3">
        <v>42108</v>
      </c>
      <c r="J1853" s="3">
        <v>42108</v>
      </c>
      <c r="K1853" s="3">
        <v>42168</v>
      </c>
      <c r="L1853"/>
      <c r="N1853"/>
      <c r="O1853" s="4">
        <v>1020</v>
      </c>
      <c r="P1853">
        <v>240</v>
      </c>
      <c r="Q1853" s="4">
        <v>244800</v>
      </c>
      <c r="R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 s="3">
        <v>42562</v>
      </c>
      <c r="AC1853" t="s">
        <v>53</v>
      </c>
      <c r="AD1853" t="s">
        <v>53</v>
      </c>
      <c r="AK1853">
        <v>0</v>
      </c>
      <c r="AU1853" s="3">
        <v>42408</v>
      </c>
      <c r="AV1853" s="3">
        <v>42408</v>
      </c>
      <c r="AW1853" t="s">
        <v>54</v>
      </c>
      <c r="AX1853" t="str">
        <f t="shared" si="242"/>
        <v>FOR</v>
      </c>
      <c r="AY1853" t="s">
        <v>55</v>
      </c>
    </row>
    <row r="1854" spans="1:51" hidden="1">
      <c r="A1854">
        <v>101754</v>
      </c>
      <c r="B1854" t="s">
        <v>284</v>
      </c>
      <c r="C1854" t="str">
        <f t="shared" si="246"/>
        <v>07328871210</v>
      </c>
      <c r="D1854" t="str">
        <f t="shared" si="246"/>
        <v>07328871210</v>
      </c>
      <c r="E1854" t="s">
        <v>52</v>
      </c>
      <c r="F1854">
        <v>2015</v>
      </c>
      <c r="G1854" t="str">
        <f>"                1074"</f>
        <v xml:space="preserve">                1074</v>
      </c>
      <c r="H1854" s="3">
        <v>42093</v>
      </c>
      <c r="I1854" s="3">
        <v>42108</v>
      </c>
      <c r="J1854" s="3">
        <v>42108</v>
      </c>
      <c r="K1854" s="3">
        <v>42168</v>
      </c>
      <c r="L1854"/>
      <c r="N1854"/>
      <c r="O1854" s="4">
        <v>1387.6</v>
      </c>
      <c r="P1854">
        <v>240</v>
      </c>
      <c r="Q1854" s="4">
        <v>333024</v>
      </c>
      <c r="R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 s="3">
        <v>42562</v>
      </c>
      <c r="AC1854" t="s">
        <v>53</v>
      </c>
      <c r="AD1854" t="s">
        <v>53</v>
      </c>
      <c r="AK1854">
        <v>0</v>
      </c>
      <c r="AU1854" s="3">
        <v>42408</v>
      </c>
      <c r="AV1854" s="3">
        <v>42408</v>
      </c>
      <c r="AW1854" t="s">
        <v>54</v>
      </c>
      <c r="AX1854" t="str">
        <f t="shared" si="242"/>
        <v>FOR</v>
      </c>
      <c r="AY1854" t="s">
        <v>55</v>
      </c>
    </row>
    <row r="1855" spans="1:51" hidden="1">
      <c r="A1855">
        <v>101754</v>
      </c>
      <c r="B1855" t="s">
        <v>284</v>
      </c>
      <c r="C1855" t="str">
        <f t="shared" si="246"/>
        <v>07328871210</v>
      </c>
      <c r="D1855" t="str">
        <f t="shared" si="246"/>
        <v>07328871210</v>
      </c>
      <c r="E1855" t="s">
        <v>52</v>
      </c>
      <c r="F1855">
        <v>2015</v>
      </c>
      <c r="G1855" t="str">
        <f>"                1075"</f>
        <v xml:space="preserve">                1075</v>
      </c>
      <c r="H1855" s="3">
        <v>42093</v>
      </c>
      <c r="I1855" s="3">
        <v>42108</v>
      </c>
      <c r="J1855" s="3">
        <v>42108</v>
      </c>
      <c r="K1855" s="3">
        <v>42168</v>
      </c>
      <c r="L1855"/>
      <c r="N1855"/>
      <c r="O1855">
        <v>136.5</v>
      </c>
      <c r="P1855">
        <v>240</v>
      </c>
      <c r="Q1855" s="4">
        <v>32760</v>
      </c>
      <c r="R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 s="3">
        <v>42562</v>
      </c>
      <c r="AC1855" t="s">
        <v>53</v>
      </c>
      <c r="AD1855" t="s">
        <v>53</v>
      </c>
      <c r="AK1855">
        <v>0</v>
      </c>
      <c r="AU1855" s="3">
        <v>42408</v>
      </c>
      <c r="AV1855" s="3">
        <v>42408</v>
      </c>
      <c r="AW1855" t="s">
        <v>54</v>
      </c>
      <c r="AX1855" t="str">
        <f t="shared" si="242"/>
        <v>FOR</v>
      </c>
      <c r="AY1855" t="s">
        <v>55</v>
      </c>
    </row>
    <row r="1856" spans="1:51" hidden="1">
      <c r="A1856">
        <v>101754</v>
      </c>
      <c r="B1856" t="s">
        <v>284</v>
      </c>
      <c r="C1856" t="str">
        <f t="shared" si="246"/>
        <v>07328871210</v>
      </c>
      <c r="D1856" t="str">
        <f t="shared" si="246"/>
        <v>07328871210</v>
      </c>
      <c r="E1856" t="s">
        <v>52</v>
      </c>
      <c r="F1856">
        <v>2015</v>
      </c>
      <c r="G1856" t="str">
        <f>"               9/FEP"</f>
        <v xml:space="preserve">               9/FEP</v>
      </c>
      <c r="H1856" s="3">
        <v>42121</v>
      </c>
      <c r="I1856" s="3">
        <v>42131</v>
      </c>
      <c r="J1856" s="3">
        <v>42130</v>
      </c>
      <c r="K1856" s="3">
        <v>42190</v>
      </c>
      <c r="L1856"/>
      <c r="N1856"/>
      <c r="O1856">
        <v>134.4</v>
      </c>
      <c r="P1856">
        <v>241</v>
      </c>
      <c r="Q1856" s="4">
        <v>32390.400000000001</v>
      </c>
      <c r="R1856">
        <v>0</v>
      </c>
      <c r="V1856">
        <v>0</v>
      </c>
      <c r="W1856">
        <v>0</v>
      </c>
      <c r="X1856">
        <v>0</v>
      </c>
      <c r="Y1856">
        <v>0</v>
      </c>
      <c r="Z1856">
        <v>0</v>
      </c>
      <c r="AA1856">
        <v>0</v>
      </c>
      <c r="AB1856" s="3">
        <v>42562</v>
      </c>
      <c r="AC1856" t="s">
        <v>53</v>
      </c>
      <c r="AD1856" t="s">
        <v>53</v>
      </c>
      <c r="AK1856">
        <v>0</v>
      </c>
      <c r="AU1856" s="3">
        <v>42431</v>
      </c>
      <c r="AV1856" s="3">
        <v>42431</v>
      </c>
      <c r="AW1856" t="s">
        <v>54</v>
      </c>
      <c r="AX1856" t="str">
        <f t="shared" si="242"/>
        <v>FOR</v>
      </c>
      <c r="AY1856" t="s">
        <v>55</v>
      </c>
    </row>
    <row r="1857" spans="1:51" hidden="1">
      <c r="A1857">
        <v>101754</v>
      </c>
      <c r="B1857" t="s">
        <v>284</v>
      </c>
      <c r="C1857" t="str">
        <f t="shared" si="246"/>
        <v>07328871210</v>
      </c>
      <c r="D1857" t="str">
        <f t="shared" si="246"/>
        <v>07328871210</v>
      </c>
      <c r="E1857" t="s">
        <v>52</v>
      </c>
      <c r="F1857">
        <v>2015</v>
      </c>
      <c r="G1857" t="str">
        <f>"              10/FEP"</f>
        <v xml:space="preserve">              10/FEP</v>
      </c>
      <c r="H1857" s="3">
        <v>42121</v>
      </c>
      <c r="I1857" s="3">
        <v>42131</v>
      </c>
      <c r="J1857" s="3">
        <v>42130</v>
      </c>
      <c r="K1857" s="3">
        <v>42190</v>
      </c>
      <c r="L1857"/>
      <c r="N1857"/>
      <c r="O1857">
        <v>470.4</v>
      </c>
      <c r="P1857">
        <v>241</v>
      </c>
      <c r="Q1857" s="4">
        <v>113366.39999999999</v>
      </c>
      <c r="R1857">
        <v>0</v>
      </c>
      <c r="V1857">
        <v>0</v>
      </c>
      <c r="W1857">
        <v>0</v>
      </c>
      <c r="X1857">
        <v>0</v>
      </c>
      <c r="Y1857">
        <v>0</v>
      </c>
      <c r="Z1857">
        <v>0</v>
      </c>
      <c r="AA1857">
        <v>0</v>
      </c>
      <c r="AB1857" s="3">
        <v>42562</v>
      </c>
      <c r="AC1857" t="s">
        <v>53</v>
      </c>
      <c r="AD1857" t="s">
        <v>53</v>
      </c>
      <c r="AK1857">
        <v>0</v>
      </c>
      <c r="AU1857" s="3">
        <v>42431</v>
      </c>
      <c r="AV1857" s="3">
        <v>42431</v>
      </c>
      <c r="AW1857" t="s">
        <v>54</v>
      </c>
      <c r="AX1857" t="str">
        <f t="shared" si="242"/>
        <v>FOR</v>
      </c>
      <c r="AY1857" t="s">
        <v>55</v>
      </c>
    </row>
    <row r="1858" spans="1:51" hidden="1">
      <c r="A1858">
        <v>101754</v>
      </c>
      <c r="B1858" t="s">
        <v>284</v>
      </c>
      <c r="C1858" t="str">
        <f t="shared" si="246"/>
        <v>07328871210</v>
      </c>
      <c r="D1858" t="str">
        <f t="shared" si="246"/>
        <v>07328871210</v>
      </c>
      <c r="E1858" t="s">
        <v>52</v>
      </c>
      <c r="F1858">
        <v>2015</v>
      </c>
      <c r="G1858" t="str">
        <f>"              89/FEP"</f>
        <v xml:space="preserve">              89/FEP</v>
      </c>
      <c r="H1858" s="3">
        <v>42136</v>
      </c>
      <c r="I1858" s="3">
        <v>42139</v>
      </c>
      <c r="J1858" s="3">
        <v>42137</v>
      </c>
      <c r="K1858" s="3">
        <v>42197</v>
      </c>
      <c r="L1858"/>
      <c r="N1858"/>
      <c r="O1858" s="4">
        <v>1360</v>
      </c>
      <c r="P1858">
        <v>255</v>
      </c>
      <c r="Q1858" s="4">
        <v>346800</v>
      </c>
      <c r="R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>
        <v>0</v>
      </c>
      <c r="AB1858" s="3">
        <v>42562</v>
      </c>
      <c r="AC1858" t="s">
        <v>53</v>
      </c>
      <c r="AD1858" t="s">
        <v>53</v>
      </c>
      <c r="AK1858">
        <v>0</v>
      </c>
      <c r="AU1858" s="3">
        <v>42452</v>
      </c>
      <c r="AV1858" s="3">
        <v>42452</v>
      </c>
      <c r="AW1858" t="s">
        <v>54</v>
      </c>
      <c r="AX1858" t="str">
        <f t="shared" si="242"/>
        <v>FOR</v>
      </c>
      <c r="AY1858" t="s">
        <v>55</v>
      </c>
    </row>
    <row r="1859" spans="1:51" hidden="1">
      <c r="A1859">
        <v>101754</v>
      </c>
      <c r="B1859" t="s">
        <v>284</v>
      </c>
      <c r="C1859" t="str">
        <f t="shared" si="246"/>
        <v>07328871210</v>
      </c>
      <c r="D1859" t="str">
        <f t="shared" si="246"/>
        <v>07328871210</v>
      </c>
      <c r="E1859" t="s">
        <v>52</v>
      </c>
      <c r="F1859">
        <v>2015</v>
      </c>
      <c r="G1859" t="str">
        <f>"              90/FEP"</f>
        <v xml:space="preserve">              90/FEP</v>
      </c>
      <c r="H1859" s="3">
        <v>42136</v>
      </c>
      <c r="I1859" s="3">
        <v>42139</v>
      </c>
      <c r="J1859" s="3">
        <v>42137</v>
      </c>
      <c r="K1859" s="3">
        <v>42197</v>
      </c>
      <c r="L1859"/>
      <c r="N1859"/>
      <c r="O1859" s="4">
        <v>1450</v>
      </c>
      <c r="P1859">
        <v>255</v>
      </c>
      <c r="Q1859" s="4">
        <v>369750</v>
      </c>
      <c r="R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 s="3">
        <v>42562</v>
      </c>
      <c r="AC1859" t="s">
        <v>53</v>
      </c>
      <c r="AD1859" t="s">
        <v>53</v>
      </c>
      <c r="AK1859">
        <v>0</v>
      </c>
      <c r="AU1859" s="3">
        <v>42452</v>
      </c>
      <c r="AV1859" s="3">
        <v>42452</v>
      </c>
      <c r="AW1859" t="s">
        <v>54</v>
      </c>
      <c r="AX1859" t="str">
        <f t="shared" si="242"/>
        <v>FOR</v>
      </c>
      <c r="AY1859" t="s">
        <v>55</v>
      </c>
    </row>
    <row r="1860" spans="1:51" hidden="1">
      <c r="A1860">
        <v>101754</v>
      </c>
      <c r="B1860" t="s">
        <v>284</v>
      </c>
      <c r="C1860" t="str">
        <f t="shared" si="246"/>
        <v>07328871210</v>
      </c>
      <c r="D1860" t="str">
        <f t="shared" si="246"/>
        <v>07328871210</v>
      </c>
      <c r="E1860" t="s">
        <v>52</v>
      </c>
      <c r="F1860">
        <v>2015</v>
      </c>
      <c r="G1860" t="str">
        <f>"             159/FEP"</f>
        <v xml:space="preserve">             159/FEP</v>
      </c>
      <c r="H1860" s="3">
        <v>42150</v>
      </c>
      <c r="I1860" s="3">
        <v>42160</v>
      </c>
      <c r="J1860" s="3">
        <v>42152</v>
      </c>
      <c r="K1860" s="3">
        <v>42212</v>
      </c>
      <c r="L1860"/>
      <c r="N1860"/>
      <c r="O1860">
        <v>403.2</v>
      </c>
      <c r="P1860">
        <v>240</v>
      </c>
      <c r="Q1860" s="4">
        <v>96768</v>
      </c>
      <c r="R1860">
        <v>0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 s="3">
        <v>42562</v>
      </c>
      <c r="AC1860" t="s">
        <v>53</v>
      </c>
      <c r="AD1860" t="s">
        <v>53</v>
      </c>
      <c r="AK1860">
        <v>0</v>
      </c>
      <c r="AU1860" s="3">
        <v>42452</v>
      </c>
      <c r="AV1860" s="3">
        <v>42452</v>
      </c>
      <c r="AW1860" t="s">
        <v>54</v>
      </c>
      <c r="AX1860" t="str">
        <f t="shared" si="242"/>
        <v>FOR</v>
      </c>
      <c r="AY1860" t="s">
        <v>55</v>
      </c>
    </row>
    <row r="1861" spans="1:51" hidden="1">
      <c r="A1861">
        <v>101754</v>
      </c>
      <c r="B1861" t="s">
        <v>284</v>
      </c>
      <c r="C1861" t="str">
        <f t="shared" si="246"/>
        <v>07328871210</v>
      </c>
      <c r="D1861" t="str">
        <f t="shared" si="246"/>
        <v>07328871210</v>
      </c>
      <c r="E1861" t="s">
        <v>52</v>
      </c>
      <c r="F1861">
        <v>2015</v>
      </c>
      <c r="G1861" t="str">
        <f>"             188/FEP"</f>
        <v xml:space="preserve">             188/FEP</v>
      </c>
      <c r="H1861" s="3">
        <v>42153</v>
      </c>
      <c r="I1861" s="3">
        <v>42171</v>
      </c>
      <c r="J1861" s="3">
        <v>42170</v>
      </c>
      <c r="K1861" s="3">
        <v>42230</v>
      </c>
      <c r="L1861"/>
      <c r="N1861"/>
      <c r="O1861">
        <v>880</v>
      </c>
      <c r="P1861">
        <v>222</v>
      </c>
      <c r="Q1861" s="4">
        <v>195360</v>
      </c>
      <c r="R1861">
        <v>0</v>
      </c>
      <c r="V1861">
        <v>0</v>
      </c>
      <c r="W1861">
        <v>0</v>
      </c>
      <c r="X1861">
        <v>0</v>
      </c>
      <c r="Y1861">
        <v>0</v>
      </c>
      <c r="Z1861">
        <v>0</v>
      </c>
      <c r="AA1861">
        <v>0</v>
      </c>
      <c r="AB1861" s="3">
        <v>42562</v>
      </c>
      <c r="AC1861" t="s">
        <v>53</v>
      </c>
      <c r="AD1861" t="s">
        <v>53</v>
      </c>
      <c r="AK1861">
        <v>0</v>
      </c>
      <c r="AU1861" s="3">
        <v>42452</v>
      </c>
      <c r="AV1861" s="3">
        <v>42452</v>
      </c>
      <c r="AW1861" t="s">
        <v>54</v>
      </c>
      <c r="AX1861" t="str">
        <f t="shared" si="242"/>
        <v>FOR</v>
      </c>
      <c r="AY1861" t="s">
        <v>55</v>
      </c>
    </row>
    <row r="1862" spans="1:51">
      <c r="A1862">
        <v>101754</v>
      </c>
      <c r="B1862" t="s">
        <v>284</v>
      </c>
      <c r="C1862" t="str">
        <f t="shared" si="246"/>
        <v>07328871210</v>
      </c>
      <c r="D1862" t="str">
        <f t="shared" si="246"/>
        <v>07328871210</v>
      </c>
      <c r="E1862" t="s">
        <v>52</v>
      </c>
      <c r="F1862">
        <v>2015</v>
      </c>
      <c r="G1862" t="str">
        <f>"             222/FEP"</f>
        <v xml:space="preserve">             222/FEP</v>
      </c>
      <c r="H1862" s="3">
        <v>42167</v>
      </c>
      <c r="I1862" s="3">
        <v>42171</v>
      </c>
      <c r="J1862" s="3">
        <v>42170</v>
      </c>
      <c r="K1862" s="3">
        <v>42230</v>
      </c>
      <c r="L1862" s="1">
        <v>100.8</v>
      </c>
      <c r="M1862">
        <v>257</v>
      </c>
      <c r="N1862" s="5">
        <v>25905.599999999999</v>
      </c>
      <c r="O1862">
        <v>100.8</v>
      </c>
      <c r="P1862">
        <v>257</v>
      </c>
      <c r="Q1862" s="4">
        <v>25905.599999999999</v>
      </c>
      <c r="R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 s="3">
        <v>42562</v>
      </c>
      <c r="AC1862" t="s">
        <v>53</v>
      </c>
      <c r="AD1862" t="s">
        <v>53</v>
      </c>
      <c r="AK1862">
        <v>0</v>
      </c>
      <c r="AU1862" s="3">
        <v>42487</v>
      </c>
      <c r="AV1862" s="3">
        <v>42487</v>
      </c>
      <c r="AW1862" t="s">
        <v>54</v>
      </c>
      <c r="AX1862" t="str">
        <f t="shared" si="242"/>
        <v>FOR</v>
      </c>
      <c r="AY1862" t="s">
        <v>55</v>
      </c>
    </row>
    <row r="1863" spans="1:51">
      <c r="A1863">
        <v>101754</v>
      </c>
      <c r="B1863" t="s">
        <v>284</v>
      </c>
      <c r="C1863" t="str">
        <f t="shared" si="246"/>
        <v>07328871210</v>
      </c>
      <c r="D1863" t="str">
        <f t="shared" si="246"/>
        <v>07328871210</v>
      </c>
      <c r="E1863" t="s">
        <v>52</v>
      </c>
      <c r="F1863">
        <v>2015</v>
      </c>
      <c r="G1863" t="str">
        <f>"             223/FEP"</f>
        <v xml:space="preserve">             223/FEP</v>
      </c>
      <c r="H1863" s="3">
        <v>42167</v>
      </c>
      <c r="I1863" s="3">
        <v>42171</v>
      </c>
      <c r="J1863" s="3">
        <v>42170</v>
      </c>
      <c r="K1863" s="3">
        <v>42230</v>
      </c>
      <c r="L1863" s="5">
        <v>2085</v>
      </c>
      <c r="M1863">
        <v>257</v>
      </c>
      <c r="N1863" s="5">
        <v>535845</v>
      </c>
      <c r="O1863" s="4">
        <v>2085</v>
      </c>
      <c r="P1863">
        <v>257</v>
      </c>
      <c r="Q1863" s="4">
        <v>535845</v>
      </c>
      <c r="R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 s="3">
        <v>42562</v>
      </c>
      <c r="AC1863" t="s">
        <v>53</v>
      </c>
      <c r="AD1863" t="s">
        <v>53</v>
      </c>
      <c r="AK1863">
        <v>0</v>
      </c>
      <c r="AU1863" s="3">
        <v>42487</v>
      </c>
      <c r="AV1863" s="3">
        <v>42487</v>
      </c>
      <c r="AW1863" t="s">
        <v>54</v>
      </c>
      <c r="AX1863" t="str">
        <f t="shared" si="242"/>
        <v>FOR</v>
      </c>
      <c r="AY1863" t="s">
        <v>55</v>
      </c>
    </row>
    <row r="1864" spans="1:51">
      <c r="A1864">
        <v>101754</v>
      </c>
      <c r="B1864" t="s">
        <v>284</v>
      </c>
      <c r="C1864" t="str">
        <f t="shared" si="246"/>
        <v>07328871210</v>
      </c>
      <c r="D1864" t="str">
        <f t="shared" si="246"/>
        <v>07328871210</v>
      </c>
      <c r="E1864" t="s">
        <v>52</v>
      </c>
      <c r="F1864">
        <v>2015</v>
      </c>
      <c r="G1864" t="str">
        <f>"             303/FEP"</f>
        <v xml:space="preserve">             303/FEP</v>
      </c>
      <c r="H1864" s="3">
        <v>42185</v>
      </c>
      <c r="I1864" s="3">
        <v>42215</v>
      </c>
      <c r="J1864" s="3">
        <v>42214</v>
      </c>
      <c r="K1864" s="3">
        <v>42274</v>
      </c>
      <c r="L1864" s="5">
        <v>1140</v>
      </c>
      <c r="M1864">
        <v>213</v>
      </c>
      <c r="N1864" s="5">
        <v>242820</v>
      </c>
      <c r="O1864" s="4">
        <v>1140</v>
      </c>
      <c r="P1864">
        <v>213</v>
      </c>
      <c r="Q1864" s="4">
        <v>242820</v>
      </c>
      <c r="R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 s="3">
        <v>42562</v>
      </c>
      <c r="AC1864" t="s">
        <v>53</v>
      </c>
      <c r="AD1864" t="s">
        <v>53</v>
      </c>
      <c r="AK1864">
        <v>0</v>
      </c>
      <c r="AU1864" s="3">
        <v>42487</v>
      </c>
      <c r="AV1864" s="3">
        <v>42487</v>
      </c>
      <c r="AW1864" t="s">
        <v>54</v>
      </c>
      <c r="AX1864" t="str">
        <f t="shared" si="242"/>
        <v>FOR</v>
      </c>
      <c r="AY1864" t="s">
        <v>55</v>
      </c>
    </row>
    <row r="1865" spans="1:51">
      <c r="A1865">
        <v>101754</v>
      </c>
      <c r="B1865" t="s">
        <v>284</v>
      </c>
      <c r="C1865" t="str">
        <f t="shared" si="246"/>
        <v>07328871210</v>
      </c>
      <c r="D1865" t="str">
        <f t="shared" si="246"/>
        <v>07328871210</v>
      </c>
      <c r="E1865" t="s">
        <v>52</v>
      </c>
      <c r="F1865">
        <v>2015</v>
      </c>
      <c r="G1865" t="str">
        <f>"             304/FEP"</f>
        <v xml:space="preserve">             304/FEP</v>
      </c>
      <c r="H1865" s="3">
        <v>42185</v>
      </c>
      <c r="I1865" s="3">
        <v>42215</v>
      </c>
      <c r="J1865" s="3">
        <v>42214</v>
      </c>
      <c r="K1865" s="3">
        <v>42274</v>
      </c>
      <c r="L1865" s="1">
        <v>672</v>
      </c>
      <c r="M1865">
        <v>213</v>
      </c>
      <c r="N1865" s="5">
        <v>143136</v>
      </c>
      <c r="O1865">
        <v>672</v>
      </c>
      <c r="P1865">
        <v>213</v>
      </c>
      <c r="Q1865" s="4">
        <v>143136</v>
      </c>
      <c r="R1865">
        <v>0</v>
      </c>
      <c r="V1865">
        <v>0</v>
      </c>
      <c r="W1865">
        <v>0</v>
      </c>
      <c r="X1865">
        <v>0</v>
      </c>
      <c r="Y1865">
        <v>0</v>
      </c>
      <c r="Z1865">
        <v>0</v>
      </c>
      <c r="AA1865">
        <v>0</v>
      </c>
      <c r="AB1865" s="3">
        <v>42562</v>
      </c>
      <c r="AC1865" t="s">
        <v>53</v>
      </c>
      <c r="AD1865" t="s">
        <v>53</v>
      </c>
      <c r="AK1865">
        <v>0</v>
      </c>
      <c r="AU1865" s="3">
        <v>42487</v>
      </c>
      <c r="AV1865" s="3">
        <v>42487</v>
      </c>
      <c r="AW1865" t="s">
        <v>54</v>
      </c>
      <c r="AX1865" t="str">
        <f t="shared" si="242"/>
        <v>FOR</v>
      </c>
      <c r="AY1865" t="s">
        <v>55</v>
      </c>
    </row>
    <row r="1866" spans="1:51" hidden="1">
      <c r="A1866">
        <v>101759</v>
      </c>
      <c r="B1866" t="s">
        <v>285</v>
      </c>
      <c r="C1866" t="str">
        <f t="shared" ref="C1866:C1874" si="247">"01308430626"</f>
        <v>01308430626</v>
      </c>
      <c r="D1866" t="str">
        <f t="shared" ref="D1866:D1874" si="248">"VRSCMN80T31A783K"</f>
        <v>VRSCMN80T31A783K</v>
      </c>
      <c r="E1866" t="s">
        <v>52</v>
      </c>
      <c r="F1866">
        <v>2015</v>
      </c>
      <c r="G1866" t="str">
        <f>"                 230"</f>
        <v xml:space="preserve">                 230</v>
      </c>
      <c r="H1866" s="3">
        <v>42090</v>
      </c>
      <c r="I1866" s="3">
        <v>42095</v>
      </c>
      <c r="J1866" s="3">
        <v>42095</v>
      </c>
      <c r="K1866" s="3">
        <v>42155</v>
      </c>
      <c r="L1866"/>
      <c r="N1866"/>
      <c r="O1866">
        <v>763.13</v>
      </c>
      <c r="P1866">
        <v>249</v>
      </c>
      <c r="Q1866" s="4">
        <v>190019.37</v>
      </c>
      <c r="R1866">
        <v>0</v>
      </c>
      <c r="V1866">
        <v>0</v>
      </c>
      <c r="W1866">
        <v>0</v>
      </c>
      <c r="X1866">
        <v>0</v>
      </c>
      <c r="Y1866">
        <v>0</v>
      </c>
      <c r="Z1866">
        <v>0</v>
      </c>
      <c r="AA1866">
        <v>0</v>
      </c>
      <c r="AB1866" s="3">
        <v>42562</v>
      </c>
      <c r="AC1866" t="s">
        <v>53</v>
      </c>
      <c r="AD1866" t="s">
        <v>53</v>
      </c>
      <c r="AK1866">
        <v>0</v>
      </c>
      <c r="AU1866" s="3">
        <v>42404</v>
      </c>
      <c r="AV1866" s="3">
        <v>42404</v>
      </c>
      <c r="AW1866" t="s">
        <v>54</v>
      </c>
      <c r="AX1866" t="str">
        <f t="shared" si="242"/>
        <v>FOR</v>
      </c>
      <c r="AY1866" t="s">
        <v>55</v>
      </c>
    </row>
    <row r="1867" spans="1:51" hidden="1">
      <c r="A1867">
        <v>101759</v>
      </c>
      <c r="B1867" t="s">
        <v>285</v>
      </c>
      <c r="C1867" t="str">
        <f t="shared" si="247"/>
        <v>01308430626</v>
      </c>
      <c r="D1867" t="str">
        <f t="shared" si="248"/>
        <v>VRSCMN80T31A783K</v>
      </c>
      <c r="E1867" t="s">
        <v>52</v>
      </c>
      <c r="F1867">
        <v>2015</v>
      </c>
      <c r="G1867" t="str">
        <f>"                0154"</f>
        <v xml:space="preserve">                0154</v>
      </c>
      <c r="H1867" s="3">
        <v>42144</v>
      </c>
      <c r="I1867" s="3">
        <v>42165</v>
      </c>
      <c r="J1867" s="3">
        <v>42144</v>
      </c>
      <c r="K1867" s="3">
        <v>42204</v>
      </c>
      <c r="L1867"/>
      <c r="N1867"/>
      <c r="O1867">
        <v>430.61</v>
      </c>
      <c r="P1867">
        <v>249</v>
      </c>
      <c r="Q1867" s="4">
        <v>107221.89</v>
      </c>
      <c r="R1867">
        <v>0</v>
      </c>
      <c r="V1867">
        <v>0</v>
      </c>
      <c r="W1867">
        <v>0</v>
      </c>
      <c r="X1867">
        <v>0</v>
      </c>
      <c r="Y1867">
        <v>0</v>
      </c>
      <c r="Z1867">
        <v>0</v>
      </c>
      <c r="AA1867">
        <v>0</v>
      </c>
      <c r="AB1867" s="3">
        <v>42562</v>
      </c>
      <c r="AC1867" t="s">
        <v>53</v>
      </c>
      <c r="AD1867" t="s">
        <v>53</v>
      </c>
      <c r="AK1867">
        <v>0</v>
      </c>
      <c r="AU1867" s="3">
        <v>42453</v>
      </c>
      <c r="AV1867" s="3">
        <v>42453</v>
      </c>
      <c r="AW1867" t="s">
        <v>54</v>
      </c>
      <c r="AX1867" t="str">
        <f t="shared" si="242"/>
        <v>FOR</v>
      </c>
      <c r="AY1867" t="s">
        <v>55</v>
      </c>
    </row>
    <row r="1868" spans="1:51">
      <c r="A1868">
        <v>101759</v>
      </c>
      <c r="B1868" t="s">
        <v>285</v>
      </c>
      <c r="C1868" t="str">
        <f t="shared" si="247"/>
        <v>01308430626</v>
      </c>
      <c r="D1868" t="str">
        <f t="shared" si="248"/>
        <v>VRSCMN80T31A783K</v>
      </c>
      <c r="E1868" t="s">
        <v>52</v>
      </c>
      <c r="F1868">
        <v>2015</v>
      </c>
      <c r="G1868" t="str">
        <f>"                0249"</f>
        <v xml:space="preserve">                0249</v>
      </c>
      <c r="H1868" s="3">
        <v>42179</v>
      </c>
      <c r="I1868" s="3">
        <v>42185</v>
      </c>
      <c r="J1868" s="3">
        <v>42181</v>
      </c>
      <c r="K1868" s="3">
        <v>42241</v>
      </c>
      <c r="L1868" s="1">
        <v>591.95000000000005</v>
      </c>
      <c r="M1868">
        <v>246</v>
      </c>
      <c r="N1868" s="5">
        <v>145619.70000000001</v>
      </c>
      <c r="O1868">
        <v>591.95000000000005</v>
      </c>
      <c r="P1868">
        <v>246</v>
      </c>
      <c r="Q1868" s="4">
        <v>145619.70000000001</v>
      </c>
      <c r="R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 s="3">
        <v>42562</v>
      </c>
      <c r="AC1868" t="s">
        <v>53</v>
      </c>
      <c r="AD1868" t="s">
        <v>53</v>
      </c>
      <c r="AK1868">
        <v>0</v>
      </c>
      <c r="AU1868" s="3">
        <v>42487</v>
      </c>
      <c r="AV1868" s="3">
        <v>42487</v>
      </c>
      <c r="AW1868" t="s">
        <v>54</v>
      </c>
      <c r="AX1868" t="str">
        <f t="shared" si="242"/>
        <v>FOR</v>
      </c>
      <c r="AY1868" t="s">
        <v>55</v>
      </c>
    </row>
    <row r="1869" spans="1:51">
      <c r="A1869">
        <v>101759</v>
      </c>
      <c r="B1869" t="s">
        <v>285</v>
      </c>
      <c r="C1869" t="str">
        <f t="shared" si="247"/>
        <v>01308430626</v>
      </c>
      <c r="D1869" t="str">
        <f t="shared" si="248"/>
        <v>VRSCMN80T31A783K</v>
      </c>
      <c r="E1869" t="s">
        <v>52</v>
      </c>
      <c r="F1869">
        <v>2015</v>
      </c>
      <c r="G1869" t="str">
        <f>"                0331"</f>
        <v xml:space="preserve">                0331</v>
      </c>
      <c r="H1869" s="3">
        <v>42202</v>
      </c>
      <c r="I1869" s="3">
        <v>42233</v>
      </c>
      <c r="J1869" s="3">
        <v>42205</v>
      </c>
      <c r="K1869" s="3">
        <v>42265</v>
      </c>
      <c r="L1869" s="1">
        <v>572.21</v>
      </c>
      <c r="M1869">
        <v>222</v>
      </c>
      <c r="N1869" s="5">
        <v>127030.62</v>
      </c>
      <c r="O1869">
        <v>572.21</v>
      </c>
      <c r="P1869">
        <v>222</v>
      </c>
      <c r="Q1869" s="4">
        <v>127030.62</v>
      </c>
      <c r="R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 s="3">
        <v>42562</v>
      </c>
      <c r="AC1869" t="s">
        <v>53</v>
      </c>
      <c r="AD1869" t="s">
        <v>53</v>
      </c>
      <c r="AK1869">
        <v>0</v>
      </c>
      <c r="AU1869" s="3">
        <v>42487</v>
      </c>
      <c r="AV1869" s="3">
        <v>42487</v>
      </c>
      <c r="AW1869" t="s">
        <v>54</v>
      </c>
      <c r="AX1869" t="str">
        <f t="shared" si="242"/>
        <v>FOR</v>
      </c>
      <c r="AY1869" t="s">
        <v>55</v>
      </c>
    </row>
    <row r="1870" spans="1:51">
      <c r="A1870">
        <v>101759</v>
      </c>
      <c r="B1870" t="s">
        <v>285</v>
      </c>
      <c r="C1870" t="str">
        <f t="shared" si="247"/>
        <v>01308430626</v>
      </c>
      <c r="D1870" t="str">
        <f t="shared" si="248"/>
        <v>VRSCMN80T31A783K</v>
      </c>
      <c r="E1870" t="s">
        <v>52</v>
      </c>
      <c r="F1870">
        <v>2015</v>
      </c>
      <c r="G1870" t="str">
        <f>"                0379"</f>
        <v xml:space="preserve">                0379</v>
      </c>
      <c r="H1870" s="3">
        <v>42224</v>
      </c>
      <c r="I1870" s="3">
        <v>42241</v>
      </c>
      <c r="J1870" s="3">
        <v>42240</v>
      </c>
      <c r="K1870" s="3">
        <v>42300</v>
      </c>
      <c r="L1870" s="1">
        <v>873.29</v>
      </c>
      <c r="M1870">
        <v>187</v>
      </c>
      <c r="N1870" s="5">
        <v>163305.23000000001</v>
      </c>
      <c r="O1870">
        <v>873.29</v>
      </c>
      <c r="P1870">
        <v>187</v>
      </c>
      <c r="Q1870" s="4">
        <v>163305.23000000001</v>
      </c>
      <c r="R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 s="3">
        <v>42562</v>
      </c>
      <c r="AC1870" t="s">
        <v>53</v>
      </c>
      <c r="AD1870" t="s">
        <v>53</v>
      </c>
      <c r="AK1870">
        <v>0</v>
      </c>
      <c r="AU1870" s="3">
        <v>42487</v>
      </c>
      <c r="AV1870" s="3">
        <v>42487</v>
      </c>
      <c r="AW1870" t="s">
        <v>54</v>
      </c>
      <c r="AX1870" t="str">
        <f t="shared" si="242"/>
        <v>FOR</v>
      </c>
      <c r="AY1870" t="s">
        <v>55</v>
      </c>
    </row>
    <row r="1871" spans="1:51">
      <c r="A1871">
        <v>101759</v>
      </c>
      <c r="B1871" t="s">
        <v>285</v>
      </c>
      <c r="C1871" t="str">
        <f t="shared" si="247"/>
        <v>01308430626</v>
      </c>
      <c r="D1871" t="str">
        <f t="shared" si="248"/>
        <v>VRSCMN80T31A783K</v>
      </c>
      <c r="E1871" t="s">
        <v>52</v>
      </c>
      <c r="F1871">
        <v>2015</v>
      </c>
      <c r="G1871" t="str">
        <f>"                0440"</f>
        <v xml:space="preserve">                0440</v>
      </c>
      <c r="H1871" s="3">
        <v>42270</v>
      </c>
      <c r="I1871" s="3">
        <v>42272</v>
      </c>
      <c r="J1871" s="3">
        <v>42270</v>
      </c>
      <c r="K1871" s="3">
        <v>42330</v>
      </c>
      <c r="L1871" s="1">
        <v>347</v>
      </c>
      <c r="M1871">
        <v>157</v>
      </c>
      <c r="N1871" s="5">
        <v>54479</v>
      </c>
      <c r="O1871">
        <v>347</v>
      </c>
      <c r="P1871">
        <v>157</v>
      </c>
      <c r="Q1871" s="4">
        <v>54479</v>
      </c>
      <c r="R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 s="3">
        <v>42562</v>
      </c>
      <c r="AC1871" t="s">
        <v>53</v>
      </c>
      <c r="AD1871" t="s">
        <v>53</v>
      </c>
      <c r="AK1871">
        <v>0</v>
      </c>
      <c r="AU1871" s="3">
        <v>42487</v>
      </c>
      <c r="AV1871" s="3">
        <v>42487</v>
      </c>
      <c r="AW1871" t="s">
        <v>54</v>
      </c>
      <c r="AX1871" t="str">
        <f t="shared" si="242"/>
        <v>FOR</v>
      </c>
      <c r="AY1871" t="s">
        <v>55</v>
      </c>
    </row>
    <row r="1872" spans="1:51">
      <c r="A1872">
        <v>101759</v>
      </c>
      <c r="B1872" t="s">
        <v>285</v>
      </c>
      <c r="C1872" t="str">
        <f t="shared" si="247"/>
        <v>01308430626</v>
      </c>
      <c r="D1872" t="str">
        <f t="shared" si="248"/>
        <v>VRSCMN80T31A783K</v>
      </c>
      <c r="E1872" t="s">
        <v>52</v>
      </c>
      <c r="F1872">
        <v>2015</v>
      </c>
      <c r="G1872" t="str">
        <f>"             0506/EL"</f>
        <v xml:space="preserve">             0506/EL</v>
      </c>
      <c r="H1872" s="3">
        <v>42303</v>
      </c>
      <c r="I1872" s="3">
        <v>42305</v>
      </c>
      <c r="J1872" s="3">
        <v>42303</v>
      </c>
      <c r="K1872" s="3">
        <v>42363</v>
      </c>
      <c r="L1872" s="1">
        <v>671.32</v>
      </c>
      <c r="M1872">
        <v>124</v>
      </c>
      <c r="N1872" s="5">
        <v>83243.679999999993</v>
      </c>
      <c r="O1872">
        <v>671.32</v>
      </c>
      <c r="P1872">
        <v>124</v>
      </c>
      <c r="Q1872" s="4">
        <v>83243.679999999993</v>
      </c>
      <c r="R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 s="3">
        <v>42562</v>
      </c>
      <c r="AC1872" t="s">
        <v>53</v>
      </c>
      <c r="AD1872" t="s">
        <v>53</v>
      </c>
      <c r="AK1872">
        <v>0</v>
      </c>
      <c r="AU1872" s="3">
        <v>42487</v>
      </c>
      <c r="AV1872" s="3">
        <v>42487</v>
      </c>
      <c r="AW1872" t="s">
        <v>54</v>
      </c>
      <c r="AX1872" t="str">
        <f t="shared" si="242"/>
        <v>FOR</v>
      </c>
      <c r="AY1872" t="s">
        <v>55</v>
      </c>
    </row>
    <row r="1873" spans="1:51">
      <c r="A1873">
        <v>101759</v>
      </c>
      <c r="B1873" t="s">
        <v>285</v>
      </c>
      <c r="C1873" t="str">
        <f t="shared" si="247"/>
        <v>01308430626</v>
      </c>
      <c r="D1873" t="str">
        <f t="shared" si="248"/>
        <v>VRSCMN80T31A783K</v>
      </c>
      <c r="E1873" t="s">
        <v>52</v>
      </c>
      <c r="F1873">
        <v>2015</v>
      </c>
      <c r="G1873" t="str">
        <f>"             0509/EL"</f>
        <v xml:space="preserve">             0509/EL</v>
      </c>
      <c r="H1873" s="3">
        <v>42304</v>
      </c>
      <c r="I1873" s="3">
        <v>42305</v>
      </c>
      <c r="J1873" s="3">
        <v>42304</v>
      </c>
      <c r="K1873" s="3">
        <v>42364</v>
      </c>
      <c r="L1873" s="1">
        <v>558.75</v>
      </c>
      <c r="M1873">
        <v>123</v>
      </c>
      <c r="N1873" s="5">
        <v>68726.25</v>
      </c>
      <c r="O1873">
        <v>558.75</v>
      </c>
      <c r="P1873">
        <v>123</v>
      </c>
      <c r="Q1873" s="4">
        <v>68726.25</v>
      </c>
      <c r="R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 s="3">
        <v>42562</v>
      </c>
      <c r="AC1873" t="s">
        <v>53</v>
      </c>
      <c r="AD1873" t="s">
        <v>53</v>
      </c>
      <c r="AK1873">
        <v>0</v>
      </c>
      <c r="AU1873" s="3">
        <v>42487</v>
      </c>
      <c r="AV1873" s="3">
        <v>42487</v>
      </c>
      <c r="AW1873" t="s">
        <v>54</v>
      </c>
      <c r="AX1873" t="str">
        <f t="shared" si="242"/>
        <v>FOR</v>
      </c>
      <c r="AY1873" t="s">
        <v>55</v>
      </c>
    </row>
    <row r="1874" spans="1:51">
      <c r="A1874">
        <v>101759</v>
      </c>
      <c r="B1874" t="s">
        <v>285</v>
      </c>
      <c r="C1874" t="str">
        <f t="shared" si="247"/>
        <v>01308430626</v>
      </c>
      <c r="D1874" t="str">
        <f t="shared" si="248"/>
        <v>VRSCMN80T31A783K</v>
      </c>
      <c r="E1874" t="s">
        <v>52</v>
      </c>
      <c r="F1874">
        <v>2015</v>
      </c>
      <c r="G1874" t="str">
        <f>"             0569/EL"</f>
        <v xml:space="preserve">             0569/EL</v>
      </c>
      <c r="H1874" s="3">
        <v>42335</v>
      </c>
      <c r="I1874" s="3">
        <v>42338</v>
      </c>
      <c r="J1874" s="3">
        <v>42335</v>
      </c>
      <c r="K1874" s="3">
        <v>42395</v>
      </c>
      <c r="L1874" s="1">
        <v>341.6</v>
      </c>
      <c r="M1874">
        <v>92</v>
      </c>
      <c r="N1874" s="5">
        <v>31427.200000000001</v>
      </c>
      <c r="O1874">
        <v>341.6</v>
      </c>
      <c r="P1874">
        <v>92</v>
      </c>
      <c r="Q1874" s="4">
        <v>31427.200000000001</v>
      </c>
      <c r="R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 s="3">
        <v>42562</v>
      </c>
      <c r="AC1874" t="s">
        <v>53</v>
      </c>
      <c r="AD1874" t="s">
        <v>53</v>
      </c>
      <c r="AK1874">
        <v>0</v>
      </c>
      <c r="AU1874" s="3">
        <v>42487</v>
      </c>
      <c r="AV1874" s="3">
        <v>42487</v>
      </c>
      <c r="AW1874" t="s">
        <v>54</v>
      </c>
      <c r="AX1874" t="str">
        <f t="shared" si="242"/>
        <v>FOR</v>
      </c>
      <c r="AY1874" t="s">
        <v>55</v>
      </c>
    </row>
    <row r="1875" spans="1:51" hidden="1">
      <c r="A1875">
        <v>101769</v>
      </c>
      <c r="B1875" t="s">
        <v>286</v>
      </c>
      <c r="C1875" t="str">
        <f t="shared" ref="C1875:D1877" si="249">"01525990626"</f>
        <v>01525990626</v>
      </c>
      <c r="D1875" t="str">
        <f t="shared" si="249"/>
        <v>01525990626</v>
      </c>
      <c r="E1875" t="s">
        <v>52</v>
      </c>
      <c r="F1875">
        <v>2015</v>
      </c>
      <c r="G1875" t="str">
        <f>"                 669"</f>
        <v xml:space="preserve">                 669</v>
      </c>
      <c r="H1875" s="3">
        <v>42167</v>
      </c>
      <c r="I1875" s="3">
        <v>42354</v>
      </c>
      <c r="J1875" s="3">
        <v>42354</v>
      </c>
      <c r="K1875" s="3">
        <v>42414</v>
      </c>
      <c r="L1875"/>
      <c r="N1875"/>
      <c r="O1875" s="4">
        <v>1147.54</v>
      </c>
      <c r="P1875">
        <v>-11</v>
      </c>
      <c r="Q1875" s="4">
        <v>-12622.94</v>
      </c>
      <c r="R1875">
        <v>252.46</v>
      </c>
      <c r="V1875">
        <v>0</v>
      </c>
      <c r="W1875">
        <v>0</v>
      </c>
      <c r="X1875">
        <v>0</v>
      </c>
      <c r="Y1875">
        <v>0</v>
      </c>
      <c r="Z1875">
        <v>0</v>
      </c>
      <c r="AA1875">
        <v>0</v>
      </c>
      <c r="AB1875" s="3">
        <v>42562</v>
      </c>
      <c r="AC1875" t="s">
        <v>53</v>
      </c>
      <c r="AD1875" t="s">
        <v>53</v>
      </c>
      <c r="AI1875">
        <v>252.46</v>
      </c>
      <c r="AK1875">
        <v>0</v>
      </c>
      <c r="AU1875" s="3">
        <v>42403</v>
      </c>
      <c r="AV1875" s="3">
        <v>42403</v>
      </c>
      <c r="AW1875" t="s">
        <v>54</v>
      </c>
      <c r="AX1875" t="str">
        <f t="shared" si="242"/>
        <v>FOR</v>
      </c>
      <c r="AY1875" t="s">
        <v>55</v>
      </c>
    </row>
    <row r="1876" spans="1:51" hidden="1">
      <c r="A1876">
        <v>101769</v>
      </c>
      <c r="B1876" t="s">
        <v>286</v>
      </c>
      <c r="C1876" t="str">
        <f t="shared" si="249"/>
        <v>01525990626</v>
      </c>
      <c r="D1876" t="str">
        <f t="shared" si="249"/>
        <v>01525990626</v>
      </c>
      <c r="E1876" t="s">
        <v>52</v>
      </c>
      <c r="F1876">
        <v>2015</v>
      </c>
      <c r="G1876" t="str">
        <f>"                1390"</f>
        <v xml:space="preserve">                1390</v>
      </c>
      <c r="H1876" s="3">
        <v>42350</v>
      </c>
      <c r="I1876" s="3">
        <v>42353</v>
      </c>
      <c r="J1876" s="3">
        <v>42353</v>
      </c>
      <c r="K1876" s="3">
        <v>42413</v>
      </c>
      <c r="L1876"/>
      <c r="N1876"/>
      <c r="O1876">
        <v>295.08</v>
      </c>
      <c r="P1876">
        <v>-10</v>
      </c>
      <c r="Q1876" s="4">
        <v>-2950.8</v>
      </c>
      <c r="R1876">
        <v>64.92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 s="3">
        <v>42562</v>
      </c>
      <c r="AC1876" t="s">
        <v>53</v>
      </c>
      <c r="AD1876" t="s">
        <v>53</v>
      </c>
      <c r="AI1876">
        <v>64.92</v>
      </c>
      <c r="AK1876">
        <v>0</v>
      </c>
      <c r="AU1876" s="3">
        <v>42403</v>
      </c>
      <c r="AV1876" s="3">
        <v>42403</v>
      </c>
      <c r="AW1876" t="s">
        <v>54</v>
      </c>
      <c r="AX1876" t="str">
        <f t="shared" si="242"/>
        <v>FOR</v>
      </c>
      <c r="AY1876" t="s">
        <v>55</v>
      </c>
    </row>
    <row r="1877" spans="1:51" hidden="1">
      <c r="A1877">
        <v>101769</v>
      </c>
      <c r="B1877" t="s">
        <v>286</v>
      </c>
      <c r="C1877" t="str">
        <f t="shared" si="249"/>
        <v>01525990626</v>
      </c>
      <c r="D1877" t="str">
        <f t="shared" si="249"/>
        <v>01525990626</v>
      </c>
      <c r="E1877" t="s">
        <v>52</v>
      </c>
      <c r="F1877">
        <v>2015</v>
      </c>
      <c r="G1877" t="str">
        <f>"                1413"</f>
        <v xml:space="preserve">                1413</v>
      </c>
      <c r="H1877" s="3">
        <v>42354</v>
      </c>
      <c r="I1877" s="3">
        <v>42354</v>
      </c>
      <c r="J1877" s="3">
        <v>42354</v>
      </c>
      <c r="K1877" s="3">
        <v>42414</v>
      </c>
      <c r="L1877"/>
      <c r="N1877"/>
      <c r="O1877">
        <v>573.77</v>
      </c>
      <c r="P1877">
        <v>-11</v>
      </c>
      <c r="Q1877" s="4">
        <v>-6311.47</v>
      </c>
      <c r="R1877">
        <v>126.23</v>
      </c>
      <c r="V1877">
        <v>0</v>
      </c>
      <c r="W1877">
        <v>0</v>
      </c>
      <c r="X1877">
        <v>0</v>
      </c>
      <c r="Y1877">
        <v>0</v>
      </c>
      <c r="Z1877">
        <v>0</v>
      </c>
      <c r="AA1877">
        <v>0</v>
      </c>
      <c r="AB1877" s="3">
        <v>42562</v>
      </c>
      <c r="AC1877" t="s">
        <v>53</v>
      </c>
      <c r="AD1877" t="s">
        <v>53</v>
      </c>
      <c r="AI1877">
        <v>126.23</v>
      </c>
      <c r="AK1877">
        <v>0</v>
      </c>
      <c r="AU1877" s="3">
        <v>42403</v>
      </c>
      <c r="AV1877" s="3">
        <v>42403</v>
      </c>
      <c r="AW1877" t="s">
        <v>54</v>
      </c>
      <c r="AX1877" t="str">
        <f t="shared" si="242"/>
        <v>FOR</v>
      </c>
      <c r="AY1877" t="s">
        <v>55</v>
      </c>
    </row>
    <row r="1878" spans="1:51" hidden="1">
      <c r="A1878">
        <v>101778</v>
      </c>
      <c r="B1878" t="s">
        <v>287</v>
      </c>
      <c r="C1878" t="str">
        <f>"01791230152"</f>
        <v>01791230152</v>
      </c>
      <c r="D1878" t="str">
        <f>"01791230152"</f>
        <v>01791230152</v>
      </c>
      <c r="E1878" t="s">
        <v>52</v>
      </c>
      <c r="F1878">
        <v>2015</v>
      </c>
      <c r="G1878" t="str">
        <f>"              X00072"</f>
        <v xml:space="preserve">              X00072</v>
      </c>
      <c r="H1878" s="3">
        <v>42277</v>
      </c>
      <c r="I1878" s="3">
        <v>42282</v>
      </c>
      <c r="J1878" s="3">
        <v>42278</v>
      </c>
      <c r="K1878" s="3">
        <v>42338</v>
      </c>
      <c r="L1878"/>
      <c r="N1878"/>
      <c r="O1878" s="4">
        <v>1350</v>
      </c>
      <c r="P1878">
        <v>77</v>
      </c>
      <c r="Q1878" s="4">
        <v>103950</v>
      </c>
      <c r="R1878">
        <v>0</v>
      </c>
      <c r="V1878">
        <v>0</v>
      </c>
      <c r="W1878">
        <v>0</v>
      </c>
      <c r="X1878">
        <v>0</v>
      </c>
      <c r="Y1878">
        <v>0</v>
      </c>
      <c r="Z1878">
        <v>0</v>
      </c>
      <c r="AA1878">
        <v>0</v>
      </c>
      <c r="AB1878" s="3">
        <v>42562</v>
      </c>
      <c r="AC1878" t="s">
        <v>53</v>
      </c>
      <c r="AD1878" t="s">
        <v>53</v>
      </c>
      <c r="AK1878">
        <v>0</v>
      </c>
      <c r="AU1878" s="3">
        <v>42415</v>
      </c>
      <c r="AV1878" s="3">
        <v>42415</v>
      </c>
      <c r="AW1878" t="s">
        <v>54</v>
      </c>
      <c r="AX1878" t="str">
        <f t="shared" si="242"/>
        <v>FOR</v>
      </c>
      <c r="AY1878" t="s">
        <v>55</v>
      </c>
    </row>
    <row r="1879" spans="1:51" hidden="1">
      <c r="A1879">
        <v>101778</v>
      </c>
      <c r="B1879" t="s">
        <v>287</v>
      </c>
      <c r="C1879" t="str">
        <f>"01791230152"</f>
        <v>01791230152</v>
      </c>
      <c r="D1879" t="str">
        <f>"01791230152"</f>
        <v>01791230152</v>
      </c>
      <c r="E1879" t="s">
        <v>52</v>
      </c>
      <c r="F1879">
        <v>2015</v>
      </c>
      <c r="G1879" t="str">
        <f>"              X00091"</f>
        <v xml:space="preserve">              X00091</v>
      </c>
      <c r="H1879" s="3">
        <v>42352</v>
      </c>
      <c r="I1879" s="3">
        <v>42356</v>
      </c>
      <c r="J1879" s="3">
        <v>42356</v>
      </c>
      <c r="K1879" s="3">
        <v>42416</v>
      </c>
      <c r="L1879"/>
      <c r="N1879"/>
      <c r="O1879" s="4">
        <v>1350</v>
      </c>
      <c r="P1879">
        <v>-1</v>
      </c>
      <c r="Q1879" s="4">
        <v>-1350</v>
      </c>
      <c r="R1879">
        <v>0</v>
      </c>
      <c r="V1879">
        <v>0</v>
      </c>
      <c r="W1879">
        <v>0</v>
      </c>
      <c r="X1879">
        <v>0</v>
      </c>
      <c r="Y1879">
        <v>0</v>
      </c>
      <c r="Z1879">
        <v>0</v>
      </c>
      <c r="AA1879">
        <v>0</v>
      </c>
      <c r="AB1879" s="3">
        <v>42562</v>
      </c>
      <c r="AC1879" t="s">
        <v>53</v>
      </c>
      <c r="AD1879" t="s">
        <v>53</v>
      </c>
      <c r="AK1879">
        <v>0</v>
      </c>
      <c r="AU1879" s="3">
        <v>42415</v>
      </c>
      <c r="AV1879" s="3">
        <v>42415</v>
      </c>
      <c r="AW1879" t="s">
        <v>54</v>
      </c>
      <c r="AX1879" t="str">
        <f t="shared" si="242"/>
        <v>FOR</v>
      </c>
      <c r="AY1879" t="s">
        <v>55</v>
      </c>
    </row>
    <row r="1880" spans="1:51">
      <c r="A1880">
        <v>101780</v>
      </c>
      <c r="B1880" t="s">
        <v>288</v>
      </c>
      <c r="C1880" t="str">
        <f t="shared" ref="C1880:D1888" si="250">"00873670152"</f>
        <v>00873670152</v>
      </c>
      <c r="D1880" t="str">
        <f t="shared" si="250"/>
        <v>00873670152</v>
      </c>
      <c r="E1880" t="s">
        <v>52</v>
      </c>
      <c r="F1880">
        <v>2014</v>
      </c>
      <c r="G1880" t="str">
        <f>"            91400589"</f>
        <v xml:space="preserve">            91400589</v>
      </c>
      <c r="H1880" s="3">
        <v>41829</v>
      </c>
      <c r="I1880" s="3">
        <v>41842</v>
      </c>
      <c r="J1880" s="3">
        <v>41842</v>
      </c>
      <c r="K1880" s="3">
        <v>41932</v>
      </c>
      <c r="L1880" s="5">
        <v>7271.2</v>
      </c>
      <c r="M1880">
        <v>598</v>
      </c>
      <c r="N1880" s="5">
        <v>4348177.5999999996</v>
      </c>
      <c r="O1880" s="4">
        <v>7271.2</v>
      </c>
      <c r="P1880">
        <v>598</v>
      </c>
      <c r="Q1880" s="4">
        <v>4348177.5999999996</v>
      </c>
      <c r="R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 s="3">
        <v>42562</v>
      </c>
      <c r="AC1880" t="s">
        <v>53</v>
      </c>
      <c r="AD1880" t="s">
        <v>53</v>
      </c>
      <c r="AK1880">
        <v>0</v>
      </c>
      <c r="AU1880" s="3">
        <v>42530</v>
      </c>
      <c r="AV1880" s="3">
        <v>42530</v>
      </c>
      <c r="AW1880" t="s">
        <v>54</v>
      </c>
      <c r="AX1880" t="str">
        <f t="shared" si="242"/>
        <v>FOR</v>
      </c>
      <c r="AY1880" t="s">
        <v>55</v>
      </c>
    </row>
    <row r="1881" spans="1:51">
      <c r="A1881">
        <v>101780</v>
      </c>
      <c r="B1881" t="s">
        <v>288</v>
      </c>
      <c r="C1881" t="str">
        <f t="shared" si="250"/>
        <v>00873670152</v>
      </c>
      <c r="D1881" t="str">
        <f t="shared" si="250"/>
        <v>00873670152</v>
      </c>
      <c r="E1881" t="s">
        <v>52</v>
      </c>
      <c r="F1881">
        <v>2014</v>
      </c>
      <c r="G1881" t="str">
        <f>"            91400845"</f>
        <v xml:space="preserve">            91400845</v>
      </c>
      <c r="H1881" s="3">
        <v>41935</v>
      </c>
      <c r="I1881" s="3">
        <v>41950</v>
      </c>
      <c r="J1881" s="3">
        <v>41950</v>
      </c>
      <c r="K1881" s="3">
        <v>42010</v>
      </c>
      <c r="L1881" s="5">
        <v>3635.6</v>
      </c>
      <c r="M1881">
        <v>520</v>
      </c>
      <c r="N1881" s="5">
        <v>1890512</v>
      </c>
      <c r="O1881" s="4">
        <v>3635.6</v>
      </c>
      <c r="P1881">
        <v>520</v>
      </c>
      <c r="Q1881" s="4">
        <v>1890512</v>
      </c>
      <c r="R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 s="3">
        <v>42562</v>
      </c>
      <c r="AC1881" t="s">
        <v>53</v>
      </c>
      <c r="AD1881" t="s">
        <v>53</v>
      </c>
      <c r="AK1881">
        <v>0</v>
      </c>
      <c r="AU1881" s="3">
        <v>42530</v>
      </c>
      <c r="AV1881" s="3">
        <v>42530</v>
      </c>
      <c r="AW1881" t="s">
        <v>54</v>
      </c>
      <c r="AX1881" t="str">
        <f t="shared" si="242"/>
        <v>FOR</v>
      </c>
      <c r="AY1881" t="s">
        <v>55</v>
      </c>
    </row>
    <row r="1882" spans="1:51">
      <c r="A1882">
        <v>101780</v>
      </c>
      <c r="B1882" t="s">
        <v>288</v>
      </c>
      <c r="C1882" t="str">
        <f t="shared" si="250"/>
        <v>00873670152</v>
      </c>
      <c r="D1882" t="str">
        <f t="shared" si="250"/>
        <v>00873670152</v>
      </c>
      <c r="E1882" t="s">
        <v>52</v>
      </c>
      <c r="F1882">
        <v>2014</v>
      </c>
      <c r="G1882" t="str">
        <f>"            91400922"</f>
        <v xml:space="preserve">            91400922</v>
      </c>
      <c r="H1882" s="3">
        <v>41969</v>
      </c>
      <c r="I1882" s="3">
        <v>41976</v>
      </c>
      <c r="J1882" s="3">
        <v>41976</v>
      </c>
      <c r="K1882" s="3">
        <v>42036</v>
      </c>
      <c r="L1882" s="5">
        <v>1817.8</v>
      </c>
      <c r="M1882">
        <v>494</v>
      </c>
      <c r="N1882" s="5">
        <v>897993.2</v>
      </c>
      <c r="O1882" s="4">
        <v>1817.8</v>
      </c>
      <c r="P1882">
        <v>494</v>
      </c>
      <c r="Q1882" s="4">
        <v>897993.2</v>
      </c>
      <c r="R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 s="3">
        <v>42562</v>
      </c>
      <c r="AC1882" t="s">
        <v>53</v>
      </c>
      <c r="AD1882" t="s">
        <v>53</v>
      </c>
      <c r="AK1882">
        <v>0</v>
      </c>
      <c r="AU1882" s="3">
        <v>42530</v>
      </c>
      <c r="AV1882" s="3">
        <v>42530</v>
      </c>
      <c r="AW1882" t="s">
        <v>54</v>
      </c>
      <c r="AX1882" t="str">
        <f t="shared" si="242"/>
        <v>FOR</v>
      </c>
      <c r="AY1882" t="s">
        <v>55</v>
      </c>
    </row>
    <row r="1883" spans="1:51" hidden="1">
      <c r="A1883">
        <v>101780</v>
      </c>
      <c r="B1883" t="s">
        <v>288</v>
      </c>
      <c r="C1883" t="str">
        <f t="shared" si="250"/>
        <v>00873670152</v>
      </c>
      <c r="D1883" t="str">
        <f t="shared" si="250"/>
        <v>00873670152</v>
      </c>
      <c r="E1883" t="s">
        <v>52</v>
      </c>
      <c r="F1883">
        <v>2015</v>
      </c>
      <c r="G1883" t="str">
        <f>"            91500123"</f>
        <v xml:space="preserve">            91500123</v>
      </c>
      <c r="H1883" s="3">
        <v>42058</v>
      </c>
      <c r="I1883" s="3">
        <v>42060</v>
      </c>
      <c r="J1883" s="3">
        <v>42060</v>
      </c>
      <c r="K1883" s="3">
        <v>42120</v>
      </c>
      <c r="L1883"/>
      <c r="N1883"/>
      <c r="O1883" s="4">
        <v>2980</v>
      </c>
      <c r="P1883">
        <v>288</v>
      </c>
      <c r="Q1883" s="4">
        <v>858240</v>
      </c>
      <c r="R1883">
        <v>0</v>
      </c>
      <c r="V1883">
        <v>0</v>
      </c>
      <c r="W1883">
        <v>0</v>
      </c>
      <c r="X1883">
        <v>0</v>
      </c>
      <c r="Y1883">
        <v>0</v>
      </c>
      <c r="Z1883">
        <v>0</v>
      </c>
      <c r="AA1883">
        <v>0</v>
      </c>
      <c r="AB1883" s="3">
        <v>42562</v>
      </c>
      <c r="AC1883" t="s">
        <v>53</v>
      </c>
      <c r="AD1883" t="s">
        <v>53</v>
      </c>
      <c r="AK1883">
        <v>0</v>
      </c>
      <c r="AU1883" s="3">
        <v>42408</v>
      </c>
      <c r="AV1883" s="3">
        <v>42408</v>
      </c>
      <c r="AW1883" t="s">
        <v>54</v>
      </c>
      <c r="AX1883" t="str">
        <f t="shared" si="242"/>
        <v>FOR</v>
      </c>
      <c r="AY1883" t="s">
        <v>55</v>
      </c>
    </row>
    <row r="1884" spans="1:51" hidden="1">
      <c r="A1884">
        <v>101780</v>
      </c>
      <c r="B1884" t="s">
        <v>288</v>
      </c>
      <c r="C1884" t="str">
        <f t="shared" si="250"/>
        <v>00873670152</v>
      </c>
      <c r="D1884" t="str">
        <f t="shared" si="250"/>
        <v>00873670152</v>
      </c>
      <c r="E1884" t="s">
        <v>52</v>
      </c>
      <c r="F1884">
        <v>2015</v>
      </c>
      <c r="G1884" t="str">
        <f>"            91500201"</f>
        <v xml:space="preserve">            91500201</v>
      </c>
      <c r="H1884" s="3">
        <v>42083</v>
      </c>
      <c r="I1884" s="3">
        <v>42087</v>
      </c>
      <c r="J1884" s="3">
        <v>42087</v>
      </c>
      <c r="K1884" s="3">
        <v>42147</v>
      </c>
      <c r="L1884"/>
      <c r="N1884"/>
      <c r="O1884" s="4">
        <v>2980</v>
      </c>
      <c r="P1884">
        <v>268</v>
      </c>
      <c r="Q1884" s="4">
        <v>798640</v>
      </c>
      <c r="R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 s="3">
        <v>42562</v>
      </c>
      <c r="AC1884" t="s">
        <v>53</v>
      </c>
      <c r="AD1884" t="s">
        <v>53</v>
      </c>
      <c r="AK1884">
        <v>0</v>
      </c>
      <c r="AU1884" s="3">
        <v>42415</v>
      </c>
      <c r="AV1884" s="3">
        <v>42415</v>
      </c>
      <c r="AW1884" t="s">
        <v>54</v>
      </c>
      <c r="AX1884" t="str">
        <f t="shared" si="242"/>
        <v>FOR</v>
      </c>
      <c r="AY1884" t="s">
        <v>55</v>
      </c>
    </row>
    <row r="1885" spans="1:51" hidden="1">
      <c r="A1885">
        <v>101780</v>
      </c>
      <c r="B1885" t="s">
        <v>288</v>
      </c>
      <c r="C1885" t="str">
        <f t="shared" si="250"/>
        <v>00873670152</v>
      </c>
      <c r="D1885" t="str">
        <f t="shared" si="250"/>
        <v>00873670152</v>
      </c>
      <c r="E1885" t="s">
        <v>52</v>
      </c>
      <c r="F1885">
        <v>2015</v>
      </c>
      <c r="G1885" t="str">
        <f>"            91500375"</f>
        <v xml:space="preserve">            91500375</v>
      </c>
      <c r="H1885" s="3">
        <v>42153</v>
      </c>
      <c r="I1885" s="3">
        <v>42178</v>
      </c>
      <c r="J1885" s="3">
        <v>42178</v>
      </c>
      <c r="K1885" s="3">
        <v>42238</v>
      </c>
      <c r="L1885"/>
      <c r="N1885"/>
      <c r="O1885" s="4">
        <v>2384</v>
      </c>
      <c r="P1885">
        <v>214</v>
      </c>
      <c r="Q1885" s="4">
        <v>510176</v>
      </c>
      <c r="R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 s="3">
        <v>42562</v>
      </c>
      <c r="AC1885" t="s">
        <v>53</v>
      </c>
      <c r="AD1885" t="s">
        <v>53</v>
      </c>
      <c r="AK1885">
        <v>0</v>
      </c>
      <c r="AU1885" s="3">
        <v>42452</v>
      </c>
      <c r="AV1885" s="3">
        <v>42452</v>
      </c>
      <c r="AW1885" t="s">
        <v>54</v>
      </c>
      <c r="AX1885" t="str">
        <f t="shared" si="242"/>
        <v>FOR</v>
      </c>
      <c r="AY1885" t="s">
        <v>55</v>
      </c>
    </row>
    <row r="1886" spans="1:51">
      <c r="A1886">
        <v>101780</v>
      </c>
      <c r="B1886" t="s">
        <v>288</v>
      </c>
      <c r="C1886" t="str">
        <f t="shared" si="250"/>
        <v>00873670152</v>
      </c>
      <c r="D1886" t="str">
        <f t="shared" si="250"/>
        <v>00873670152</v>
      </c>
      <c r="E1886" t="s">
        <v>52</v>
      </c>
      <c r="F1886">
        <v>2015</v>
      </c>
      <c r="G1886" t="str">
        <f>"            91500458"</f>
        <v xml:space="preserve">            91500458</v>
      </c>
      <c r="H1886" s="3">
        <v>42179</v>
      </c>
      <c r="I1886" s="3">
        <v>42186</v>
      </c>
      <c r="J1886" s="3">
        <v>42181</v>
      </c>
      <c r="K1886" s="3">
        <v>42241</v>
      </c>
      <c r="L1886" s="5">
        <v>1490</v>
      </c>
      <c r="M1886">
        <v>286</v>
      </c>
      <c r="N1886" s="5">
        <v>426140</v>
      </c>
      <c r="O1886" s="4">
        <v>1490</v>
      </c>
      <c r="P1886">
        <v>286</v>
      </c>
      <c r="Q1886" s="4">
        <v>426140</v>
      </c>
      <c r="R1886">
        <v>327.8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 s="3">
        <v>42562</v>
      </c>
      <c r="AC1886" t="s">
        <v>53</v>
      </c>
      <c r="AD1886" t="s">
        <v>53</v>
      </c>
      <c r="AK1886">
        <v>327.8</v>
      </c>
      <c r="AU1886" s="3">
        <v>42527</v>
      </c>
      <c r="AV1886" s="3">
        <v>42527</v>
      </c>
      <c r="AW1886" t="s">
        <v>54</v>
      </c>
      <c r="AX1886" t="str">
        <f t="shared" si="242"/>
        <v>FOR</v>
      </c>
      <c r="AY1886" t="s">
        <v>55</v>
      </c>
    </row>
    <row r="1887" spans="1:51">
      <c r="A1887">
        <v>101780</v>
      </c>
      <c r="B1887" t="s">
        <v>288</v>
      </c>
      <c r="C1887" t="str">
        <f t="shared" si="250"/>
        <v>00873670152</v>
      </c>
      <c r="D1887" t="str">
        <f t="shared" si="250"/>
        <v>00873670152</v>
      </c>
      <c r="E1887" t="s">
        <v>52</v>
      </c>
      <c r="F1887">
        <v>2015</v>
      </c>
      <c r="G1887" t="str">
        <f>"            91500484"</f>
        <v xml:space="preserve">            91500484</v>
      </c>
      <c r="H1887" s="3">
        <v>42192</v>
      </c>
      <c r="I1887" s="3">
        <v>42193</v>
      </c>
      <c r="J1887" s="3">
        <v>42193</v>
      </c>
      <c r="K1887" s="3">
        <v>42253</v>
      </c>
      <c r="L1887" s="1">
        <v>596</v>
      </c>
      <c r="M1887">
        <v>274</v>
      </c>
      <c r="N1887" s="5">
        <v>163304</v>
      </c>
      <c r="O1887">
        <v>596</v>
      </c>
      <c r="P1887">
        <v>274</v>
      </c>
      <c r="Q1887" s="4">
        <v>163304</v>
      </c>
      <c r="R1887">
        <v>131.12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 s="3">
        <v>42562</v>
      </c>
      <c r="AC1887" t="s">
        <v>53</v>
      </c>
      <c r="AD1887" t="s">
        <v>53</v>
      </c>
      <c r="AK1887">
        <v>131.12</v>
      </c>
      <c r="AU1887" s="3">
        <v>42527</v>
      </c>
      <c r="AV1887" s="3">
        <v>42527</v>
      </c>
      <c r="AW1887" t="s">
        <v>54</v>
      </c>
      <c r="AX1887" t="str">
        <f t="shared" si="242"/>
        <v>FOR</v>
      </c>
      <c r="AY1887" t="s">
        <v>55</v>
      </c>
    </row>
    <row r="1888" spans="1:51">
      <c r="A1888">
        <v>101780</v>
      </c>
      <c r="B1888" t="s">
        <v>288</v>
      </c>
      <c r="C1888" t="str">
        <f t="shared" si="250"/>
        <v>00873670152</v>
      </c>
      <c r="D1888" t="str">
        <f t="shared" si="250"/>
        <v>00873670152</v>
      </c>
      <c r="E1888" t="s">
        <v>52</v>
      </c>
      <c r="F1888">
        <v>2015</v>
      </c>
      <c r="G1888" t="str">
        <f>"            91500534"</f>
        <v xml:space="preserve">            91500534</v>
      </c>
      <c r="H1888" s="3">
        <v>42215</v>
      </c>
      <c r="I1888" s="3">
        <v>42216</v>
      </c>
      <c r="J1888" s="3">
        <v>42216</v>
      </c>
      <c r="K1888" s="3">
        <v>42276</v>
      </c>
      <c r="L1888" s="5">
        <v>2980</v>
      </c>
      <c r="M1888">
        <v>251</v>
      </c>
      <c r="N1888" s="5">
        <v>747980</v>
      </c>
      <c r="O1888" s="4">
        <v>2980</v>
      </c>
      <c r="P1888">
        <v>251</v>
      </c>
      <c r="Q1888" s="4">
        <v>747980</v>
      </c>
      <c r="R1888">
        <v>655.6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 s="3">
        <v>42562</v>
      </c>
      <c r="AC1888" t="s">
        <v>53</v>
      </c>
      <c r="AD1888" t="s">
        <v>53</v>
      </c>
      <c r="AK1888">
        <v>655.6</v>
      </c>
      <c r="AU1888" s="3">
        <v>42527</v>
      </c>
      <c r="AV1888" s="3">
        <v>42527</v>
      </c>
      <c r="AW1888" t="s">
        <v>54</v>
      </c>
      <c r="AX1888" t="str">
        <f t="shared" si="242"/>
        <v>FOR</v>
      </c>
      <c r="AY1888" t="s">
        <v>55</v>
      </c>
    </row>
    <row r="1889" spans="1:51" hidden="1">
      <c r="A1889">
        <v>101789</v>
      </c>
      <c r="B1889" t="s">
        <v>289</v>
      </c>
      <c r="C1889" t="str">
        <f t="shared" ref="C1889:D1892" si="251">"01553270628"</f>
        <v>01553270628</v>
      </c>
      <c r="D1889" t="str">
        <f t="shared" si="251"/>
        <v>01553270628</v>
      </c>
      <c r="E1889" t="s">
        <v>52</v>
      </c>
      <c r="F1889">
        <v>2015</v>
      </c>
      <c r="G1889" t="str">
        <f>"         000006/2015"</f>
        <v xml:space="preserve">         000006/2015</v>
      </c>
      <c r="H1889" s="3">
        <v>42287</v>
      </c>
      <c r="I1889" s="3">
        <v>42289</v>
      </c>
      <c r="J1889" s="3">
        <v>42287</v>
      </c>
      <c r="K1889" s="3">
        <v>42347</v>
      </c>
      <c r="L1889"/>
      <c r="N1889"/>
      <c r="O1889">
        <v>270.60000000000002</v>
      </c>
      <c r="P1889">
        <v>56</v>
      </c>
      <c r="Q1889" s="4">
        <v>15153.6</v>
      </c>
      <c r="R1889">
        <v>59.53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 s="3">
        <v>42562</v>
      </c>
      <c r="AC1889" t="s">
        <v>53</v>
      </c>
      <c r="AD1889" t="s">
        <v>53</v>
      </c>
      <c r="AK1889">
        <v>59.53</v>
      </c>
      <c r="AU1889" s="3">
        <v>42403</v>
      </c>
      <c r="AV1889" s="3">
        <v>42403</v>
      </c>
      <c r="AW1889" t="s">
        <v>54</v>
      </c>
      <c r="AX1889" t="str">
        <f t="shared" si="242"/>
        <v>FOR</v>
      </c>
      <c r="AY1889" t="s">
        <v>55</v>
      </c>
    </row>
    <row r="1890" spans="1:51" hidden="1">
      <c r="A1890">
        <v>101789</v>
      </c>
      <c r="B1890" t="s">
        <v>289</v>
      </c>
      <c r="C1890" t="str">
        <f t="shared" si="251"/>
        <v>01553270628</v>
      </c>
      <c r="D1890" t="str">
        <f t="shared" si="251"/>
        <v>01553270628</v>
      </c>
      <c r="E1890" t="s">
        <v>52</v>
      </c>
      <c r="F1890">
        <v>2015</v>
      </c>
      <c r="G1890" t="str">
        <f>"         000007/2015"</f>
        <v xml:space="preserve">         000007/2015</v>
      </c>
      <c r="H1890" s="3">
        <v>42287</v>
      </c>
      <c r="I1890" s="3">
        <v>42289</v>
      </c>
      <c r="J1890" s="3">
        <v>42287</v>
      </c>
      <c r="K1890" s="3">
        <v>42347</v>
      </c>
      <c r="L1890"/>
      <c r="N1890"/>
      <c r="O1890">
        <v>98.4</v>
      </c>
      <c r="P1890">
        <v>56</v>
      </c>
      <c r="Q1890" s="4">
        <v>5510.4</v>
      </c>
      <c r="R1890">
        <v>21.65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 s="3">
        <v>42562</v>
      </c>
      <c r="AC1890" t="s">
        <v>53</v>
      </c>
      <c r="AD1890" t="s">
        <v>53</v>
      </c>
      <c r="AK1890">
        <v>21.65</v>
      </c>
      <c r="AU1890" s="3">
        <v>42403</v>
      </c>
      <c r="AV1890" s="3">
        <v>42403</v>
      </c>
      <c r="AW1890" t="s">
        <v>54</v>
      </c>
      <c r="AX1890" t="str">
        <f t="shared" si="242"/>
        <v>FOR</v>
      </c>
      <c r="AY1890" t="s">
        <v>55</v>
      </c>
    </row>
    <row r="1891" spans="1:51" hidden="1">
      <c r="A1891">
        <v>101789</v>
      </c>
      <c r="B1891" t="s">
        <v>289</v>
      </c>
      <c r="C1891" t="str">
        <f t="shared" si="251"/>
        <v>01553270628</v>
      </c>
      <c r="D1891" t="str">
        <f t="shared" si="251"/>
        <v>01553270628</v>
      </c>
      <c r="E1891" t="s">
        <v>52</v>
      </c>
      <c r="F1891">
        <v>2015</v>
      </c>
      <c r="G1891" t="str">
        <f>"         000008/2015"</f>
        <v xml:space="preserve">         000008/2015</v>
      </c>
      <c r="H1891" s="3">
        <v>42287</v>
      </c>
      <c r="I1891" s="3">
        <v>42289</v>
      </c>
      <c r="J1891" s="3">
        <v>42287</v>
      </c>
      <c r="K1891" s="3">
        <v>42347</v>
      </c>
      <c r="L1891"/>
      <c r="N1891"/>
      <c r="O1891">
        <v>98.4</v>
      </c>
      <c r="P1891">
        <v>56</v>
      </c>
      <c r="Q1891" s="4">
        <v>5510.4</v>
      </c>
      <c r="R1891">
        <v>21.65</v>
      </c>
      <c r="V1891">
        <v>0</v>
      </c>
      <c r="W1891">
        <v>0</v>
      </c>
      <c r="X1891">
        <v>0</v>
      </c>
      <c r="Y1891">
        <v>0</v>
      </c>
      <c r="Z1891">
        <v>0</v>
      </c>
      <c r="AA1891">
        <v>0</v>
      </c>
      <c r="AB1891" s="3">
        <v>42562</v>
      </c>
      <c r="AC1891" t="s">
        <v>53</v>
      </c>
      <c r="AD1891" t="s">
        <v>53</v>
      </c>
      <c r="AK1891">
        <v>21.65</v>
      </c>
      <c r="AU1891" s="3">
        <v>42403</v>
      </c>
      <c r="AV1891" s="3">
        <v>42403</v>
      </c>
      <c r="AW1891" t="s">
        <v>54</v>
      </c>
      <c r="AX1891" t="str">
        <f t="shared" si="242"/>
        <v>FOR</v>
      </c>
      <c r="AY1891" t="s">
        <v>55</v>
      </c>
    </row>
    <row r="1892" spans="1:51" hidden="1">
      <c r="A1892">
        <v>101789</v>
      </c>
      <c r="B1892" t="s">
        <v>289</v>
      </c>
      <c r="C1892" t="str">
        <f t="shared" si="251"/>
        <v>01553270628</v>
      </c>
      <c r="D1892" t="str">
        <f t="shared" si="251"/>
        <v>01553270628</v>
      </c>
      <c r="E1892" t="s">
        <v>52</v>
      </c>
      <c r="F1892">
        <v>2015</v>
      </c>
      <c r="G1892" t="str">
        <f>"         000010/2015"</f>
        <v xml:space="preserve">         000010/2015</v>
      </c>
      <c r="H1892" s="3">
        <v>42324</v>
      </c>
      <c r="I1892" s="3">
        <v>42325</v>
      </c>
      <c r="J1892" s="3">
        <v>42324</v>
      </c>
      <c r="K1892" s="3">
        <v>42384</v>
      </c>
      <c r="L1892"/>
      <c r="N1892"/>
      <c r="O1892">
        <v>295</v>
      </c>
      <c r="P1892">
        <v>19</v>
      </c>
      <c r="Q1892" s="4">
        <v>5605</v>
      </c>
      <c r="R1892">
        <v>64.900000000000006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 s="3">
        <v>42562</v>
      </c>
      <c r="AC1892" t="s">
        <v>53</v>
      </c>
      <c r="AD1892" t="s">
        <v>53</v>
      </c>
      <c r="AJ1892">
        <v>64.900000000000006</v>
      </c>
      <c r="AK1892">
        <v>0</v>
      </c>
      <c r="AU1892" s="3">
        <v>42403</v>
      </c>
      <c r="AV1892" s="3">
        <v>42403</v>
      </c>
      <c r="AW1892" t="s">
        <v>54</v>
      </c>
      <c r="AX1892" t="str">
        <f t="shared" ref="AX1892:AX1955" si="252">"FOR"</f>
        <v>FOR</v>
      </c>
      <c r="AY1892" t="s">
        <v>55</v>
      </c>
    </row>
    <row r="1893" spans="1:51">
      <c r="A1893">
        <v>101802</v>
      </c>
      <c r="B1893" t="s">
        <v>290</v>
      </c>
      <c r="C1893" t="str">
        <f t="shared" ref="C1893:D1896" si="253">"01433030705"</f>
        <v>01433030705</v>
      </c>
      <c r="D1893" t="str">
        <f t="shared" si="253"/>
        <v>01433030705</v>
      </c>
      <c r="E1893" t="s">
        <v>52</v>
      </c>
      <c r="F1893">
        <v>2015</v>
      </c>
      <c r="G1893" t="str">
        <f>"              325/07"</f>
        <v xml:space="preserve">              325/07</v>
      </c>
      <c r="H1893" s="3">
        <v>42265</v>
      </c>
      <c r="I1893" s="3">
        <v>42272</v>
      </c>
      <c r="J1893" s="3">
        <v>42269</v>
      </c>
      <c r="K1893" s="3">
        <v>42329</v>
      </c>
      <c r="L1893" s="1">
        <v>445</v>
      </c>
      <c r="M1893">
        <v>191</v>
      </c>
      <c r="N1893" s="5">
        <v>84995</v>
      </c>
      <c r="O1893">
        <v>445</v>
      </c>
      <c r="P1893">
        <v>191</v>
      </c>
      <c r="Q1893" s="4">
        <v>84995</v>
      </c>
      <c r="R1893">
        <v>0</v>
      </c>
      <c r="V1893">
        <v>0</v>
      </c>
      <c r="W1893">
        <v>0</v>
      </c>
      <c r="X1893">
        <v>0</v>
      </c>
      <c r="Y1893">
        <v>0</v>
      </c>
      <c r="Z1893">
        <v>0</v>
      </c>
      <c r="AA1893">
        <v>0</v>
      </c>
      <c r="AB1893" s="3">
        <v>42562</v>
      </c>
      <c r="AC1893" t="s">
        <v>53</v>
      </c>
      <c r="AD1893" t="s">
        <v>53</v>
      </c>
      <c r="AK1893">
        <v>0</v>
      </c>
      <c r="AU1893" s="3">
        <v>42520</v>
      </c>
      <c r="AV1893" s="3">
        <v>42520</v>
      </c>
      <c r="AW1893" t="s">
        <v>54</v>
      </c>
      <c r="AX1893" t="str">
        <f t="shared" si="252"/>
        <v>FOR</v>
      </c>
      <c r="AY1893" t="s">
        <v>55</v>
      </c>
    </row>
    <row r="1894" spans="1:51">
      <c r="A1894">
        <v>101802</v>
      </c>
      <c r="B1894" t="s">
        <v>290</v>
      </c>
      <c r="C1894" t="str">
        <f t="shared" si="253"/>
        <v>01433030705</v>
      </c>
      <c r="D1894" t="str">
        <f t="shared" si="253"/>
        <v>01433030705</v>
      </c>
      <c r="E1894" t="s">
        <v>52</v>
      </c>
      <c r="F1894">
        <v>2015</v>
      </c>
      <c r="G1894" t="str">
        <f>"              407/07"</f>
        <v xml:space="preserve">              407/07</v>
      </c>
      <c r="H1894" s="3">
        <v>42300</v>
      </c>
      <c r="I1894" s="3">
        <v>42305</v>
      </c>
      <c r="J1894" s="3">
        <v>42303</v>
      </c>
      <c r="K1894" s="3">
        <v>42363</v>
      </c>
      <c r="L1894" s="1">
        <v>450</v>
      </c>
      <c r="M1894">
        <v>157</v>
      </c>
      <c r="N1894" s="5">
        <v>70650</v>
      </c>
      <c r="O1894">
        <v>450</v>
      </c>
      <c r="P1894">
        <v>157</v>
      </c>
      <c r="Q1894" s="4">
        <v>70650</v>
      </c>
      <c r="R1894">
        <v>0</v>
      </c>
      <c r="V1894">
        <v>0</v>
      </c>
      <c r="W1894">
        <v>0</v>
      </c>
      <c r="X1894">
        <v>0</v>
      </c>
      <c r="Y1894">
        <v>0</v>
      </c>
      <c r="Z1894">
        <v>0</v>
      </c>
      <c r="AA1894">
        <v>0</v>
      </c>
      <c r="AB1894" s="3">
        <v>42562</v>
      </c>
      <c r="AC1894" t="s">
        <v>53</v>
      </c>
      <c r="AD1894" t="s">
        <v>53</v>
      </c>
      <c r="AK1894">
        <v>0</v>
      </c>
      <c r="AU1894" s="3">
        <v>42520</v>
      </c>
      <c r="AV1894" s="3">
        <v>42520</v>
      </c>
      <c r="AW1894" t="s">
        <v>54</v>
      </c>
      <c r="AX1894" t="str">
        <f t="shared" si="252"/>
        <v>FOR</v>
      </c>
      <c r="AY1894" t="s">
        <v>55</v>
      </c>
    </row>
    <row r="1895" spans="1:51">
      <c r="A1895">
        <v>101802</v>
      </c>
      <c r="B1895" t="s">
        <v>290</v>
      </c>
      <c r="C1895" t="str">
        <f t="shared" si="253"/>
        <v>01433030705</v>
      </c>
      <c r="D1895" t="str">
        <f t="shared" si="253"/>
        <v>01433030705</v>
      </c>
      <c r="E1895" t="s">
        <v>52</v>
      </c>
      <c r="F1895">
        <v>2015</v>
      </c>
      <c r="G1895" t="str">
        <f>"              495/07"</f>
        <v xml:space="preserve">              495/07</v>
      </c>
      <c r="H1895" s="3">
        <v>42353</v>
      </c>
      <c r="I1895" s="3">
        <v>42356</v>
      </c>
      <c r="J1895" s="3">
        <v>42355</v>
      </c>
      <c r="K1895" s="3">
        <v>42415</v>
      </c>
      <c r="L1895" s="1">
        <v>450</v>
      </c>
      <c r="M1895">
        <v>105</v>
      </c>
      <c r="N1895" s="5">
        <v>47250</v>
      </c>
      <c r="O1895">
        <v>450</v>
      </c>
      <c r="P1895">
        <v>105</v>
      </c>
      <c r="Q1895" s="4">
        <v>47250</v>
      </c>
      <c r="R1895">
        <v>0</v>
      </c>
      <c r="V1895">
        <v>0</v>
      </c>
      <c r="W1895">
        <v>0</v>
      </c>
      <c r="X1895">
        <v>0</v>
      </c>
      <c r="Y1895">
        <v>0</v>
      </c>
      <c r="Z1895">
        <v>0</v>
      </c>
      <c r="AA1895">
        <v>0</v>
      </c>
      <c r="AB1895" s="3">
        <v>42562</v>
      </c>
      <c r="AC1895" t="s">
        <v>53</v>
      </c>
      <c r="AD1895" t="s">
        <v>53</v>
      </c>
      <c r="AK1895">
        <v>0</v>
      </c>
      <c r="AU1895" s="3">
        <v>42520</v>
      </c>
      <c r="AV1895" s="3">
        <v>42520</v>
      </c>
      <c r="AW1895" t="s">
        <v>54</v>
      </c>
      <c r="AX1895" t="str">
        <f t="shared" si="252"/>
        <v>FOR</v>
      </c>
      <c r="AY1895" t="s">
        <v>55</v>
      </c>
    </row>
    <row r="1896" spans="1:51">
      <c r="A1896">
        <v>101802</v>
      </c>
      <c r="B1896" t="s">
        <v>290</v>
      </c>
      <c r="C1896" t="str">
        <f t="shared" si="253"/>
        <v>01433030705</v>
      </c>
      <c r="D1896" t="str">
        <f t="shared" si="253"/>
        <v>01433030705</v>
      </c>
      <c r="E1896" t="s">
        <v>52</v>
      </c>
      <c r="F1896">
        <v>2015</v>
      </c>
      <c r="G1896" t="str">
        <f>"              497/07"</f>
        <v xml:space="preserve">              497/07</v>
      </c>
      <c r="H1896" s="3">
        <v>42355</v>
      </c>
      <c r="I1896" s="3">
        <v>42368</v>
      </c>
      <c r="J1896" s="3">
        <v>42360</v>
      </c>
      <c r="K1896" s="3">
        <v>42420</v>
      </c>
      <c r="L1896" s="1">
        <v>615</v>
      </c>
      <c r="M1896">
        <v>100</v>
      </c>
      <c r="N1896" s="5">
        <v>61500</v>
      </c>
      <c r="O1896">
        <v>615</v>
      </c>
      <c r="P1896">
        <v>100</v>
      </c>
      <c r="Q1896" s="4">
        <v>61500</v>
      </c>
      <c r="R1896">
        <v>0</v>
      </c>
      <c r="V1896">
        <v>0</v>
      </c>
      <c r="W1896">
        <v>0</v>
      </c>
      <c r="X1896">
        <v>0</v>
      </c>
      <c r="Y1896">
        <v>0</v>
      </c>
      <c r="Z1896">
        <v>0</v>
      </c>
      <c r="AA1896">
        <v>0</v>
      </c>
      <c r="AB1896" s="3">
        <v>42562</v>
      </c>
      <c r="AC1896" t="s">
        <v>53</v>
      </c>
      <c r="AD1896" t="s">
        <v>53</v>
      </c>
      <c r="AK1896">
        <v>0</v>
      </c>
      <c r="AU1896" s="3">
        <v>42520</v>
      </c>
      <c r="AV1896" s="3">
        <v>42520</v>
      </c>
      <c r="AW1896" t="s">
        <v>54</v>
      </c>
      <c r="AX1896" t="str">
        <f t="shared" si="252"/>
        <v>FOR</v>
      </c>
      <c r="AY1896" t="s">
        <v>55</v>
      </c>
    </row>
    <row r="1897" spans="1:51" hidden="1">
      <c r="A1897">
        <v>101808</v>
      </c>
      <c r="B1897" t="s">
        <v>291</v>
      </c>
      <c r="C1897" t="str">
        <f t="shared" ref="C1897:C1905" si="254">"02405380102"</f>
        <v>02405380102</v>
      </c>
      <c r="D1897" t="str">
        <f t="shared" ref="D1897:D1905" si="255">"00248660599"</f>
        <v>00248660599</v>
      </c>
      <c r="E1897" t="s">
        <v>52</v>
      </c>
      <c r="F1897">
        <v>2015</v>
      </c>
      <c r="G1897" t="str">
        <f>"              200883"</f>
        <v xml:space="preserve">              200883</v>
      </c>
      <c r="H1897" s="3">
        <v>42051</v>
      </c>
      <c r="I1897" s="3">
        <v>42086</v>
      </c>
      <c r="J1897" s="3">
        <v>42086</v>
      </c>
      <c r="K1897" s="3">
        <v>42146</v>
      </c>
      <c r="L1897"/>
      <c r="N1897"/>
      <c r="O1897">
        <v>72.67</v>
      </c>
      <c r="P1897">
        <v>262</v>
      </c>
      <c r="Q1897" s="4">
        <v>19039.54</v>
      </c>
      <c r="R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 s="3">
        <v>42562</v>
      </c>
      <c r="AC1897" t="s">
        <v>53</v>
      </c>
      <c r="AD1897" t="s">
        <v>53</v>
      </c>
      <c r="AK1897">
        <v>0</v>
      </c>
      <c r="AU1897" s="3">
        <v>42408</v>
      </c>
      <c r="AV1897" s="3">
        <v>42408</v>
      </c>
      <c r="AW1897" t="s">
        <v>54</v>
      </c>
      <c r="AX1897" t="str">
        <f t="shared" si="252"/>
        <v>FOR</v>
      </c>
      <c r="AY1897" t="s">
        <v>55</v>
      </c>
    </row>
    <row r="1898" spans="1:51" hidden="1">
      <c r="A1898">
        <v>101808</v>
      </c>
      <c r="B1898" t="s">
        <v>291</v>
      </c>
      <c r="C1898" t="str">
        <f t="shared" si="254"/>
        <v>02405380102</v>
      </c>
      <c r="D1898" t="str">
        <f t="shared" si="255"/>
        <v>00248660599</v>
      </c>
      <c r="E1898" t="s">
        <v>52</v>
      </c>
      <c r="F1898">
        <v>2015</v>
      </c>
      <c r="G1898" t="str">
        <f>"              201180"</f>
        <v xml:space="preserve">              201180</v>
      </c>
      <c r="H1898" s="3">
        <v>42060</v>
      </c>
      <c r="I1898" s="3">
        <v>42086</v>
      </c>
      <c r="J1898" s="3">
        <v>42086</v>
      </c>
      <c r="K1898" s="3">
        <v>42146</v>
      </c>
      <c r="L1898"/>
      <c r="N1898"/>
      <c r="O1898">
        <v>797.5</v>
      </c>
      <c r="P1898">
        <v>262</v>
      </c>
      <c r="Q1898" s="4">
        <v>208945</v>
      </c>
      <c r="R1898">
        <v>0</v>
      </c>
      <c r="V1898">
        <v>0</v>
      </c>
      <c r="W1898">
        <v>0</v>
      </c>
      <c r="X1898">
        <v>0</v>
      </c>
      <c r="Y1898">
        <v>0</v>
      </c>
      <c r="Z1898">
        <v>0</v>
      </c>
      <c r="AA1898">
        <v>0</v>
      </c>
      <c r="AB1898" s="3">
        <v>42562</v>
      </c>
      <c r="AC1898" t="s">
        <v>53</v>
      </c>
      <c r="AD1898" t="s">
        <v>53</v>
      </c>
      <c r="AK1898">
        <v>0</v>
      </c>
      <c r="AU1898" s="3">
        <v>42408</v>
      </c>
      <c r="AV1898" s="3">
        <v>42408</v>
      </c>
      <c r="AW1898" t="s">
        <v>54</v>
      </c>
      <c r="AX1898" t="str">
        <f t="shared" si="252"/>
        <v>FOR</v>
      </c>
      <c r="AY1898" t="s">
        <v>55</v>
      </c>
    </row>
    <row r="1899" spans="1:51" hidden="1">
      <c r="A1899">
        <v>101808</v>
      </c>
      <c r="B1899" t="s">
        <v>291</v>
      </c>
      <c r="C1899" t="str">
        <f t="shared" si="254"/>
        <v>02405380102</v>
      </c>
      <c r="D1899" t="str">
        <f t="shared" si="255"/>
        <v>00248660599</v>
      </c>
      <c r="E1899" t="s">
        <v>52</v>
      </c>
      <c r="F1899">
        <v>2015</v>
      </c>
      <c r="G1899" t="str">
        <f>"              201713"</f>
        <v xml:space="preserve">              201713</v>
      </c>
      <c r="H1899" s="3">
        <v>42083</v>
      </c>
      <c r="I1899" s="3">
        <v>42109</v>
      </c>
      <c r="J1899" s="3">
        <v>42109</v>
      </c>
      <c r="K1899" s="3">
        <v>42169</v>
      </c>
      <c r="L1899"/>
      <c r="N1899"/>
      <c r="O1899">
        <v>375</v>
      </c>
      <c r="P1899">
        <v>239</v>
      </c>
      <c r="Q1899" s="4">
        <v>89625</v>
      </c>
      <c r="R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 s="3">
        <v>42562</v>
      </c>
      <c r="AC1899" t="s">
        <v>53</v>
      </c>
      <c r="AD1899" t="s">
        <v>53</v>
      </c>
      <c r="AK1899">
        <v>0</v>
      </c>
      <c r="AU1899" s="3">
        <v>42408</v>
      </c>
      <c r="AV1899" s="3">
        <v>42408</v>
      </c>
      <c r="AW1899" t="s">
        <v>54</v>
      </c>
      <c r="AX1899" t="str">
        <f t="shared" si="252"/>
        <v>FOR</v>
      </c>
      <c r="AY1899" t="s">
        <v>55</v>
      </c>
    </row>
    <row r="1900" spans="1:51" hidden="1">
      <c r="A1900">
        <v>101808</v>
      </c>
      <c r="B1900" t="s">
        <v>291</v>
      </c>
      <c r="C1900" t="str">
        <f t="shared" si="254"/>
        <v>02405380102</v>
      </c>
      <c r="D1900" t="str">
        <f t="shared" si="255"/>
        <v>00248660599</v>
      </c>
      <c r="E1900" t="s">
        <v>52</v>
      </c>
      <c r="F1900">
        <v>2015</v>
      </c>
      <c r="G1900" t="str">
        <f>"           15/E00131"</f>
        <v xml:space="preserve">           15/E00131</v>
      </c>
      <c r="H1900" s="3">
        <v>42101</v>
      </c>
      <c r="I1900" s="3">
        <v>42107</v>
      </c>
      <c r="J1900" s="3">
        <v>42103</v>
      </c>
      <c r="K1900" s="3">
        <v>42163</v>
      </c>
      <c r="L1900"/>
      <c r="N1900"/>
      <c r="O1900" s="4">
        <v>13917.5</v>
      </c>
      <c r="P1900">
        <v>290</v>
      </c>
      <c r="Q1900" s="4">
        <v>4036075</v>
      </c>
      <c r="R1900">
        <v>0</v>
      </c>
      <c r="V1900">
        <v>0</v>
      </c>
      <c r="W1900">
        <v>0</v>
      </c>
      <c r="X1900">
        <v>0</v>
      </c>
      <c r="Y1900">
        <v>0</v>
      </c>
      <c r="Z1900">
        <v>0</v>
      </c>
      <c r="AA1900">
        <v>0</v>
      </c>
      <c r="AB1900" s="3">
        <v>42562</v>
      </c>
      <c r="AC1900" t="s">
        <v>53</v>
      </c>
      <c r="AD1900" t="s">
        <v>53</v>
      </c>
      <c r="AK1900">
        <v>0</v>
      </c>
      <c r="AU1900" s="3">
        <v>42453</v>
      </c>
      <c r="AV1900" s="3">
        <v>42453</v>
      </c>
      <c r="AW1900" t="s">
        <v>54</v>
      </c>
      <c r="AX1900" t="str">
        <f t="shared" si="252"/>
        <v>FOR</v>
      </c>
      <c r="AY1900" t="s">
        <v>55</v>
      </c>
    </row>
    <row r="1901" spans="1:51" hidden="1">
      <c r="A1901">
        <v>101808</v>
      </c>
      <c r="B1901" t="s">
        <v>291</v>
      </c>
      <c r="C1901" t="str">
        <f t="shared" si="254"/>
        <v>02405380102</v>
      </c>
      <c r="D1901" t="str">
        <f t="shared" si="255"/>
        <v>00248660599</v>
      </c>
      <c r="E1901" t="s">
        <v>52</v>
      </c>
      <c r="F1901">
        <v>2015</v>
      </c>
      <c r="G1901" t="str">
        <f>"           15/E00302"</f>
        <v xml:space="preserve">           15/E00302</v>
      </c>
      <c r="H1901" s="3">
        <v>42109</v>
      </c>
      <c r="I1901" s="3">
        <v>42115</v>
      </c>
      <c r="J1901" s="3">
        <v>42110</v>
      </c>
      <c r="K1901" s="3">
        <v>42170</v>
      </c>
      <c r="L1901"/>
      <c r="N1901"/>
      <c r="O1901" s="4">
        <v>3064</v>
      </c>
      <c r="P1901">
        <v>283</v>
      </c>
      <c r="Q1901" s="4">
        <v>867112</v>
      </c>
      <c r="R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 s="3">
        <v>42562</v>
      </c>
      <c r="AC1901" t="s">
        <v>53</v>
      </c>
      <c r="AD1901" t="s">
        <v>53</v>
      </c>
      <c r="AK1901">
        <v>0</v>
      </c>
      <c r="AU1901" s="3">
        <v>42453</v>
      </c>
      <c r="AV1901" s="3">
        <v>42453</v>
      </c>
      <c r="AW1901" t="s">
        <v>54</v>
      </c>
      <c r="AX1901" t="str">
        <f t="shared" si="252"/>
        <v>FOR</v>
      </c>
      <c r="AY1901" t="s">
        <v>55</v>
      </c>
    </row>
    <row r="1902" spans="1:51" hidden="1">
      <c r="A1902">
        <v>101808</v>
      </c>
      <c r="B1902" t="s">
        <v>291</v>
      </c>
      <c r="C1902" t="str">
        <f t="shared" si="254"/>
        <v>02405380102</v>
      </c>
      <c r="D1902" t="str">
        <f t="shared" si="255"/>
        <v>00248660599</v>
      </c>
      <c r="E1902" t="s">
        <v>52</v>
      </c>
      <c r="F1902">
        <v>2015</v>
      </c>
      <c r="G1902" t="str">
        <f>"           15/E00303"</f>
        <v xml:space="preserve">           15/E00303</v>
      </c>
      <c r="H1902" s="3">
        <v>42109</v>
      </c>
      <c r="I1902" s="3">
        <v>42115</v>
      </c>
      <c r="J1902" s="3">
        <v>42114</v>
      </c>
      <c r="K1902" s="3">
        <v>42174</v>
      </c>
      <c r="L1902"/>
      <c r="N1902"/>
      <c r="O1902" s="4">
        <v>8074.99</v>
      </c>
      <c r="P1902">
        <v>279</v>
      </c>
      <c r="Q1902" s="4">
        <v>2252922.21</v>
      </c>
      <c r="R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 s="3">
        <v>42562</v>
      </c>
      <c r="AC1902" t="s">
        <v>53</v>
      </c>
      <c r="AD1902" t="s">
        <v>53</v>
      </c>
      <c r="AK1902">
        <v>0</v>
      </c>
      <c r="AU1902" s="3">
        <v>42453</v>
      </c>
      <c r="AV1902" s="3">
        <v>42453</v>
      </c>
      <c r="AW1902" t="s">
        <v>54</v>
      </c>
      <c r="AX1902" t="str">
        <f t="shared" si="252"/>
        <v>FOR</v>
      </c>
      <c r="AY1902" t="s">
        <v>55</v>
      </c>
    </row>
    <row r="1903" spans="1:51" hidden="1">
      <c r="A1903">
        <v>101808</v>
      </c>
      <c r="B1903" t="s">
        <v>291</v>
      </c>
      <c r="C1903" t="str">
        <f t="shared" si="254"/>
        <v>02405380102</v>
      </c>
      <c r="D1903" t="str">
        <f t="shared" si="255"/>
        <v>00248660599</v>
      </c>
      <c r="E1903" t="s">
        <v>52</v>
      </c>
      <c r="F1903">
        <v>2015</v>
      </c>
      <c r="G1903" t="str">
        <f>"           15/E01057"</f>
        <v xml:space="preserve">           15/E01057</v>
      </c>
      <c r="H1903" s="3">
        <v>42145</v>
      </c>
      <c r="I1903" s="3">
        <v>42160</v>
      </c>
      <c r="J1903" s="3">
        <v>42146</v>
      </c>
      <c r="K1903" s="3">
        <v>42206</v>
      </c>
      <c r="L1903"/>
      <c r="N1903"/>
      <c r="O1903" s="4">
        <v>2084</v>
      </c>
      <c r="P1903">
        <v>247</v>
      </c>
      <c r="Q1903" s="4">
        <v>514748</v>
      </c>
      <c r="R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 s="3">
        <v>42562</v>
      </c>
      <c r="AC1903" t="s">
        <v>53</v>
      </c>
      <c r="AD1903" t="s">
        <v>53</v>
      </c>
      <c r="AK1903">
        <v>0</v>
      </c>
      <c r="AU1903" s="3">
        <v>42453</v>
      </c>
      <c r="AV1903" s="3">
        <v>42453</v>
      </c>
      <c r="AW1903" t="s">
        <v>54</v>
      </c>
      <c r="AX1903" t="str">
        <f t="shared" si="252"/>
        <v>FOR</v>
      </c>
      <c r="AY1903" t="s">
        <v>55</v>
      </c>
    </row>
    <row r="1904" spans="1:51">
      <c r="A1904">
        <v>101808</v>
      </c>
      <c r="B1904" t="s">
        <v>291</v>
      </c>
      <c r="C1904" t="str">
        <f t="shared" si="254"/>
        <v>02405380102</v>
      </c>
      <c r="D1904" t="str">
        <f t="shared" si="255"/>
        <v>00248660599</v>
      </c>
      <c r="E1904" t="s">
        <v>52</v>
      </c>
      <c r="F1904">
        <v>2015</v>
      </c>
      <c r="G1904" t="str">
        <f>"           15/E01593"</f>
        <v xml:space="preserve">           15/E01593</v>
      </c>
      <c r="H1904" s="3">
        <v>42170</v>
      </c>
      <c r="I1904" s="3">
        <v>42172</v>
      </c>
      <c r="J1904" s="3">
        <v>42171</v>
      </c>
      <c r="K1904" s="3">
        <v>42231</v>
      </c>
      <c r="L1904" s="5">
        <v>7198.67</v>
      </c>
      <c r="M1904">
        <v>296</v>
      </c>
      <c r="N1904" s="5">
        <v>2130806.3199999998</v>
      </c>
      <c r="O1904" s="4">
        <v>7198.67</v>
      </c>
      <c r="P1904">
        <v>296</v>
      </c>
      <c r="Q1904" s="4">
        <v>2130806.3199999998</v>
      </c>
      <c r="R1904" s="4">
        <v>1583.71</v>
      </c>
      <c r="V1904">
        <v>0</v>
      </c>
      <c r="W1904">
        <v>0</v>
      </c>
      <c r="X1904">
        <v>0</v>
      </c>
      <c r="Y1904">
        <v>0</v>
      </c>
      <c r="Z1904">
        <v>0</v>
      </c>
      <c r="AA1904">
        <v>0</v>
      </c>
      <c r="AB1904" s="3">
        <v>42562</v>
      </c>
      <c r="AC1904" t="s">
        <v>53</v>
      </c>
      <c r="AD1904" t="s">
        <v>53</v>
      </c>
      <c r="AK1904" s="4">
        <v>1583.71</v>
      </c>
      <c r="AU1904" s="3">
        <v>42527</v>
      </c>
      <c r="AV1904" s="3">
        <v>42527</v>
      </c>
      <c r="AW1904" t="s">
        <v>54</v>
      </c>
      <c r="AX1904" t="str">
        <f t="shared" si="252"/>
        <v>FOR</v>
      </c>
      <c r="AY1904" t="s">
        <v>55</v>
      </c>
    </row>
    <row r="1905" spans="1:51">
      <c r="A1905">
        <v>101808</v>
      </c>
      <c r="B1905" t="s">
        <v>291</v>
      </c>
      <c r="C1905" t="str">
        <f t="shared" si="254"/>
        <v>02405380102</v>
      </c>
      <c r="D1905" t="str">
        <f t="shared" si="255"/>
        <v>00248660599</v>
      </c>
      <c r="E1905" t="s">
        <v>52</v>
      </c>
      <c r="F1905">
        <v>2015</v>
      </c>
      <c r="G1905" t="str">
        <f>"           15/E01976"</f>
        <v xml:space="preserve">           15/E01976</v>
      </c>
      <c r="H1905" s="3">
        <v>42184</v>
      </c>
      <c r="I1905" s="3">
        <v>42191</v>
      </c>
      <c r="J1905" s="3">
        <v>42186</v>
      </c>
      <c r="K1905" s="3">
        <v>42246</v>
      </c>
      <c r="L1905" s="1">
        <v>290.67</v>
      </c>
      <c r="M1905">
        <v>281</v>
      </c>
      <c r="N1905" s="5">
        <v>81678.27</v>
      </c>
      <c r="O1905">
        <v>290.67</v>
      </c>
      <c r="P1905">
        <v>281</v>
      </c>
      <c r="Q1905" s="4">
        <v>81678.27</v>
      </c>
      <c r="R1905">
        <v>63.95</v>
      </c>
      <c r="V1905">
        <v>0</v>
      </c>
      <c r="W1905">
        <v>0</v>
      </c>
      <c r="X1905">
        <v>0</v>
      </c>
      <c r="Y1905">
        <v>0</v>
      </c>
      <c r="Z1905">
        <v>0</v>
      </c>
      <c r="AA1905">
        <v>0</v>
      </c>
      <c r="AB1905" s="3">
        <v>42562</v>
      </c>
      <c r="AC1905" t="s">
        <v>53</v>
      </c>
      <c r="AD1905" t="s">
        <v>53</v>
      </c>
      <c r="AK1905">
        <v>63.95</v>
      </c>
      <c r="AU1905" s="3">
        <v>42527</v>
      </c>
      <c r="AV1905" s="3">
        <v>42527</v>
      </c>
      <c r="AW1905" t="s">
        <v>54</v>
      </c>
      <c r="AX1905" t="str">
        <f t="shared" si="252"/>
        <v>FOR</v>
      </c>
      <c r="AY1905" t="s">
        <v>55</v>
      </c>
    </row>
    <row r="1906" spans="1:51" hidden="1">
      <c r="A1906">
        <v>101809</v>
      </c>
      <c r="B1906" t="s">
        <v>292</v>
      </c>
      <c r="C1906" t="str">
        <f t="shared" ref="C1906:D1910" si="256">"05724831002"</f>
        <v>05724831002</v>
      </c>
      <c r="D1906" t="str">
        <f t="shared" si="256"/>
        <v>05724831002</v>
      </c>
      <c r="E1906" t="s">
        <v>52</v>
      </c>
      <c r="F1906">
        <v>2015</v>
      </c>
      <c r="G1906" t="str">
        <f>"          2015901813"</f>
        <v xml:space="preserve">          2015901813</v>
      </c>
      <c r="H1906" s="3">
        <v>42216</v>
      </c>
      <c r="I1906" s="3">
        <v>42228</v>
      </c>
      <c r="J1906" s="3">
        <v>42222</v>
      </c>
      <c r="K1906" s="3">
        <v>42282</v>
      </c>
      <c r="L1906"/>
      <c r="N1906"/>
      <c r="O1906" s="4">
        <v>5330.54</v>
      </c>
      <c r="P1906">
        <v>121</v>
      </c>
      <c r="Q1906" s="4">
        <v>644995.34</v>
      </c>
      <c r="R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 s="3">
        <v>42562</v>
      </c>
      <c r="AC1906" t="s">
        <v>53</v>
      </c>
      <c r="AD1906" t="s">
        <v>53</v>
      </c>
      <c r="AK1906">
        <v>0</v>
      </c>
      <c r="AU1906" s="3">
        <v>42403</v>
      </c>
      <c r="AV1906" s="3">
        <v>42403</v>
      </c>
      <c r="AW1906" t="s">
        <v>54</v>
      </c>
      <c r="AX1906" t="str">
        <f t="shared" si="252"/>
        <v>FOR</v>
      </c>
      <c r="AY1906" t="s">
        <v>55</v>
      </c>
    </row>
    <row r="1907" spans="1:51" hidden="1">
      <c r="A1907">
        <v>101809</v>
      </c>
      <c r="B1907" t="s">
        <v>292</v>
      </c>
      <c r="C1907" t="str">
        <f t="shared" si="256"/>
        <v>05724831002</v>
      </c>
      <c r="D1907" t="str">
        <f t="shared" si="256"/>
        <v>05724831002</v>
      </c>
      <c r="E1907" t="s">
        <v>52</v>
      </c>
      <c r="F1907">
        <v>2015</v>
      </c>
      <c r="G1907" t="str">
        <f>"          2015902145"</f>
        <v xml:space="preserve">          2015902145</v>
      </c>
      <c r="H1907" s="3">
        <v>42247</v>
      </c>
      <c r="I1907" s="3">
        <v>42261</v>
      </c>
      <c r="J1907" s="3">
        <v>42257</v>
      </c>
      <c r="K1907" s="3">
        <v>42317</v>
      </c>
      <c r="L1907"/>
      <c r="N1907"/>
      <c r="O1907" s="4">
        <v>5330.54</v>
      </c>
      <c r="P1907">
        <v>99</v>
      </c>
      <c r="Q1907" s="4">
        <v>527723.46</v>
      </c>
      <c r="R1907">
        <v>0</v>
      </c>
      <c r="V1907">
        <v>0</v>
      </c>
      <c r="W1907">
        <v>0</v>
      </c>
      <c r="X1907">
        <v>0</v>
      </c>
      <c r="Y1907">
        <v>0</v>
      </c>
      <c r="Z1907">
        <v>0</v>
      </c>
      <c r="AA1907">
        <v>0</v>
      </c>
      <c r="AB1907" s="3">
        <v>42562</v>
      </c>
      <c r="AC1907" t="s">
        <v>53</v>
      </c>
      <c r="AD1907" t="s">
        <v>53</v>
      </c>
      <c r="AK1907">
        <v>0</v>
      </c>
      <c r="AU1907" s="3">
        <v>42416</v>
      </c>
      <c r="AV1907" s="3">
        <v>42416</v>
      </c>
      <c r="AW1907" t="s">
        <v>54</v>
      </c>
      <c r="AX1907" t="str">
        <f t="shared" si="252"/>
        <v>FOR</v>
      </c>
      <c r="AY1907" t="s">
        <v>55</v>
      </c>
    </row>
    <row r="1908" spans="1:51" hidden="1">
      <c r="A1908">
        <v>101809</v>
      </c>
      <c r="B1908" t="s">
        <v>292</v>
      </c>
      <c r="C1908" t="str">
        <f t="shared" si="256"/>
        <v>05724831002</v>
      </c>
      <c r="D1908" t="str">
        <f t="shared" si="256"/>
        <v>05724831002</v>
      </c>
      <c r="E1908" t="s">
        <v>52</v>
      </c>
      <c r="F1908">
        <v>2015</v>
      </c>
      <c r="G1908" t="str">
        <f>"          2015902431"</f>
        <v xml:space="preserve">          2015902431</v>
      </c>
      <c r="H1908" s="3">
        <v>42277</v>
      </c>
      <c r="I1908" s="3">
        <v>42286</v>
      </c>
      <c r="J1908" s="3">
        <v>42285</v>
      </c>
      <c r="K1908" s="3">
        <v>42345</v>
      </c>
      <c r="L1908"/>
      <c r="N1908"/>
      <c r="O1908" s="4">
        <v>5330.54</v>
      </c>
      <c r="P1908">
        <v>108</v>
      </c>
      <c r="Q1908" s="4">
        <v>575698.31999999995</v>
      </c>
      <c r="R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 s="3">
        <v>42562</v>
      </c>
      <c r="AC1908" t="s">
        <v>53</v>
      </c>
      <c r="AD1908" t="s">
        <v>53</v>
      </c>
      <c r="AK1908">
        <v>0</v>
      </c>
      <c r="AU1908" s="3">
        <v>42453</v>
      </c>
      <c r="AV1908" s="3">
        <v>42453</v>
      </c>
      <c r="AW1908" t="s">
        <v>54</v>
      </c>
      <c r="AX1908" t="str">
        <f t="shared" si="252"/>
        <v>FOR</v>
      </c>
      <c r="AY1908" t="s">
        <v>55</v>
      </c>
    </row>
    <row r="1909" spans="1:51">
      <c r="A1909">
        <v>101809</v>
      </c>
      <c r="B1909" t="s">
        <v>292</v>
      </c>
      <c r="C1909" t="str">
        <f t="shared" si="256"/>
        <v>05724831002</v>
      </c>
      <c r="D1909" t="str">
        <f t="shared" si="256"/>
        <v>05724831002</v>
      </c>
      <c r="E1909" t="s">
        <v>52</v>
      </c>
      <c r="F1909">
        <v>2015</v>
      </c>
      <c r="G1909" t="str">
        <f>"          2015902926"</f>
        <v xml:space="preserve">          2015902926</v>
      </c>
      <c r="H1909" s="3">
        <v>42308</v>
      </c>
      <c r="I1909" s="3">
        <v>42320</v>
      </c>
      <c r="J1909" s="3">
        <v>42318</v>
      </c>
      <c r="K1909" s="3">
        <v>42378</v>
      </c>
      <c r="L1909" s="5">
        <v>5330.54</v>
      </c>
      <c r="M1909">
        <v>142</v>
      </c>
      <c r="N1909" s="5">
        <v>756936.68</v>
      </c>
      <c r="O1909" s="4">
        <v>5330.54</v>
      </c>
      <c r="P1909">
        <v>142</v>
      </c>
      <c r="Q1909" s="4">
        <v>756936.68</v>
      </c>
      <c r="R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 s="3">
        <v>42562</v>
      </c>
      <c r="AC1909" t="s">
        <v>53</v>
      </c>
      <c r="AD1909" t="s">
        <v>53</v>
      </c>
      <c r="AK1909">
        <v>0</v>
      </c>
      <c r="AU1909" s="3">
        <v>42520</v>
      </c>
      <c r="AV1909" s="3">
        <v>42520</v>
      </c>
      <c r="AW1909" t="s">
        <v>54</v>
      </c>
      <c r="AX1909" t="str">
        <f t="shared" si="252"/>
        <v>FOR</v>
      </c>
      <c r="AY1909" t="s">
        <v>55</v>
      </c>
    </row>
    <row r="1910" spans="1:51">
      <c r="A1910">
        <v>101809</v>
      </c>
      <c r="B1910" t="s">
        <v>292</v>
      </c>
      <c r="C1910" t="str">
        <f t="shared" si="256"/>
        <v>05724831002</v>
      </c>
      <c r="D1910" t="str">
        <f t="shared" si="256"/>
        <v>05724831002</v>
      </c>
      <c r="E1910" t="s">
        <v>52</v>
      </c>
      <c r="F1910">
        <v>2015</v>
      </c>
      <c r="G1910" t="str">
        <f>"          2015903472"</f>
        <v xml:space="preserve">          2015903472</v>
      </c>
      <c r="H1910" s="3">
        <v>42338</v>
      </c>
      <c r="I1910" s="3">
        <v>42352</v>
      </c>
      <c r="J1910" s="3">
        <v>42352</v>
      </c>
      <c r="K1910" s="3">
        <v>42412</v>
      </c>
      <c r="L1910" s="5">
        <v>5330.54</v>
      </c>
      <c r="M1910">
        <v>108</v>
      </c>
      <c r="N1910" s="5">
        <v>575698.31999999995</v>
      </c>
      <c r="O1910" s="4">
        <v>5330.54</v>
      </c>
      <c r="P1910">
        <v>108</v>
      </c>
      <c r="Q1910" s="4">
        <v>575698.31999999995</v>
      </c>
      <c r="R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 s="3">
        <v>42562</v>
      </c>
      <c r="AC1910" t="s">
        <v>53</v>
      </c>
      <c r="AD1910" t="s">
        <v>53</v>
      </c>
      <c r="AK1910">
        <v>0</v>
      </c>
      <c r="AU1910" s="3">
        <v>42520</v>
      </c>
      <c r="AV1910" s="3">
        <v>42520</v>
      </c>
      <c r="AW1910" t="s">
        <v>54</v>
      </c>
      <c r="AX1910" t="str">
        <f t="shared" si="252"/>
        <v>FOR</v>
      </c>
      <c r="AY1910" t="s">
        <v>55</v>
      </c>
    </row>
    <row r="1911" spans="1:51" hidden="1">
      <c r="A1911">
        <v>101810</v>
      </c>
      <c r="B1911" t="s">
        <v>293</v>
      </c>
      <c r="C1911" t="str">
        <f>"02722690647"</f>
        <v>02722690647</v>
      </c>
      <c r="D1911" t="str">
        <f>"02722690647"</f>
        <v>02722690647</v>
      </c>
      <c r="E1911" t="s">
        <v>52</v>
      </c>
      <c r="F1911">
        <v>2016</v>
      </c>
      <c r="G1911" t="str">
        <f>"                   6"</f>
        <v xml:space="preserve">                   6</v>
      </c>
      <c r="H1911" s="3">
        <v>42404</v>
      </c>
      <c r="I1911" s="3">
        <v>42415</v>
      </c>
      <c r="J1911" s="3">
        <v>42413</v>
      </c>
      <c r="K1911" s="3">
        <v>42473</v>
      </c>
      <c r="L1911"/>
      <c r="N1911"/>
      <c r="O1911" s="4">
        <v>4300</v>
      </c>
      <c r="P1911">
        <v>-20</v>
      </c>
      <c r="Q1911" s="4">
        <v>-86000</v>
      </c>
      <c r="R1911">
        <v>0</v>
      </c>
      <c r="V1911">
        <v>0</v>
      </c>
      <c r="W1911">
        <v>0</v>
      </c>
      <c r="X1911">
        <v>0</v>
      </c>
      <c r="Y1911">
        <v>0</v>
      </c>
      <c r="Z1911" s="4">
        <v>5246</v>
      </c>
      <c r="AA1911" s="4">
        <v>5246</v>
      </c>
      <c r="AB1911" s="3">
        <v>42562</v>
      </c>
      <c r="AC1911" t="s">
        <v>53</v>
      </c>
      <c r="AD1911" t="s">
        <v>53</v>
      </c>
      <c r="AK1911">
        <v>0</v>
      </c>
      <c r="AU1911" s="3">
        <v>42453</v>
      </c>
      <c r="AV1911" s="3">
        <v>42453</v>
      </c>
      <c r="AW1911" t="s">
        <v>54</v>
      </c>
      <c r="AX1911" t="str">
        <f t="shared" si="252"/>
        <v>FOR</v>
      </c>
      <c r="AY1911" t="s">
        <v>55</v>
      </c>
    </row>
    <row r="1912" spans="1:51" hidden="1">
      <c r="A1912">
        <v>101812</v>
      </c>
      <c r="B1912" t="s">
        <v>294</v>
      </c>
      <c r="C1912" t="str">
        <f t="shared" ref="C1912:D1919" si="257">"02764431215"</f>
        <v>02764431215</v>
      </c>
      <c r="D1912" t="str">
        <f t="shared" si="257"/>
        <v>02764431215</v>
      </c>
      <c r="E1912" t="s">
        <v>52</v>
      </c>
      <c r="F1912">
        <v>2015</v>
      </c>
      <c r="G1912" t="str">
        <f>"                1/PA"</f>
        <v xml:space="preserve">                1/PA</v>
      </c>
      <c r="H1912" s="3">
        <v>42110</v>
      </c>
      <c r="I1912" s="3">
        <v>42116</v>
      </c>
      <c r="J1912" s="3">
        <v>42113</v>
      </c>
      <c r="K1912" s="3">
        <v>42173</v>
      </c>
      <c r="L1912"/>
      <c r="N1912"/>
      <c r="O1912" s="4">
        <v>12027.12</v>
      </c>
      <c r="P1912">
        <v>230</v>
      </c>
      <c r="Q1912" s="4">
        <v>2766237.6</v>
      </c>
      <c r="R1912">
        <v>0</v>
      </c>
      <c r="V1912">
        <v>0</v>
      </c>
      <c r="W1912">
        <v>0</v>
      </c>
      <c r="X1912">
        <v>0</v>
      </c>
      <c r="Y1912">
        <v>0</v>
      </c>
      <c r="Z1912">
        <v>0</v>
      </c>
      <c r="AA1912">
        <v>0</v>
      </c>
      <c r="AB1912" s="3">
        <v>42562</v>
      </c>
      <c r="AC1912" t="s">
        <v>53</v>
      </c>
      <c r="AD1912" t="s">
        <v>53</v>
      </c>
      <c r="AK1912">
        <v>0</v>
      </c>
      <c r="AU1912" s="3">
        <v>42403</v>
      </c>
      <c r="AV1912" s="3">
        <v>42403</v>
      </c>
      <c r="AW1912" t="s">
        <v>54</v>
      </c>
      <c r="AX1912" t="str">
        <f t="shared" si="252"/>
        <v>FOR</v>
      </c>
      <c r="AY1912" t="s">
        <v>55</v>
      </c>
    </row>
    <row r="1913" spans="1:51" hidden="1">
      <c r="A1913">
        <v>101812</v>
      </c>
      <c r="B1913" t="s">
        <v>294</v>
      </c>
      <c r="C1913" t="str">
        <f t="shared" si="257"/>
        <v>02764431215</v>
      </c>
      <c r="D1913" t="str">
        <f t="shared" si="257"/>
        <v>02764431215</v>
      </c>
      <c r="E1913" t="s">
        <v>52</v>
      </c>
      <c r="F1913">
        <v>2015</v>
      </c>
      <c r="G1913" t="str">
        <f>"                4/PA"</f>
        <v xml:space="preserve">                4/PA</v>
      </c>
      <c r="H1913" s="3">
        <v>42123</v>
      </c>
      <c r="I1913" s="3">
        <v>42124</v>
      </c>
      <c r="J1913" s="3">
        <v>42123</v>
      </c>
      <c r="K1913" s="3">
        <v>42183</v>
      </c>
      <c r="L1913"/>
      <c r="N1913"/>
      <c r="O1913" s="4">
        <v>8905.51</v>
      </c>
      <c r="P1913">
        <v>220</v>
      </c>
      <c r="Q1913" s="4">
        <v>1959212.2</v>
      </c>
      <c r="R1913">
        <v>0</v>
      </c>
      <c r="V1913">
        <v>0</v>
      </c>
      <c r="W1913">
        <v>0</v>
      </c>
      <c r="X1913">
        <v>0</v>
      </c>
      <c r="Y1913">
        <v>0</v>
      </c>
      <c r="Z1913">
        <v>0</v>
      </c>
      <c r="AA1913">
        <v>0</v>
      </c>
      <c r="AB1913" s="3">
        <v>42562</v>
      </c>
      <c r="AC1913" t="s">
        <v>53</v>
      </c>
      <c r="AD1913" t="s">
        <v>53</v>
      </c>
      <c r="AK1913">
        <v>0</v>
      </c>
      <c r="AU1913" s="3">
        <v>42403</v>
      </c>
      <c r="AV1913" s="3">
        <v>42403</v>
      </c>
      <c r="AW1913" t="s">
        <v>54</v>
      </c>
      <c r="AX1913" t="str">
        <f t="shared" si="252"/>
        <v>FOR</v>
      </c>
      <c r="AY1913" t="s">
        <v>55</v>
      </c>
    </row>
    <row r="1914" spans="1:51" hidden="1">
      <c r="A1914">
        <v>101812</v>
      </c>
      <c r="B1914" t="s">
        <v>294</v>
      </c>
      <c r="C1914" t="str">
        <f t="shared" si="257"/>
        <v>02764431215</v>
      </c>
      <c r="D1914" t="str">
        <f t="shared" si="257"/>
        <v>02764431215</v>
      </c>
      <c r="E1914" t="s">
        <v>52</v>
      </c>
      <c r="F1914">
        <v>2015</v>
      </c>
      <c r="G1914" t="str">
        <f>"                5/PA"</f>
        <v xml:space="preserve">                5/PA</v>
      </c>
      <c r="H1914" s="3">
        <v>42124</v>
      </c>
      <c r="I1914" s="3">
        <v>42124</v>
      </c>
      <c r="J1914" s="3">
        <v>42124</v>
      </c>
      <c r="K1914" s="3">
        <v>42184</v>
      </c>
      <c r="L1914"/>
      <c r="N1914"/>
      <c r="O1914" s="4">
        <v>43847.03</v>
      </c>
      <c r="P1914">
        <v>232</v>
      </c>
      <c r="Q1914" s="4">
        <v>10172510.960000001</v>
      </c>
      <c r="R1914">
        <v>0</v>
      </c>
      <c r="V1914">
        <v>0</v>
      </c>
      <c r="W1914">
        <v>0</v>
      </c>
      <c r="X1914">
        <v>0</v>
      </c>
      <c r="Y1914">
        <v>0</v>
      </c>
      <c r="Z1914">
        <v>0</v>
      </c>
      <c r="AA1914">
        <v>0</v>
      </c>
      <c r="AB1914" s="3">
        <v>42562</v>
      </c>
      <c r="AC1914" t="s">
        <v>53</v>
      </c>
      <c r="AD1914" t="s">
        <v>53</v>
      </c>
      <c r="AK1914">
        <v>0</v>
      </c>
      <c r="AU1914" s="3">
        <v>42416</v>
      </c>
      <c r="AV1914" s="3">
        <v>42416</v>
      </c>
      <c r="AW1914" t="s">
        <v>54</v>
      </c>
      <c r="AX1914" t="str">
        <f t="shared" si="252"/>
        <v>FOR</v>
      </c>
      <c r="AY1914" t="s">
        <v>55</v>
      </c>
    </row>
    <row r="1915" spans="1:51" hidden="1">
      <c r="A1915">
        <v>101812</v>
      </c>
      <c r="B1915" t="s">
        <v>294</v>
      </c>
      <c r="C1915" t="str">
        <f t="shared" si="257"/>
        <v>02764431215</v>
      </c>
      <c r="D1915" t="str">
        <f t="shared" si="257"/>
        <v>02764431215</v>
      </c>
      <c r="E1915" t="s">
        <v>52</v>
      </c>
      <c r="F1915">
        <v>2015</v>
      </c>
      <c r="G1915" t="str">
        <f>"                7/PA"</f>
        <v xml:space="preserve">                7/PA</v>
      </c>
      <c r="H1915" s="3">
        <v>42154</v>
      </c>
      <c r="I1915" s="3">
        <v>42166</v>
      </c>
      <c r="J1915" s="3">
        <v>42164</v>
      </c>
      <c r="K1915" s="3">
        <v>42224</v>
      </c>
      <c r="L1915"/>
      <c r="N1915"/>
      <c r="O1915" s="4">
        <v>17621.64</v>
      </c>
      <c r="P1915">
        <v>229</v>
      </c>
      <c r="Q1915" s="4">
        <v>4035355.56</v>
      </c>
      <c r="R1915">
        <v>0</v>
      </c>
      <c r="V1915">
        <v>0</v>
      </c>
      <c r="W1915">
        <v>0</v>
      </c>
      <c r="X1915">
        <v>0</v>
      </c>
      <c r="Y1915">
        <v>0</v>
      </c>
      <c r="Z1915">
        <v>0</v>
      </c>
      <c r="AA1915">
        <v>0</v>
      </c>
      <c r="AB1915" s="3">
        <v>42562</v>
      </c>
      <c r="AC1915" t="s">
        <v>53</v>
      </c>
      <c r="AD1915" t="s">
        <v>53</v>
      </c>
      <c r="AK1915">
        <v>0</v>
      </c>
      <c r="AU1915" s="3">
        <v>42453</v>
      </c>
      <c r="AV1915" s="3">
        <v>42453</v>
      </c>
      <c r="AW1915" t="s">
        <v>54</v>
      </c>
      <c r="AX1915" t="str">
        <f t="shared" si="252"/>
        <v>FOR</v>
      </c>
      <c r="AY1915" t="s">
        <v>55</v>
      </c>
    </row>
    <row r="1916" spans="1:51">
      <c r="A1916">
        <v>101812</v>
      </c>
      <c r="B1916" t="s">
        <v>294</v>
      </c>
      <c r="C1916" t="str">
        <f t="shared" si="257"/>
        <v>02764431215</v>
      </c>
      <c r="D1916" t="str">
        <f t="shared" si="257"/>
        <v>02764431215</v>
      </c>
      <c r="E1916" t="s">
        <v>52</v>
      </c>
      <c r="F1916">
        <v>2015</v>
      </c>
      <c r="G1916" t="str">
        <f>"                8/PA"</f>
        <v xml:space="preserve">                8/PA</v>
      </c>
      <c r="H1916" s="3">
        <v>42185</v>
      </c>
      <c r="I1916" s="3">
        <v>42188</v>
      </c>
      <c r="J1916" s="3">
        <v>42187</v>
      </c>
      <c r="K1916" s="3">
        <v>42247</v>
      </c>
      <c r="L1916" s="5">
        <v>43847.03</v>
      </c>
      <c r="M1916">
        <v>245</v>
      </c>
      <c r="N1916" s="5">
        <v>10742522.35</v>
      </c>
      <c r="O1916" s="4">
        <v>43847.03</v>
      </c>
      <c r="P1916">
        <v>245</v>
      </c>
      <c r="Q1916" s="4">
        <v>10742522.35</v>
      </c>
      <c r="R1916">
        <v>0</v>
      </c>
      <c r="V1916">
        <v>0</v>
      </c>
      <c r="W1916">
        <v>0</v>
      </c>
      <c r="X1916">
        <v>0</v>
      </c>
      <c r="Y1916">
        <v>0</v>
      </c>
      <c r="Z1916">
        <v>0</v>
      </c>
      <c r="AA1916">
        <v>0</v>
      </c>
      <c r="AB1916" s="3">
        <v>42562</v>
      </c>
      <c r="AC1916" t="s">
        <v>53</v>
      </c>
      <c r="AD1916" t="s">
        <v>53</v>
      </c>
      <c r="AK1916">
        <v>0</v>
      </c>
      <c r="AU1916" s="3">
        <v>42492</v>
      </c>
      <c r="AV1916" s="3">
        <v>42492</v>
      </c>
      <c r="AW1916" t="s">
        <v>54</v>
      </c>
      <c r="AX1916" t="str">
        <f t="shared" si="252"/>
        <v>FOR</v>
      </c>
      <c r="AY1916" t="s">
        <v>55</v>
      </c>
    </row>
    <row r="1917" spans="1:51">
      <c r="A1917">
        <v>101812</v>
      </c>
      <c r="B1917" t="s">
        <v>294</v>
      </c>
      <c r="C1917" t="str">
        <f t="shared" si="257"/>
        <v>02764431215</v>
      </c>
      <c r="D1917" t="str">
        <f t="shared" si="257"/>
        <v>02764431215</v>
      </c>
      <c r="E1917" t="s">
        <v>52</v>
      </c>
      <c r="F1917">
        <v>2015</v>
      </c>
      <c r="G1917" t="str">
        <f>"               11/PA"</f>
        <v xml:space="preserve">               11/PA</v>
      </c>
      <c r="H1917" s="3">
        <v>42201</v>
      </c>
      <c r="I1917" s="3">
        <v>42202</v>
      </c>
      <c r="J1917" s="3">
        <v>42201</v>
      </c>
      <c r="K1917" s="3">
        <v>42261</v>
      </c>
      <c r="L1917" s="5">
        <v>2816.54</v>
      </c>
      <c r="M1917">
        <v>239</v>
      </c>
      <c r="N1917" s="5">
        <v>673153.06</v>
      </c>
      <c r="O1917" s="4">
        <v>2816.54</v>
      </c>
      <c r="P1917">
        <v>239</v>
      </c>
      <c r="Q1917" s="4">
        <v>673153.06</v>
      </c>
      <c r="R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 s="3">
        <v>42562</v>
      </c>
      <c r="AC1917" t="s">
        <v>53</v>
      </c>
      <c r="AD1917" t="s">
        <v>53</v>
      </c>
      <c r="AK1917">
        <v>0</v>
      </c>
      <c r="AU1917" s="3">
        <v>42500</v>
      </c>
      <c r="AV1917" s="3">
        <v>42500</v>
      </c>
      <c r="AW1917" t="s">
        <v>54</v>
      </c>
      <c r="AX1917" t="str">
        <f t="shared" si="252"/>
        <v>FOR</v>
      </c>
      <c r="AY1917" t="s">
        <v>55</v>
      </c>
    </row>
    <row r="1918" spans="1:51">
      <c r="A1918">
        <v>101812</v>
      </c>
      <c r="B1918" t="s">
        <v>294</v>
      </c>
      <c r="C1918" t="str">
        <f t="shared" si="257"/>
        <v>02764431215</v>
      </c>
      <c r="D1918" t="str">
        <f t="shared" si="257"/>
        <v>02764431215</v>
      </c>
      <c r="E1918" t="s">
        <v>52</v>
      </c>
      <c r="F1918">
        <v>2015</v>
      </c>
      <c r="G1918" t="str">
        <f>"               14/PA"</f>
        <v xml:space="preserve">               14/PA</v>
      </c>
      <c r="H1918" s="3">
        <v>42235</v>
      </c>
      <c r="I1918" s="3">
        <v>42236</v>
      </c>
      <c r="J1918" s="3">
        <v>42235</v>
      </c>
      <c r="K1918" s="3">
        <v>42295</v>
      </c>
      <c r="L1918" s="5">
        <v>17378.650000000001</v>
      </c>
      <c r="M1918">
        <v>205</v>
      </c>
      <c r="N1918" s="5">
        <v>3562623.25</v>
      </c>
      <c r="O1918" s="4">
        <v>17378.650000000001</v>
      </c>
      <c r="P1918">
        <v>205</v>
      </c>
      <c r="Q1918" s="4">
        <v>3562623.25</v>
      </c>
      <c r="R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 s="3">
        <v>42562</v>
      </c>
      <c r="AC1918" t="s">
        <v>53</v>
      </c>
      <c r="AD1918" t="s">
        <v>53</v>
      </c>
      <c r="AK1918">
        <v>0</v>
      </c>
      <c r="AU1918" s="3">
        <v>42500</v>
      </c>
      <c r="AV1918" s="3">
        <v>42500</v>
      </c>
      <c r="AW1918" t="s">
        <v>54</v>
      </c>
      <c r="AX1918" t="str">
        <f t="shared" si="252"/>
        <v>FOR</v>
      </c>
      <c r="AY1918" t="s">
        <v>55</v>
      </c>
    </row>
    <row r="1919" spans="1:51">
      <c r="A1919">
        <v>101812</v>
      </c>
      <c r="B1919" t="s">
        <v>294</v>
      </c>
      <c r="C1919" t="str">
        <f t="shared" si="257"/>
        <v>02764431215</v>
      </c>
      <c r="D1919" t="str">
        <f t="shared" si="257"/>
        <v>02764431215</v>
      </c>
      <c r="E1919" t="s">
        <v>52</v>
      </c>
      <c r="F1919">
        <v>2015</v>
      </c>
      <c r="G1919" t="str">
        <f>"               15/PA"</f>
        <v xml:space="preserve">               15/PA</v>
      </c>
      <c r="H1919" s="3">
        <v>42247</v>
      </c>
      <c r="I1919" s="3">
        <v>42248</v>
      </c>
      <c r="J1919" s="3">
        <v>42248</v>
      </c>
      <c r="K1919" s="3">
        <v>42308</v>
      </c>
      <c r="L1919" s="5">
        <v>43847.03</v>
      </c>
      <c r="M1919">
        <v>220</v>
      </c>
      <c r="N1919" s="5">
        <v>9646346.5999999996</v>
      </c>
      <c r="O1919" s="4">
        <v>43847.03</v>
      </c>
      <c r="P1919">
        <v>220</v>
      </c>
      <c r="Q1919" s="4">
        <v>9646346.5999999996</v>
      </c>
      <c r="R1919" s="4">
        <v>9646.35</v>
      </c>
      <c r="V1919">
        <v>0</v>
      </c>
      <c r="W1919">
        <v>0</v>
      </c>
      <c r="X1919">
        <v>0</v>
      </c>
      <c r="Y1919">
        <v>0</v>
      </c>
      <c r="Z1919">
        <v>0</v>
      </c>
      <c r="AA1919">
        <v>0</v>
      </c>
      <c r="AB1919" s="3">
        <v>42562</v>
      </c>
      <c r="AC1919" t="s">
        <v>53</v>
      </c>
      <c r="AD1919" t="s">
        <v>53</v>
      </c>
      <c r="AK1919" s="4">
        <v>9646.35</v>
      </c>
      <c r="AU1919" s="3">
        <v>42528</v>
      </c>
      <c r="AV1919" s="3">
        <v>42528</v>
      </c>
      <c r="AW1919" t="s">
        <v>54</v>
      </c>
      <c r="AX1919" t="str">
        <f t="shared" si="252"/>
        <v>FOR</v>
      </c>
      <c r="AY1919" t="s">
        <v>55</v>
      </c>
    </row>
    <row r="1920" spans="1:51">
      <c r="A1920">
        <v>101813</v>
      </c>
      <c r="B1920" t="s">
        <v>295</v>
      </c>
      <c r="C1920" t="str">
        <f>"07754770639"</f>
        <v>07754770639</v>
      </c>
      <c r="D1920" t="str">
        <f>"07754770639"</f>
        <v>07754770639</v>
      </c>
      <c r="E1920" t="s">
        <v>52</v>
      </c>
      <c r="F1920">
        <v>2015</v>
      </c>
      <c r="G1920" t="str">
        <f>"               8/004"</f>
        <v xml:space="preserve">               8/004</v>
      </c>
      <c r="H1920" s="3">
        <v>42185</v>
      </c>
      <c r="I1920" s="3">
        <v>42191</v>
      </c>
      <c r="J1920" s="3">
        <v>42191</v>
      </c>
      <c r="K1920" s="3">
        <v>42251</v>
      </c>
      <c r="L1920" s="5">
        <v>10961.76</v>
      </c>
      <c r="M1920">
        <v>241</v>
      </c>
      <c r="N1920" s="5">
        <v>2641784.16</v>
      </c>
      <c r="O1920" s="4">
        <v>10961.76</v>
      </c>
      <c r="P1920">
        <v>241</v>
      </c>
      <c r="Q1920" s="4">
        <v>2641784.16</v>
      </c>
      <c r="R1920">
        <v>0</v>
      </c>
      <c r="V1920">
        <v>0</v>
      </c>
      <c r="W1920">
        <v>0</v>
      </c>
      <c r="X1920">
        <v>0</v>
      </c>
      <c r="Y1920">
        <v>0</v>
      </c>
      <c r="Z1920">
        <v>0</v>
      </c>
      <c r="AA1920">
        <v>0</v>
      </c>
      <c r="AB1920" s="3">
        <v>42562</v>
      </c>
      <c r="AC1920" t="s">
        <v>53</v>
      </c>
      <c r="AD1920" t="s">
        <v>53</v>
      </c>
      <c r="AK1920">
        <v>0</v>
      </c>
      <c r="AU1920" s="3">
        <v>42492</v>
      </c>
      <c r="AV1920" s="3">
        <v>42492</v>
      </c>
      <c r="AW1920" t="s">
        <v>54</v>
      </c>
      <c r="AX1920" t="str">
        <f t="shared" si="252"/>
        <v>FOR</v>
      </c>
      <c r="AY1920" t="s">
        <v>55</v>
      </c>
    </row>
    <row r="1921" spans="1:51">
      <c r="A1921">
        <v>101813</v>
      </c>
      <c r="B1921" t="s">
        <v>295</v>
      </c>
      <c r="C1921" t="str">
        <f>"07754770639"</f>
        <v>07754770639</v>
      </c>
      <c r="D1921" t="str">
        <f>"07754770639"</f>
        <v>07754770639</v>
      </c>
      <c r="E1921" t="s">
        <v>52</v>
      </c>
      <c r="F1921">
        <v>2015</v>
      </c>
      <c r="G1921" t="str">
        <f>"              13/004"</f>
        <v xml:space="preserve">              13/004</v>
      </c>
      <c r="H1921" s="3">
        <v>42247</v>
      </c>
      <c r="I1921" s="3">
        <v>42249</v>
      </c>
      <c r="J1921" s="3">
        <v>42248</v>
      </c>
      <c r="K1921" s="3">
        <v>42308</v>
      </c>
      <c r="L1921" s="5">
        <v>10961.76</v>
      </c>
      <c r="M1921">
        <v>221</v>
      </c>
      <c r="N1921" s="5">
        <v>2422548.96</v>
      </c>
      <c r="O1921" s="4">
        <v>10961.76</v>
      </c>
      <c r="P1921">
        <v>221</v>
      </c>
      <c r="Q1921" s="4">
        <v>2422548.96</v>
      </c>
      <c r="R1921" s="4">
        <v>2411.59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 s="3">
        <v>42562</v>
      </c>
      <c r="AC1921" t="s">
        <v>53</v>
      </c>
      <c r="AD1921" t="s">
        <v>53</v>
      </c>
      <c r="AK1921" s="4">
        <v>2411.59</v>
      </c>
      <c r="AU1921" s="3">
        <v>42529</v>
      </c>
      <c r="AV1921" s="3">
        <v>42529</v>
      </c>
      <c r="AW1921" t="s">
        <v>54</v>
      </c>
      <c r="AX1921" t="str">
        <f t="shared" si="252"/>
        <v>FOR</v>
      </c>
      <c r="AY1921" t="s">
        <v>55</v>
      </c>
    </row>
    <row r="1922" spans="1:51" hidden="1">
      <c r="A1922">
        <v>101814</v>
      </c>
      <c r="B1922" t="s">
        <v>296</v>
      </c>
      <c r="C1922" t="str">
        <f>"06060070015"</f>
        <v>06060070015</v>
      </c>
      <c r="D1922" t="str">
        <f>"06060070015"</f>
        <v>06060070015</v>
      </c>
      <c r="E1922" t="s">
        <v>52</v>
      </c>
      <c r="F1922">
        <v>2015</v>
      </c>
      <c r="G1922" t="str">
        <f>"         20150000666"</f>
        <v xml:space="preserve">         20150000666</v>
      </c>
      <c r="H1922" s="3">
        <v>42139</v>
      </c>
      <c r="I1922" s="3">
        <v>42165</v>
      </c>
      <c r="J1922" s="3">
        <v>42145</v>
      </c>
      <c r="K1922" s="3">
        <v>42205</v>
      </c>
      <c r="L1922"/>
      <c r="N1922"/>
      <c r="O1922" s="4">
        <v>1100</v>
      </c>
      <c r="P1922">
        <v>248</v>
      </c>
      <c r="Q1922" s="4">
        <v>272800</v>
      </c>
      <c r="R1922">
        <v>0</v>
      </c>
      <c r="V1922">
        <v>0</v>
      </c>
      <c r="W1922">
        <v>0</v>
      </c>
      <c r="X1922">
        <v>0</v>
      </c>
      <c r="Y1922">
        <v>0</v>
      </c>
      <c r="Z1922">
        <v>0</v>
      </c>
      <c r="AA1922">
        <v>0</v>
      </c>
      <c r="AB1922" s="3">
        <v>42562</v>
      </c>
      <c r="AC1922" t="s">
        <v>53</v>
      </c>
      <c r="AD1922" t="s">
        <v>53</v>
      </c>
      <c r="AK1922">
        <v>0</v>
      </c>
      <c r="AU1922" s="3">
        <v>42453</v>
      </c>
      <c r="AV1922" s="3">
        <v>42453</v>
      </c>
      <c r="AW1922" t="s">
        <v>54</v>
      </c>
      <c r="AX1922" t="str">
        <f t="shared" si="252"/>
        <v>FOR</v>
      </c>
      <c r="AY1922" t="s">
        <v>55</v>
      </c>
    </row>
    <row r="1923" spans="1:51" hidden="1">
      <c r="A1923">
        <v>101820</v>
      </c>
      <c r="B1923" t="s">
        <v>297</v>
      </c>
      <c r="C1923" t="str">
        <f>"01550070617"</f>
        <v>01550070617</v>
      </c>
      <c r="D1923" t="str">
        <f>"04411460639"</f>
        <v>04411460639</v>
      </c>
      <c r="E1923" t="s">
        <v>52</v>
      </c>
      <c r="F1923">
        <v>2015</v>
      </c>
      <c r="G1923" t="str">
        <f>"           15/309739"</f>
        <v xml:space="preserve">           15/309739</v>
      </c>
      <c r="H1923" s="3">
        <v>42185</v>
      </c>
      <c r="I1923" s="3">
        <v>42192</v>
      </c>
      <c r="J1923" s="3">
        <v>42191</v>
      </c>
      <c r="K1923" s="3">
        <v>42251</v>
      </c>
      <c r="L1923"/>
      <c r="N1923"/>
      <c r="O1923" s="4">
        <v>3500</v>
      </c>
      <c r="P1923">
        <v>201</v>
      </c>
      <c r="Q1923" s="4">
        <v>703500</v>
      </c>
      <c r="R1923">
        <v>0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 s="3">
        <v>42562</v>
      </c>
      <c r="AC1923" t="s">
        <v>53</v>
      </c>
      <c r="AD1923" t="s">
        <v>53</v>
      </c>
      <c r="AK1923">
        <v>0</v>
      </c>
      <c r="AU1923" s="3">
        <v>42452</v>
      </c>
      <c r="AV1923" s="3">
        <v>42452</v>
      </c>
      <c r="AW1923" t="s">
        <v>54</v>
      </c>
      <c r="AX1923" t="str">
        <f t="shared" si="252"/>
        <v>FOR</v>
      </c>
      <c r="AY1923" t="s">
        <v>55</v>
      </c>
    </row>
    <row r="1924" spans="1:51" hidden="1">
      <c r="A1924">
        <v>101821</v>
      </c>
      <c r="B1924" t="s">
        <v>298</v>
      </c>
      <c r="C1924" t="str">
        <f>"05006121007"</f>
        <v>05006121007</v>
      </c>
      <c r="D1924" t="str">
        <f>"05006121007"</f>
        <v>05006121007</v>
      </c>
      <c r="E1924" t="s">
        <v>52</v>
      </c>
      <c r="F1924">
        <v>2014</v>
      </c>
      <c r="G1924" t="str">
        <f>"                  99"</f>
        <v xml:space="preserve">                  99</v>
      </c>
      <c r="H1924" s="3">
        <v>41768</v>
      </c>
      <c r="I1924" s="3">
        <v>41778</v>
      </c>
      <c r="J1924" s="3">
        <v>41778</v>
      </c>
      <c r="K1924" s="3">
        <v>41868</v>
      </c>
      <c r="L1924"/>
      <c r="N1924"/>
      <c r="O1924">
        <v>865</v>
      </c>
      <c r="P1924">
        <v>540</v>
      </c>
      <c r="Q1924" s="4">
        <v>467100</v>
      </c>
      <c r="R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 s="3">
        <v>42562</v>
      </c>
      <c r="AC1924" t="s">
        <v>53</v>
      </c>
      <c r="AD1924" t="s">
        <v>53</v>
      </c>
      <c r="AK1924">
        <v>0</v>
      </c>
      <c r="AU1924" s="3">
        <v>42408</v>
      </c>
      <c r="AV1924" s="3">
        <v>42408</v>
      </c>
      <c r="AW1924" t="s">
        <v>54</v>
      </c>
      <c r="AX1924" t="str">
        <f t="shared" si="252"/>
        <v>FOR</v>
      </c>
      <c r="AY1924" t="s">
        <v>55</v>
      </c>
    </row>
    <row r="1925" spans="1:51">
      <c r="A1925">
        <v>101825</v>
      </c>
      <c r="B1925" t="s">
        <v>299</v>
      </c>
      <c r="C1925" t="str">
        <f>"03936000714"</f>
        <v>03936000714</v>
      </c>
      <c r="D1925" t="str">
        <f>"03936000714"</f>
        <v>03936000714</v>
      </c>
      <c r="E1925" t="s">
        <v>52</v>
      </c>
      <c r="F1925">
        <v>2015</v>
      </c>
      <c r="G1925" t="str">
        <f>"               27/PA"</f>
        <v xml:space="preserve">               27/PA</v>
      </c>
      <c r="H1925" s="3">
        <v>42341</v>
      </c>
      <c r="I1925" s="3">
        <v>42354</v>
      </c>
      <c r="J1925" s="3">
        <v>42353</v>
      </c>
      <c r="K1925" s="3">
        <v>42413</v>
      </c>
      <c r="L1925" s="5">
        <v>1920</v>
      </c>
      <c r="M1925">
        <v>107</v>
      </c>
      <c r="N1925" s="5">
        <v>205440</v>
      </c>
      <c r="O1925" s="4">
        <v>1920</v>
      </c>
      <c r="P1925">
        <v>107</v>
      </c>
      <c r="Q1925" s="4">
        <v>205440</v>
      </c>
      <c r="R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 s="3">
        <v>42562</v>
      </c>
      <c r="AC1925" t="s">
        <v>53</v>
      </c>
      <c r="AD1925" t="s">
        <v>53</v>
      </c>
      <c r="AK1925">
        <v>0</v>
      </c>
      <c r="AU1925" s="3">
        <v>42520</v>
      </c>
      <c r="AV1925" s="3">
        <v>42520</v>
      </c>
      <c r="AW1925" t="s">
        <v>54</v>
      </c>
      <c r="AX1925" t="str">
        <f t="shared" si="252"/>
        <v>FOR</v>
      </c>
      <c r="AY1925" t="s">
        <v>55</v>
      </c>
    </row>
    <row r="1926" spans="1:51">
      <c r="A1926">
        <v>101830</v>
      </c>
      <c r="B1926" t="s">
        <v>300</v>
      </c>
      <c r="C1926" t="str">
        <f>"02972330365"</f>
        <v>02972330365</v>
      </c>
      <c r="D1926" t="str">
        <f>"02972330365"</f>
        <v>02972330365</v>
      </c>
      <c r="E1926" t="s">
        <v>52</v>
      </c>
      <c r="F1926">
        <v>2015</v>
      </c>
      <c r="G1926" t="str">
        <f>"              250/PA"</f>
        <v xml:space="preserve">              250/PA</v>
      </c>
      <c r="H1926" s="3">
        <v>42277</v>
      </c>
      <c r="I1926" s="3">
        <v>42290</v>
      </c>
      <c r="J1926" s="3">
        <v>42290</v>
      </c>
      <c r="K1926" s="3">
        <v>42350</v>
      </c>
      <c r="L1926" s="5">
        <v>1000</v>
      </c>
      <c r="M1926">
        <v>137</v>
      </c>
      <c r="N1926" s="5">
        <v>137000</v>
      </c>
      <c r="O1926" s="4">
        <v>1000</v>
      </c>
      <c r="P1926">
        <v>137</v>
      </c>
      <c r="Q1926" s="4">
        <v>137000</v>
      </c>
      <c r="R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 s="3">
        <v>42562</v>
      </c>
      <c r="AC1926" t="s">
        <v>53</v>
      </c>
      <c r="AD1926" t="s">
        <v>53</v>
      </c>
      <c r="AK1926">
        <v>0</v>
      </c>
      <c r="AU1926" s="3">
        <v>42487</v>
      </c>
      <c r="AV1926" s="3">
        <v>42487</v>
      </c>
      <c r="AW1926" t="s">
        <v>54</v>
      </c>
      <c r="AX1926" t="str">
        <f t="shared" si="252"/>
        <v>FOR</v>
      </c>
      <c r="AY1926" t="s">
        <v>55</v>
      </c>
    </row>
    <row r="1927" spans="1:51">
      <c r="A1927">
        <v>101830</v>
      </c>
      <c r="B1927" t="s">
        <v>300</v>
      </c>
      <c r="C1927" t="str">
        <f>"02972330365"</f>
        <v>02972330365</v>
      </c>
      <c r="D1927" t="str">
        <f>"02972330365"</f>
        <v>02972330365</v>
      </c>
      <c r="E1927" t="s">
        <v>52</v>
      </c>
      <c r="F1927">
        <v>2015</v>
      </c>
      <c r="G1927" t="str">
        <f>"              398/PA"</f>
        <v xml:space="preserve">              398/PA</v>
      </c>
      <c r="H1927" s="3">
        <v>42369</v>
      </c>
      <c r="I1927" s="3">
        <v>42369</v>
      </c>
      <c r="J1927" s="3">
        <v>42369</v>
      </c>
      <c r="K1927" s="3">
        <v>42429</v>
      </c>
      <c r="L1927" s="1">
        <v>433.33</v>
      </c>
      <c r="M1927">
        <v>58</v>
      </c>
      <c r="N1927" s="5">
        <v>25133.14</v>
      </c>
      <c r="O1927">
        <v>433.33</v>
      </c>
      <c r="P1927">
        <v>58</v>
      </c>
      <c r="Q1927" s="4">
        <v>25133.14</v>
      </c>
      <c r="R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 s="3">
        <v>42562</v>
      </c>
      <c r="AC1927" t="s">
        <v>53</v>
      </c>
      <c r="AD1927" t="s">
        <v>53</v>
      </c>
      <c r="AK1927">
        <v>0</v>
      </c>
      <c r="AU1927" s="3">
        <v>42487</v>
      </c>
      <c r="AV1927" s="3">
        <v>42487</v>
      </c>
      <c r="AW1927" t="s">
        <v>54</v>
      </c>
      <c r="AX1927" t="str">
        <f t="shared" si="252"/>
        <v>FOR</v>
      </c>
      <c r="AY1927" t="s">
        <v>55</v>
      </c>
    </row>
    <row r="1928" spans="1:51">
      <c r="A1928">
        <v>101851</v>
      </c>
      <c r="B1928" t="s">
        <v>301</v>
      </c>
      <c r="C1928" t="str">
        <f t="shared" ref="C1928:D1949" si="258">"11667890153"</f>
        <v>11667890153</v>
      </c>
      <c r="D1928" t="str">
        <f t="shared" si="258"/>
        <v>11667890153</v>
      </c>
      <c r="E1928" t="s">
        <v>52</v>
      </c>
      <c r="F1928">
        <v>2014</v>
      </c>
      <c r="G1928" t="str">
        <f>"            14015783"</f>
        <v xml:space="preserve">            14015783</v>
      </c>
      <c r="H1928" s="3">
        <v>41830</v>
      </c>
      <c r="I1928" s="3">
        <v>41844</v>
      </c>
      <c r="J1928" s="3">
        <v>41844</v>
      </c>
      <c r="K1928" s="3">
        <v>41934</v>
      </c>
      <c r="L1928" s="5">
        <v>1795.2</v>
      </c>
      <c r="M1928">
        <v>596</v>
      </c>
      <c r="N1928" s="5">
        <v>1069939.2</v>
      </c>
      <c r="O1928" s="4">
        <v>1795.2</v>
      </c>
      <c r="P1928">
        <v>596</v>
      </c>
      <c r="Q1928" s="4">
        <v>1069939.2</v>
      </c>
      <c r="R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 s="3">
        <v>42562</v>
      </c>
      <c r="AC1928" t="s">
        <v>53</v>
      </c>
      <c r="AD1928" t="s">
        <v>53</v>
      </c>
      <c r="AK1928">
        <v>0</v>
      </c>
      <c r="AU1928" s="3">
        <v>42530</v>
      </c>
      <c r="AV1928" s="3">
        <v>42530</v>
      </c>
      <c r="AW1928" t="s">
        <v>54</v>
      </c>
      <c r="AX1928" t="str">
        <f t="shared" si="252"/>
        <v>FOR</v>
      </c>
      <c r="AY1928" t="s">
        <v>55</v>
      </c>
    </row>
    <row r="1929" spans="1:51">
      <c r="A1929">
        <v>101851</v>
      </c>
      <c r="B1929" t="s">
        <v>301</v>
      </c>
      <c r="C1929" t="str">
        <f t="shared" si="258"/>
        <v>11667890153</v>
      </c>
      <c r="D1929" t="str">
        <f t="shared" si="258"/>
        <v>11667890153</v>
      </c>
      <c r="E1929" t="s">
        <v>52</v>
      </c>
      <c r="F1929">
        <v>2014</v>
      </c>
      <c r="G1929" t="str">
        <f>"            14016077"</f>
        <v xml:space="preserve">            14016077</v>
      </c>
      <c r="H1929" s="3">
        <v>41834</v>
      </c>
      <c r="I1929" s="3">
        <v>41849</v>
      </c>
      <c r="J1929" s="3">
        <v>41849</v>
      </c>
      <c r="K1929" s="3">
        <v>41939</v>
      </c>
      <c r="L1929" s="1">
        <v>939.4</v>
      </c>
      <c r="M1929">
        <v>591</v>
      </c>
      <c r="N1929" s="5">
        <v>555185.4</v>
      </c>
      <c r="O1929">
        <v>939.4</v>
      </c>
      <c r="P1929">
        <v>591</v>
      </c>
      <c r="Q1929" s="4">
        <v>555185.4</v>
      </c>
      <c r="R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 s="3">
        <v>42562</v>
      </c>
      <c r="AC1929" t="s">
        <v>53</v>
      </c>
      <c r="AD1929" t="s">
        <v>53</v>
      </c>
      <c r="AK1929">
        <v>0</v>
      </c>
      <c r="AU1929" s="3">
        <v>42530</v>
      </c>
      <c r="AV1929" s="3">
        <v>42530</v>
      </c>
      <c r="AW1929" t="s">
        <v>54</v>
      </c>
      <c r="AX1929" t="str">
        <f t="shared" si="252"/>
        <v>FOR</v>
      </c>
      <c r="AY1929" t="s">
        <v>55</v>
      </c>
    </row>
    <row r="1930" spans="1:51">
      <c r="A1930">
        <v>101851</v>
      </c>
      <c r="B1930" t="s">
        <v>301</v>
      </c>
      <c r="C1930" t="str">
        <f t="shared" si="258"/>
        <v>11667890153</v>
      </c>
      <c r="D1930" t="str">
        <f t="shared" si="258"/>
        <v>11667890153</v>
      </c>
      <c r="E1930" t="s">
        <v>52</v>
      </c>
      <c r="F1930">
        <v>2014</v>
      </c>
      <c r="G1930" t="str">
        <f>"            14017294"</f>
        <v xml:space="preserve">            14017294</v>
      </c>
      <c r="H1930" s="3">
        <v>41845</v>
      </c>
      <c r="I1930" s="3">
        <v>42534</v>
      </c>
      <c r="J1930" s="3">
        <v>42534</v>
      </c>
      <c r="K1930" s="3">
        <v>42594</v>
      </c>
      <c r="L1930" s="5">
        <v>2277</v>
      </c>
      <c r="M1930">
        <v>-59</v>
      </c>
      <c r="N1930" s="5">
        <v>-134343</v>
      </c>
      <c r="O1930" s="4">
        <v>2277</v>
      </c>
      <c r="P1930">
        <v>-59</v>
      </c>
      <c r="Q1930" s="4">
        <v>-134343</v>
      </c>
      <c r="R1930">
        <v>0</v>
      </c>
      <c r="V1930">
        <v>0</v>
      </c>
      <c r="W1930" s="4">
        <v>2277</v>
      </c>
      <c r="X1930">
        <v>0</v>
      </c>
      <c r="Y1930">
        <v>0</v>
      </c>
      <c r="Z1930" s="4">
        <v>2277</v>
      </c>
      <c r="AA1930">
        <v>0</v>
      </c>
      <c r="AB1930" s="3">
        <v>42562</v>
      </c>
      <c r="AC1930" t="s">
        <v>53</v>
      </c>
      <c r="AD1930" t="s">
        <v>53</v>
      </c>
      <c r="AK1930">
        <v>0</v>
      </c>
      <c r="AU1930" s="3">
        <v>42535</v>
      </c>
      <c r="AV1930" s="3">
        <v>42535</v>
      </c>
      <c r="AW1930" t="s">
        <v>54</v>
      </c>
      <c r="AX1930" t="str">
        <f t="shared" si="252"/>
        <v>FOR</v>
      </c>
      <c r="AY1930" t="s">
        <v>55</v>
      </c>
    </row>
    <row r="1931" spans="1:51">
      <c r="A1931">
        <v>101851</v>
      </c>
      <c r="B1931" t="s">
        <v>301</v>
      </c>
      <c r="C1931" t="str">
        <f t="shared" si="258"/>
        <v>11667890153</v>
      </c>
      <c r="D1931" t="str">
        <f t="shared" si="258"/>
        <v>11667890153</v>
      </c>
      <c r="E1931" t="s">
        <v>52</v>
      </c>
      <c r="F1931">
        <v>2014</v>
      </c>
      <c r="G1931" t="str">
        <f>"            14017767"</f>
        <v xml:space="preserve">            14017767</v>
      </c>
      <c r="H1931" s="3">
        <v>41850</v>
      </c>
      <c r="I1931" s="3">
        <v>41878</v>
      </c>
      <c r="J1931" s="3">
        <v>41878</v>
      </c>
      <c r="K1931" s="3">
        <v>41968</v>
      </c>
      <c r="L1931" s="1">
        <v>427.94</v>
      </c>
      <c r="M1931">
        <v>562</v>
      </c>
      <c r="N1931" s="5">
        <v>240502.28</v>
      </c>
      <c r="O1931">
        <v>427.94</v>
      </c>
      <c r="P1931">
        <v>562</v>
      </c>
      <c r="Q1931" s="4">
        <v>240502.28</v>
      </c>
      <c r="R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 s="3">
        <v>42562</v>
      </c>
      <c r="AC1931" t="s">
        <v>53</v>
      </c>
      <c r="AD1931" t="s">
        <v>53</v>
      </c>
      <c r="AK1931">
        <v>0</v>
      </c>
      <c r="AU1931" s="3">
        <v>42530</v>
      </c>
      <c r="AV1931" s="3">
        <v>42530</v>
      </c>
      <c r="AW1931" t="s">
        <v>54</v>
      </c>
      <c r="AX1931" t="str">
        <f t="shared" si="252"/>
        <v>FOR</v>
      </c>
      <c r="AY1931" t="s">
        <v>55</v>
      </c>
    </row>
    <row r="1932" spans="1:51">
      <c r="A1932">
        <v>101851</v>
      </c>
      <c r="B1932" t="s">
        <v>301</v>
      </c>
      <c r="C1932" t="str">
        <f t="shared" si="258"/>
        <v>11667890153</v>
      </c>
      <c r="D1932" t="str">
        <f t="shared" si="258"/>
        <v>11667890153</v>
      </c>
      <c r="E1932" t="s">
        <v>52</v>
      </c>
      <c r="F1932">
        <v>2014</v>
      </c>
      <c r="G1932" t="str">
        <f>"            14018776"</f>
        <v xml:space="preserve">            14018776</v>
      </c>
      <c r="H1932" s="3">
        <v>41863</v>
      </c>
      <c r="I1932" s="3">
        <v>41886</v>
      </c>
      <c r="J1932" s="3">
        <v>41886</v>
      </c>
      <c r="K1932" s="3">
        <v>41976</v>
      </c>
      <c r="L1932" s="5">
        <v>2587.1999999999998</v>
      </c>
      <c r="M1932">
        <v>554</v>
      </c>
      <c r="N1932" s="5">
        <v>1433308.8</v>
      </c>
      <c r="O1932" s="4">
        <v>2587.1999999999998</v>
      </c>
      <c r="P1932">
        <v>554</v>
      </c>
      <c r="Q1932" s="4">
        <v>1433308.8</v>
      </c>
      <c r="R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 s="3">
        <v>42562</v>
      </c>
      <c r="AC1932" t="s">
        <v>53</v>
      </c>
      <c r="AD1932" t="s">
        <v>53</v>
      </c>
      <c r="AK1932">
        <v>0</v>
      </c>
      <c r="AU1932" s="3">
        <v>42530</v>
      </c>
      <c r="AV1932" s="3">
        <v>42530</v>
      </c>
      <c r="AW1932" t="s">
        <v>54</v>
      </c>
      <c r="AX1932" t="str">
        <f t="shared" si="252"/>
        <v>FOR</v>
      </c>
      <c r="AY1932" t="s">
        <v>55</v>
      </c>
    </row>
    <row r="1933" spans="1:51">
      <c r="A1933">
        <v>101851</v>
      </c>
      <c r="B1933" t="s">
        <v>301</v>
      </c>
      <c r="C1933" t="str">
        <f t="shared" si="258"/>
        <v>11667890153</v>
      </c>
      <c r="D1933" t="str">
        <f t="shared" si="258"/>
        <v>11667890153</v>
      </c>
      <c r="E1933" t="s">
        <v>52</v>
      </c>
      <c r="F1933">
        <v>2014</v>
      </c>
      <c r="G1933" t="str">
        <f>"            14019818"</f>
        <v xml:space="preserve">            14019818</v>
      </c>
      <c r="H1933" s="3">
        <v>41880</v>
      </c>
      <c r="I1933" s="3">
        <v>41893</v>
      </c>
      <c r="J1933" s="3">
        <v>41893</v>
      </c>
      <c r="K1933" s="3">
        <v>41983</v>
      </c>
      <c r="L1933" s="5">
        <v>2587.1999999999998</v>
      </c>
      <c r="M1933">
        <v>547</v>
      </c>
      <c r="N1933" s="5">
        <v>1415198.4</v>
      </c>
      <c r="O1933" s="4">
        <v>2587.1999999999998</v>
      </c>
      <c r="P1933">
        <v>547</v>
      </c>
      <c r="Q1933" s="4">
        <v>1415198.4</v>
      </c>
      <c r="R1933">
        <v>0</v>
      </c>
      <c r="V1933">
        <v>0</v>
      </c>
      <c r="W1933">
        <v>0</v>
      </c>
      <c r="X1933">
        <v>0</v>
      </c>
      <c r="Y1933">
        <v>0</v>
      </c>
      <c r="Z1933">
        <v>0</v>
      </c>
      <c r="AA1933">
        <v>0</v>
      </c>
      <c r="AB1933" s="3">
        <v>42562</v>
      </c>
      <c r="AC1933" t="s">
        <v>53</v>
      </c>
      <c r="AD1933" t="s">
        <v>53</v>
      </c>
      <c r="AK1933">
        <v>0</v>
      </c>
      <c r="AU1933" s="3">
        <v>42530</v>
      </c>
      <c r="AV1933" s="3">
        <v>42530</v>
      </c>
      <c r="AW1933" t="s">
        <v>54</v>
      </c>
      <c r="AX1933" t="str">
        <f t="shared" si="252"/>
        <v>FOR</v>
      </c>
      <c r="AY1933" t="s">
        <v>55</v>
      </c>
    </row>
    <row r="1934" spans="1:51">
      <c r="A1934">
        <v>101851</v>
      </c>
      <c r="B1934" t="s">
        <v>301</v>
      </c>
      <c r="C1934" t="str">
        <f t="shared" si="258"/>
        <v>11667890153</v>
      </c>
      <c r="D1934" t="str">
        <f t="shared" si="258"/>
        <v>11667890153</v>
      </c>
      <c r="E1934" t="s">
        <v>52</v>
      </c>
      <c r="F1934">
        <v>2014</v>
      </c>
      <c r="G1934" t="str">
        <f>"            14020253"</f>
        <v xml:space="preserve">            14020253</v>
      </c>
      <c r="H1934" s="3">
        <v>41890</v>
      </c>
      <c r="I1934" s="3">
        <v>41904</v>
      </c>
      <c r="J1934" s="3">
        <v>41904</v>
      </c>
      <c r="K1934" s="3">
        <v>41994</v>
      </c>
      <c r="L1934" s="5">
        <v>2222.88</v>
      </c>
      <c r="M1934">
        <v>536</v>
      </c>
      <c r="N1934" s="5">
        <v>1191463.68</v>
      </c>
      <c r="O1934" s="4">
        <v>2222.88</v>
      </c>
      <c r="P1934">
        <v>536</v>
      </c>
      <c r="Q1934" s="4">
        <v>1191463.68</v>
      </c>
      <c r="R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 s="3">
        <v>42562</v>
      </c>
      <c r="AC1934" t="s">
        <v>53</v>
      </c>
      <c r="AD1934" t="s">
        <v>53</v>
      </c>
      <c r="AK1934">
        <v>0</v>
      </c>
      <c r="AU1934" s="3">
        <v>42530</v>
      </c>
      <c r="AV1934" s="3">
        <v>42530</v>
      </c>
      <c r="AW1934" t="s">
        <v>54</v>
      </c>
      <c r="AX1934" t="str">
        <f t="shared" si="252"/>
        <v>FOR</v>
      </c>
      <c r="AY1934" t="s">
        <v>55</v>
      </c>
    </row>
    <row r="1935" spans="1:51">
      <c r="A1935">
        <v>101851</v>
      </c>
      <c r="B1935" t="s">
        <v>301</v>
      </c>
      <c r="C1935" t="str">
        <f t="shared" si="258"/>
        <v>11667890153</v>
      </c>
      <c r="D1935" t="str">
        <f t="shared" si="258"/>
        <v>11667890153</v>
      </c>
      <c r="E1935" t="s">
        <v>52</v>
      </c>
      <c r="F1935">
        <v>2014</v>
      </c>
      <c r="G1935" t="str">
        <f>"            14024598"</f>
        <v xml:space="preserve">            14024598</v>
      </c>
      <c r="H1935" s="3">
        <v>41941</v>
      </c>
      <c r="I1935" s="3">
        <v>41964</v>
      </c>
      <c r="J1935" s="3">
        <v>41964</v>
      </c>
      <c r="K1935" s="3">
        <v>42024</v>
      </c>
      <c r="L1935" s="5">
        <v>1491.6</v>
      </c>
      <c r="M1935">
        <v>506</v>
      </c>
      <c r="N1935" s="5">
        <v>754749.6</v>
      </c>
      <c r="O1935" s="4">
        <v>1491.6</v>
      </c>
      <c r="P1935">
        <v>506</v>
      </c>
      <c r="Q1935" s="4">
        <v>754749.6</v>
      </c>
      <c r="R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 s="3">
        <v>42562</v>
      </c>
      <c r="AC1935" t="s">
        <v>53</v>
      </c>
      <c r="AD1935" t="s">
        <v>53</v>
      </c>
      <c r="AK1935">
        <v>0</v>
      </c>
      <c r="AU1935" s="3">
        <v>42530</v>
      </c>
      <c r="AV1935" s="3">
        <v>42530</v>
      </c>
      <c r="AW1935" t="s">
        <v>54</v>
      </c>
      <c r="AX1935" t="str">
        <f t="shared" si="252"/>
        <v>FOR</v>
      </c>
      <c r="AY1935" t="s">
        <v>55</v>
      </c>
    </row>
    <row r="1936" spans="1:51">
      <c r="A1936">
        <v>101851</v>
      </c>
      <c r="B1936" t="s">
        <v>301</v>
      </c>
      <c r="C1936" t="str">
        <f t="shared" si="258"/>
        <v>11667890153</v>
      </c>
      <c r="D1936" t="str">
        <f t="shared" si="258"/>
        <v>11667890153</v>
      </c>
      <c r="E1936" t="s">
        <v>52</v>
      </c>
      <c r="F1936">
        <v>2014</v>
      </c>
      <c r="G1936" t="str">
        <f>"            14026607"</f>
        <v xml:space="preserve">            14026607</v>
      </c>
      <c r="H1936" s="3">
        <v>41962</v>
      </c>
      <c r="I1936" s="3">
        <v>41984</v>
      </c>
      <c r="J1936" s="3">
        <v>41984</v>
      </c>
      <c r="K1936" s="3">
        <v>42044</v>
      </c>
      <c r="L1936" s="5">
        <v>1887.6</v>
      </c>
      <c r="M1936">
        <v>486</v>
      </c>
      <c r="N1936" s="5">
        <v>917373.6</v>
      </c>
      <c r="O1936" s="4">
        <v>1887.6</v>
      </c>
      <c r="P1936">
        <v>486</v>
      </c>
      <c r="Q1936" s="4">
        <v>917373.6</v>
      </c>
      <c r="R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 s="3">
        <v>42562</v>
      </c>
      <c r="AC1936" t="s">
        <v>53</v>
      </c>
      <c r="AD1936" t="s">
        <v>53</v>
      </c>
      <c r="AK1936">
        <v>0</v>
      </c>
      <c r="AU1936" s="3">
        <v>42530</v>
      </c>
      <c r="AV1936" s="3">
        <v>42530</v>
      </c>
      <c r="AW1936" t="s">
        <v>54</v>
      </c>
      <c r="AX1936" t="str">
        <f t="shared" si="252"/>
        <v>FOR</v>
      </c>
      <c r="AY1936" t="s">
        <v>55</v>
      </c>
    </row>
    <row r="1937" spans="1:51">
      <c r="A1937">
        <v>101851</v>
      </c>
      <c r="B1937" t="s">
        <v>301</v>
      </c>
      <c r="C1937" t="str">
        <f t="shared" si="258"/>
        <v>11667890153</v>
      </c>
      <c r="D1937" t="str">
        <f t="shared" si="258"/>
        <v>11667890153</v>
      </c>
      <c r="E1937" t="s">
        <v>52</v>
      </c>
      <c r="F1937">
        <v>2014</v>
      </c>
      <c r="G1937" t="str">
        <f>"            14027754"</f>
        <v xml:space="preserve">            14027754</v>
      </c>
      <c r="H1937" s="3">
        <v>41976</v>
      </c>
      <c r="I1937" s="3">
        <v>42002</v>
      </c>
      <c r="J1937" s="3">
        <v>42002</v>
      </c>
      <c r="K1937" s="3">
        <v>42062</v>
      </c>
      <c r="L1937" s="1">
        <v>484</v>
      </c>
      <c r="M1937">
        <v>468</v>
      </c>
      <c r="N1937" s="5">
        <v>226512</v>
      </c>
      <c r="O1937">
        <v>484</v>
      </c>
      <c r="P1937">
        <v>468</v>
      </c>
      <c r="Q1937" s="4">
        <v>226512</v>
      </c>
      <c r="R1937">
        <v>0</v>
      </c>
      <c r="V1937">
        <v>0</v>
      </c>
      <c r="W1937">
        <v>0</v>
      </c>
      <c r="X1937">
        <v>0</v>
      </c>
      <c r="Y1937">
        <v>0</v>
      </c>
      <c r="Z1937">
        <v>0</v>
      </c>
      <c r="AA1937">
        <v>0</v>
      </c>
      <c r="AB1937" s="3">
        <v>42562</v>
      </c>
      <c r="AC1937" t="s">
        <v>53</v>
      </c>
      <c r="AD1937" t="s">
        <v>53</v>
      </c>
      <c r="AK1937">
        <v>0</v>
      </c>
      <c r="AU1937" s="3">
        <v>42530</v>
      </c>
      <c r="AV1937" s="3">
        <v>42530</v>
      </c>
      <c r="AW1937" t="s">
        <v>54</v>
      </c>
      <c r="AX1937" t="str">
        <f t="shared" si="252"/>
        <v>FOR</v>
      </c>
      <c r="AY1937" t="s">
        <v>55</v>
      </c>
    </row>
    <row r="1938" spans="1:51">
      <c r="A1938">
        <v>101851</v>
      </c>
      <c r="B1938" t="s">
        <v>301</v>
      </c>
      <c r="C1938" t="str">
        <f t="shared" si="258"/>
        <v>11667890153</v>
      </c>
      <c r="D1938" t="str">
        <f t="shared" si="258"/>
        <v>11667890153</v>
      </c>
      <c r="E1938" t="s">
        <v>52</v>
      </c>
      <c r="F1938">
        <v>2014</v>
      </c>
      <c r="G1938" t="str">
        <f>"            14028061"</f>
        <v xml:space="preserve">            14028061</v>
      </c>
      <c r="H1938" s="3">
        <v>41978</v>
      </c>
      <c r="I1938" s="3">
        <v>42002</v>
      </c>
      <c r="J1938" s="3">
        <v>42002</v>
      </c>
      <c r="K1938" s="3">
        <v>42062</v>
      </c>
      <c r="L1938" s="5">
        <v>2191.1999999999998</v>
      </c>
      <c r="M1938">
        <v>468</v>
      </c>
      <c r="N1938" s="5">
        <v>1025481.6</v>
      </c>
      <c r="O1938" s="4">
        <v>2191.1999999999998</v>
      </c>
      <c r="P1938">
        <v>468</v>
      </c>
      <c r="Q1938" s="4">
        <v>1025481.6</v>
      </c>
      <c r="R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 s="3">
        <v>42562</v>
      </c>
      <c r="AC1938" t="s">
        <v>53</v>
      </c>
      <c r="AD1938" t="s">
        <v>53</v>
      </c>
      <c r="AK1938">
        <v>0</v>
      </c>
      <c r="AU1938" s="3">
        <v>42530</v>
      </c>
      <c r="AV1938" s="3">
        <v>42530</v>
      </c>
      <c r="AW1938" t="s">
        <v>54</v>
      </c>
      <c r="AX1938" t="str">
        <f t="shared" si="252"/>
        <v>FOR</v>
      </c>
      <c r="AY1938" t="s">
        <v>55</v>
      </c>
    </row>
    <row r="1939" spans="1:51" hidden="1">
      <c r="A1939">
        <v>101851</v>
      </c>
      <c r="B1939" t="s">
        <v>301</v>
      </c>
      <c r="C1939" t="str">
        <f t="shared" si="258"/>
        <v>11667890153</v>
      </c>
      <c r="D1939" t="str">
        <f t="shared" si="258"/>
        <v>11667890153</v>
      </c>
      <c r="E1939" t="s">
        <v>52</v>
      </c>
      <c r="F1939">
        <v>2015</v>
      </c>
      <c r="G1939" t="str">
        <f>"            15002850"</f>
        <v xml:space="preserve">            15002850</v>
      </c>
      <c r="H1939" s="3">
        <v>42041</v>
      </c>
      <c r="I1939" s="3">
        <v>42068</v>
      </c>
      <c r="J1939" s="3">
        <v>42068</v>
      </c>
      <c r="K1939" s="3">
        <v>42128</v>
      </c>
      <c r="L1939"/>
      <c r="N1939"/>
      <c r="O1939" s="4">
        <v>1155</v>
      </c>
      <c r="P1939">
        <v>277</v>
      </c>
      <c r="Q1939" s="4">
        <v>319935</v>
      </c>
      <c r="R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 s="3">
        <v>42562</v>
      </c>
      <c r="AC1939" t="s">
        <v>53</v>
      </c>
      <c r="AD1939" t="s">
        <v>53</v>
      </c>
      <c r="AK1939">
        <v>0</v>
      </c>
      <c r="AU1939" s="3">
        <v>42405</v>
      </c>
      <c r="AV1939" s="3">
        <v>42405</v>
      </c>
      <c r="AW1939" t="s">
        <v>54</v>
      </c>
      <c r="AX1939" t="str">
        <f t="shared" si="252"/>
        <v>FOR</v>
      </c>
      <c r="AY1939" t="s">
        <v>55</v>
      </c>
    </row>
    <row r="1940" spans="1:51" hidden="1">
      <c r="A1940">
        <v>101851</v>
      </c>
      <c r="B1940" t="s">
        <v>301</v>
      </c>
      <c r="C1940" t="str">
        <f t="shared" si="258"/>
        <v>11667890153</v>
      </c>
      <c r="D1940" t="str">
        <f t="shared" si="258"/>
        <v>11667890153</v>
      </c>
      <c r="E1940" t="s">
        <v>52</v>
      </c>
      <c r="F1940">
        <v>2015</v>
      </c>
      <c r="G1940" t="str">
        <f>"            15003575"</f>
        <v xml:space="preserve">            15003575</v>
      </c>
      <c r="H1940" s="3">
        <v>42048</v>
      </c>
      <c r="I1940" s="3">
        <v>42068</v>
      </c>
      <c r="J1940" s="3">
        <v>42068</v>
      </c>
      <c r="K1940" s="3">
        <v>42128</v>
      </c>
      <c r="L1940"/>
      <c r="N1940"/>
      <c r="O1940">
        <v>440</v>
      </c>
      <c r="P1940">
        <v>277</v>
      </c>
      <c r="Q1940" s="4">
        <v>121880</v>
      </c>
      <c r="R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 s="3">
        <v>42562</v>
      </c>
      <c r="AC1940" t="s">
        <v>53</v>
      </c>
      <c r="AD1940" t="s">
        <v>53</v>
      </c>
      <c r="AK1940">
        <v>0</v>
      </c>
      <c r="AU1940" s="3">
        <v>42405</v>
      </c>
      <c r="AV1940" s="3">
        <v>42405</v>
      </c>
      <c r="AW1940" t="s">
        <v>54</v>
      </c>
      <c r="AX1940" t="str">
        <f t="shared" si="252"/>
        <v>FOR</v>
      </c>
      <c r="AY1940" t="s">
        <v>55</v>
      </c>
    </row>
    <row r="1941" spans="1:51" hidden="1">
      <c r="A1941">
        <v>101851</v>
      </c>
      <c r="B1941" t="s">
        <v>301</v>
      </c>
      <c r="C1941" t="str">
        <f t="shared" si="258"/>
        <v>11667890153</v>
      </c>
      <c r="D1941" t="str">
        <f t="shared" si="258"/>
        <v>11667890153</v>
      </c>
      <c r="E1941" t="s">
        <v>52</v>
      </c>
      <c r="F1941">
        <v>2015</v>
      </c>
      <c r="G1941" t="str">
        <f>"            15004320"</f>
        <v xml:space="preserve">            15004320</v>
      </c>
      <c r="H1941" s="3">
        <v>42058</v>
      </c>
      <c r="I1941" s="3">
        <v>42080</v>
      </c>
      <c r="J1941" s="3">
        <v>42080</v>
      </c>
      <c r="K1941" s="3">
        <v>42140</v>
      </c>
      <c r="L1941"/>
      <c r="N1941"/>
      <c r="O1941" s="4">
        <v>1992</v>
      </c>
      <c r="P1941">
        <v>265</v>
      </c>
      <c r="Q1941" s="4">
        <v>527880</v>
      </c>
      <c r="R1941">
        <v>0</v>
      </c>
      <c r="V1941">
        <v>0</v>
      </c>
      <c r="W1941">
        <v>0</v>
      </c>
      <c r="X1941">
        <v>0</v>
      </c>
      <c r="Y1941">
        <v>0</v>
      </c>
      <c r="Z1941">
        <v>0</v>
      </c>
      <c r="AA1941">
        <v>0</v>
      </c>
      <c r="AB1941" s="3">
        <v>42562</v>
      </c>
      <c r="AC1941" t="s">
        <v>53</v>
      </c>
      <c r="AD1941" t="s">
        <v>53</v>
      </c>
      <c r="AK1941">
        <v>0</v>
      </c>
      <c r="AU1941" s="3">
        <v>42405</v>
      </c>
      <c r="AV1941" s="3">
        <v>42405</v>
      </c>
      <c r="AW1941" t="s">
        <v>54</v>
      </c>
      <c r="AX1941" t="str">
        <f t="shared" si="252"/>
        <v>FOR</v>
      </c>
      <c r="AY1941" t="s">
        <v>55</v>
      </c>
    </row>
    <row r="1942" spans="1:51" hidden="1">
      <c r="A1942">
        <v>101851</v>
      </c>
      <c r="B1942" t="s">
        <v>301</v>
      </c>
      <c r="C1942" t="str">
        <f t="shared" si="258"/>
        <v>11667890153</v>
      </c>
      <c r="D1942" t="str">
        <f t="shared" si="258"/>
        <v>11667890153</v>
      </c>
      <c r="E1942" t="s">
        <v>52</v>
      </c>
      <c r="F1942">
        <v>2015</v>
      </c>
      <c r="G1942" t="str">
        <f>"            15006332"</f>
        <v xml:space="preserve">            15006332</v>
      </c>
      <c r="H1942" s="3">
        <v>42079</v>
      </c>
      <c r="I1942" s="3">
        <v>42094</v>
      </c>
      <c r="J1942" s="3">
        <v>42094</v>
      </c>
      <c r="K1942" s="3">
        <v>42154</v>
      </c>
      <c r="L1942"/>
      <c r="N1942"/>
      <c r="O1942" s="4">
        <v>1080</v>
      </c>
      <c r="P1942">
        <v>261</v>
      </c>
      <c r="Q1942" s="4">
        <v>281880</v>
      </c>
      <c r="R1942">
        <v>0</v>
      </c>
      <c r="V1942">
        <v>0</v>
      </c>
      <c r="W1942">
        <v>0</v>
      </c>
      <c r="X1942">
        <v>0</v>
      </c>
      <c r="Y1942">
        <v>0</v>
      </c>
      <c r="Z1942">
        <v>0</v>
      </c>
      <c r="AA1942">
        <v>0</v>
      </c>
      <c r="AB1942" s="3">
        <v>42562</v>
      </c>
      <c r="AC1942" t="s">
        <v>53</v>
      </c>
      <c r="AD1942" t="s">
        <v>53</v>
      </c>
      <c r="AK1942">
        <v>0</v>
      </c>
      <c r="AU1942" s="3">
        <v>42415</v>
      </c>
      <c r="AV1942" s="3">
        <v>42415</v>
      </c>
      <c r="AW1942" t="s">
        <v>54</v>
      </c>
      <c r="AX1942" t="str">
        <f t="shared" si="252"/>
        <v>FOR</v>
      </c>
      <c r="AY1942" t="s">
        <v>55</v>
      </c>
    </row>
    <row r="1943" spans="1:51" hidden="1">
      <c r="A1943">
        <v>101851</v>
      </c>
      <c r="B1943" t="s">
        <v>301</v>
      </c>
      <c r="C1943" t="str">
        <f t="shared" si="258"/>
        <v>11667890153</v>
      </c>
      <c r="D1943" t="str">
        <f t="shared" si="258"/>
        <v>11667890153</v>
      </c>
      <c r="E1943" t="s">
        <v>52</v>
      </c>
      <c r="F1943">
        <v>2015</v>
      </c>
      <c r="G1943" t="str">
        <f>"            15007404"</f>
        <v xml:space="preserve">            15007404</v>
      </c>
      <c r="H1943" s="3">
        <v>42090</v>
      </c>
      <c r="I1943" s="3">
        <v>42118</v>
      </c>
      <c r="J1943" s="3">
        <v>42118</v>
      </c>
      <c r="K1943" s="3">
        <v>42178</v>
      </c>
      <c r="L1943"/>
      <c r="N1943"/>
      <c r="O1943">
        <v>720</v>
      </c>
      <c r="P1943">
        <v>237</v>
      </c>
      <c r="Q1943" s="4">
        <v>170640</v>
      </c>
      <c r="R1943">
        <v>0</v>
      </c>
      <c r="V1943">
        <v>0</v>
      </c>
      <c r="W1943">
        <v>0</v>
      </c>
      <c r="X1943">
        <v>0</v>
      </c>
      <c r="Y1943">
        <v>0</v>
      </c>
      <c r="Z1943">
        <v>0</v>
      </c>
      <c r="AA1943">
        <v>0</v>
      </c>
      <c r="AB1943" s="3">
        <v>42562</v>
      </c>
      <c r="AC1943" t="s">
        <v>53</v>
      </c>
      <c r="AD1943" t="s">
        <v>53</v>
      </c>
      <c r="AK1943">
        <v>0</v>
      </c>
      <c r="AU1943" s="3">
        <v>42415</v>
      </c>
      <c r="AV1943" s="3">
        <v>42415</v>
      </c>
      <c r="AW1943" t="s">
        <v>54</v>
      </c>
      <c r="AX1943" t="str">
        <f t="shared" si="252"/>
        <v>FOR</v>
      </c>
      <c r="AY1943" t="s">
        <v>55</v>
      </c>
    </row>
    <row r="1944" spans="1:51" hidden="1">
      <c r="A1944">
        <v>101851</v>
      </c>
      <c r="B1944" t="s">
        <v>301</v>
      </c>
      <c r="C1944" t="str">
        <f t="shared" si="258"/>
        <v>11667890153</v>
      </c>
      <c r="D1944" t="str">
        <f t="shared" si="258"/>
        <v>11667890153</v>
      </c>
      <c r="E1944" t="s">
        <v>52</v>
      </c>
      <c r="F1944">
        <v>2015</v>
      </c>
      <c r="G1944" t="str">
        <f>"         RH/15008593"</f>
        <v xml:space="preserve">         RH/15008593</v>
      </c>
      <c r="H1944" s="3">
        <v>42107</v>
      </c>
      <c r="I1944" s="3">
        <v>42139</v>
      </c>
      <c r="J1944" s="3">
        <v>42137</v>
      </c>
      <c r="K1944" s="3">
        <v>42197</v>
      </c>
      <c r="L1944"/>
      <c r="N1944"/>
      <c r="O1944" s="4">
        <v>3342</v>
      </c>
      <c r="P1944">
        <v>255</v>
      </c>
      <c r="Q1944" s="4">
        <v>852210</v>
      </c>
      <c r="R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 s="3">
        <v>42562</v>
      </c>
      <c r="AC1944" t="s">
        <v>53</v>
      </c>
      <c r="AD1944" t="s">
        <v>53</v>
      </c>
      <c r="AK1944">
        <v>0</v>
      </c>
      <c r="AU1944" s="3">
        <v>42452</v>
      </c>
      <c r="AV1944" s="3">
        <v>42452</v>
      </c>
      <c r="AW1944" t="s">
        <v>54</v>
      </c>
      <c r="AX1944" t="str">
        <f t="shared" si="252"/>
        <v>FOR</v>
      </c>
      <c r="AY1944" t="s">
        <v>55</v>
      </c>
    </row>
    <row r="1945" spans="1:51" hidden="1">
      <c r="A1945">
        <v>101851</v>
      </c>
      <c r="B1945" t="s">
        <v>301</v>
      </c>
      <c r="C1945" t="str">
        <f t="shared" si="258"/>
        <v>11667890153</v>
      </c>
      <c r="D1945" t="str">
        <f t="shared" si="258"/>
        <v>11667890153</v>
      </c>
      <c r="E1945" t="s">
        <v>52</v>
      </c>
      <c r="F1945">
        <v>2015</v>
      </c>
      <c r="G1945" t="str">
        <f>"         RH/15010788"</f>
        <v xml:space="preserve">         RH/15010788</v>
      </c>
      <c r="H1945" s="3">
        <v>42131</v>
      </c>
      <c r="I1945" s="3">
        <v>42139</v>
      </c>
      <c r="J1945" s="3">
        <v>42137</v>
      </c>
      <c r="K1945" s="3">
        <v>42197</v>
      </c>
      <c r="L1945"/>
      <c r="N1945"/>
      <c r="O1945">
        <v>271.2</v>
      </c>
      <c r="P1945">
        <v>255</v>
      </c>
      <c r="Q1945" s="4">
        <v>69156</v>
      </c>
      <c r="R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 s="3">
        <v>42562</v>
      </c>
      <c r="AC1945" t="s">
        <v>53</v>
      </c>
      <c r="AD1945" t="s">
        <v>53</v>
      </c>
      <c r="AK1945">
        <v>0</v>
      </c>
      <c r="AU1945" s="3">
        <v>42452</v>
      </c>
      <c r="AV1945" s="3">
        <v>42452</v>
      </c>
      <c r="AW1945" t="s">
        <v>54</v>
      </c>
      <c r="AX1945" t="str">
        <f t="shared" si="252"/>
        <v>FOR</v>
      </c>
      <c r="AY1945" t="s">
        <v>55</v>
      </c>
    </row>
    <row r="1946" spans="1:51" hidden="1">
      <c r="A1946">
        <v>101851</v>
      </c>
      <c r="B1946" t="s">
        <v>301</v>
      </c>
      <c r="C1946" t="str">
        <f t="shared" si="258"/>
        <v>11667890153</v>
      </c>
      <c r="D1946" t="str">
        <f t="shared" si="258"/>
        <v>11667890153</v>
      </c>
      <c r="E1946" t="s">
        <v>52</v>
      </c>
      <c r="F1946">
        <v>2015</v>
      </c>
      <c r="G1946" t="str">
        <f>"         RH/15010946"</f>
        <v xml:space="preserve">         RH/15010946</v>
      </c>
      <c r="H1946" s="3">
        <v>42135</v>
      </c>
      <c r="I1946" s="3">
        <v>42139</v>
      </c>
      <c r="J1946" s="3">
        <v>42137</v>
      </c>
      <c r="K1946" s="3">
        <v>42197</v>
      </c>
      <c r="L1946"/>
      <c r="N1946"/>
      <c r="O1946" s="4">
        <v>1084.8</v>
      </c>
      <c r="P1946">
        <v>255</v>
      </c>
      <c r="Q1946" s="4">
        <v>276624</v>
      </c>
      <c r="R1946">
        <v>0</v>
      </c>
      <c r="V1946">
        <v>0</v>
      </c>
      <c r="W1946">
        <v>0</v>
      </c>
      <c r="X1946">
        <v>0</v>
      </c>
      <c r="Y1946">
        <v>0</v>
      </c>
      <c r="Z1946">
        <v>0</v>
      </c>
      <c r="AA1946">
        <v>0</v>
      </c>
      <c r="AB1946" s="3">
        <v>42562</v>
      </c>
      <c r="AC1946" t="s">
        <v>53</v>
      </c>
      <c r="AD1946" t="s">
        <v>53</v>
      </c>
      <c r="AK1946">
        <v>0</v>
      </c>
      <c r="AU1946" s="3">
        <v>42452</v>
      </c>
      <c r="AV1946" s="3">
        <v>42452</v>
      </c>
      <c r="AW1946" t="s">
        <v>54</v>
      </c>
      <c r="AX1946" t="str">
        <f t="shared" si="252"/>
        <v>FOR</v>
      </c>
      <c r="AY1946" t="s">
        <v>55</v>
      </c>
    </row>
    <row r="1947" spans="1:51" hidden="1">
      <c r="A1947">
        <v>101851</v>
      </c>
      <c r="B1947" t="s">
        <v>301</v>
      </c>
      <c r="C1947" t="str">
        <f t="shared" si="258"/>
        <v>11667890153</v>
      </c>
      <c r="D1947" t="str">
        <f t="shared" si="258"/>
        <v>11667890153</v>
      </c>
      <c r="E1947" t="s">
        <v>52</v>
      </c>
      <c r="F1947">
        <v>2015</v>
      </c>
      <c r="G1947" t="str">
        <f>"         RH/15012462"</f>
        <v xml:space="preserve">         RH/15012462</v>
      </c>
      <c r="H1947" s="3">
        <v>42149</v>
      </c>
      <c r="I1947" s="3">
        <v>42160</v>
      </c>
      <c r="J1947" s="3">
        <v>42152</v>
      </c>
      <c r="K1947" s="3">
        <v>42212</v>
      </c>
      <c r="L1947"/>
      <c r="N1947"/>
      <c r="O1947" s="4">
        <v>3072</v>
      </c>
      <c r="P1947">
        <v>240</v>
      </c>
      <c r="Q1947" s="4">
        <v>737280</v>
      </c>
      <c r="R1947">
        <v>0</v>
      </c>
      <c r="V1947">
        <v>0</v>
      </c>
      <c r="W1947">
        <v>0</v>
      </c>
      <c r="X1947">
        <v>0</v>
      </c>
      <c r="Y1947">
        <v>0</v>
      </c>
      <c r="Z1947">
        <v>0</v>
      </c>
      <c r="AA1947">
        <v>0</v>
      </c>
      <c r="AB1947" s="3">
        <v>42562</v>
      </c>
      <c r="AC1947" t="s">
        <v>53</v>
      </c>
      <c r="AD1947" t="s">
        <v>53</v>
      </c>
      <c r="AK1947">
        <v>0</v>
      </c>
      <c r="AU1947" s="3">
        <v>42452</v>
      </c>
      <c r="AV1947" s="3">
        <v>42452</v>
      </c>
      <c r="AW1947" t="s">
        <v>54</v>
      </c>
      <c r="AX1947" t="str">
        <f t="shared" si="252"/>
        <v>FOR</v>
      </c>
      <c r="AY1947" t="s">
        <v>55</v>
      </c>
    </row>
    <row r="1948" spans="1:51">
      <c r="A1948">
        <v>101851</v>
      </c>
      <c r="B1948" t="s">
        <v>301</v>
      </c>
      <c r="C1948" t="str">
        <f t="shared" si="258"/>
        <v>11667890153</v>
      </c>
      <c r="D1948" t="str">
        <f t="shared" si="258"/>
        <v>11667890153</v>
      </c>
      <c r="E1948" t="s">
        <v>52</v>
      </c>
      <c r="F1948">
        <v>2015</v>
      </c>
      <c r="G1948" t="str">
        <f>"         RH/15013593"</f>
        <v xml:space="preserve">         RH/15013593</v>
      </c>
      <c r="H1948" s="3">
        <v>42160</v>
      </c>
      <c r="I1948" s="3">
        <v>42164</v>
      </c>
      <c r="J1948" s="3">
        <v>42163</v>
      </c>
      <c r="K1948" s="3">
        <v>42223</v>
      </c>
      <c r="L1948" s="1">
        <v>98</v>
      </c>
      <c r="M1948">
        <v>304</v>
      </c>
      <c r="N1948" s="5">
        <v>29792</v>
      </c>
      <c r="O1948">
        <v>98</v>
      </c>
      <c r="P1948">
        <v>304</v>
      </c>
      <c r="Q1948" s="4">
        <v>29792</v>
      </c>
      <c r="R1948">
        <v>9.8000000000000007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 s="3">
        <v>42562</v>
      </c>
      <c r="AC1948" t="s">
        <v>53</v>
      </c>
      <c r="AD1948" t="s">
        <v>53</v>
      </c>
      <c r="AK1948">
        <v>9.8000000000000007</v>
      </c>
      <c r="AU1948" s="3">
        <v>42527</v>
      </c>
      <c r="AV1948" s="3">
        <v>42527</v>
      </c>
      <c r="AW1948" t="s">
        <v>54</v>
      </c>
      <c r="AX1948" t="str">
        <f t="shared" si="252"/>
        <v>FOR</v>
      </c>
      <c r="AY1948" t="s">
        <v>55</v>
      </c>
    </row>
    <row r="1949" spans="1:51">
      <c r="A1949">
        <v>101851</v>
      </c>
      <c r="B1949" t="s">
        <v>301</v>
      </c>
      <c r="C1949" t="str">
        <f t="shared" si="258"/>
        <v>11667890153</v>
      </c>
      <c r="D1949" t="str">
        <f t="shared" si="258"/>
        <v>11667890153</v>
      </c>
      <c r="E1949" t="s">
        <v>52</v>
      </c>
      <c r="F1949">
        <v>2015</v>
      </c>
      <c r="G1949" t="str">
        <f>"         RH/15015094"</f>
        <v xml:space="preserve">         RH/15015094</v>
      </c>
      <c r="H1949" s="3">
        <v>42177</v>
      </c>
      <c r="I1949" s="3">
        <v>42178</v>
      </c>
      <c r="J1949" s="3">
        <v>42178</v>
      </c>
      <c r="K1949" s="3">
        <v>42238</v>
      </c>
      <c r="L1949" s="5">
        <v>2352</v>
      </c>
      <c r="M1949">
        <v>289</v>
      </c>
      <c r="N1949" s="5">
        <v>679728</v>
      </c>
      <c r="O1949" s="4">
        <v>2352</v>
      </c>
      <c r="P1949">
        <v>289</v>
      </c>
      <c r="Q1949" s="4">
        <v>679728</v>
      </c>
      <c r="R1949">
        <v>235.2</v>
      </c>
      <c r="V1949">
        <v>0</v>
      </c>
      <c r="W1949">
        <v>0</v>
      </c>
      <c r="X1949">
        <v>0</v>
      </c>
      <c r="Y1949">
        <v>0</v>
      </c>
      <c r="Z1949">
        <v>0</v>
      </c>
      <c r="AA1949">
        <v>0</v>
      </c>
      <c r="AB1949" s="3">
        <v>42562</v>
      </c>
      <c r="AC1949" t="s">
        <v>53</v>
      </c>
      <c r="AD1949" t="s">
        <v>53</v>
      </c>
      <c r="AK1949">
        <v>235.2</v>
      </c>
      <c r="AU1949" s="3">
        <v>42527</v>
      </c>
      <c r="AV1949" s="3">
        <v>42527</v>
      </c>
      <c r="AW1949" t="s">
        <v>54</v>
      </c>
      <c r="AX1949" t="str">
        <f t="shared" si="252"/>
        <v>FOR</v>
      </c>
      <c r="AY1949" t="s">
        <v>55</v>
      </c>
    </row>
    <row r="1950" spans="1:51">
      <c r="A1950">
        <v>101907</v>
      </c>
      <c r="B1950" t="s">
        <v>302</v>
      </c>
      <c r="C1950" t="str">
        <f t="shared" ref="C1950:C1964" si="259">"04310690377"</f>
        <v>04310690377</v>
      </c>
      <c r="D1950" t="str">
        <f t="shared" ref="D1950:D1964" si="260">"01347430397"</f>
        <v>01347430397</v>
      </c>
      <c r="E1950" t="s">
        <v>52</v>
      </c>
      <c r="F1950">
        <v>2014</v>
      </c>
      <c r="G1950" t="str">
        <f>"                 338"</f>
        <v xml:space="preserve">                 338</v>
      </c>
      <c r="H1950" s="3">
        <v>41939</v>
      </c>
      <c r="I1950" s="3">
        <v>42037</v>
      </c>
      <c r="J1950" s="3">
        <v>42037</v>
      </c>
      <c r="K1950" s="3">
        <v>42097</v>
      </c>
      <c r="L1950" s="5">
        <v>5124</v>
      </c>
      <c r="M1950">
        <v>433</v>
      </c>
      <c r="N1950" s="5">
        <v>2218692</v>
      </c>
      <c r="O1950" s="4">
        <v>5124</v>
      </c>
      <c r="P1950">
        <v>433</v>
      </c>
      <c r="Q1950" s="4">
        <v>2218692</v>
      </c>
      <c r="R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 s="3">
        <v>42562</v>
      </c>
      <c r="AC1950" t="s">
        <v>53</v>
      </c>
      <c r="AD1950" t="s">
        <v>53</v>
      </c>
      <c r="AK1950">
        <v>0</v>
      </c>
      <c r="AU1950" s="3">
        <v>42530</v>
      </c>
      <c r="AV1950" s="3">
        <v>42530</v>
      </c>
      <c r="AW1950" t="s">
        <v>54</v>
      </c>
      <c r="AX1950" t="str">
        <f t="shared" si="252"/>
        <v>FOR</v>
      </c>
      <c r="AY1950" t="s">
        <v>55</v>
      </c>
    </row>
    <row r="1951" spans="1:51">
      <c r="A1951">
        <v>101907</v>
      </c>
      <c r="B1951" t="s">
        <v>302</v>
      </c>
      <c r="C1951" t="str">
        <f t="shared" si="259"/>
        <v>04310690377</v>
      </c>
      <c r="D1951" t="str">
        <f t="shared" si="260"/>
        <v>01347430397</v>
      </c>
      <c r="E1951" t="s">
        <v>52</v>
      </c>
      <c r="F1951">
        <v>2014</v>
      </c>
      <c r="G1951" t="str">
        <f>"                 378"</f>
        <v xml:space="preserve">                 378</v>
      </c>
      <c r="H1951" s="3">
        <v>41961</v>
      </c>
      <c r="I1951" s="3">
        <v>42037</v>
      </c>
      <c r="J1951" s="3">
        <v>42037</v>
      </c>
      <c r="K1951" s="3">
        <v>42097</v>
      </c>
      <c r="L1951" s="5">
        <v>3172</v>
      </c>
      <c r="M1951">
        <v>433</v>
      </c>
      <c r="N1951" s="5">
        <v>1373476</v>
      </c>
      <c r="O1951" s="4">
        <v>3172</v>
      </c>
      <c r="P1951">
        <v>433</v>
      </c>
      <c r="Q1951" s="4">
        <v>1373476</v>
      </c>
      <c r="R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 s="3">
        <v>42562</v>
      </c>
      <c r="AC1951" t="s">
        <v>53</v>
      </c>
      <c r="AD1951" t="s">
        <v>53</v>
      </c>
      <c r="AK1951">
        <v>0</v>
      </c>
      <c r="AU1951" s="3">
        <v>42530</v>
      </c>
      <c r="AV1951" s="3">
        <v>42530</v>
      </c>
      <c r="AW1951" t="s">
        <v>54</v>
      </c>
      <c r="AX1951" t="str">
        <f t="shared" si="252"/>
        <v>FOR</v>
      </c>
      <c r="AY1951" t="s">
        <v>55</v>
      </c>
    </row>
    <row r="1952" spans="1:51">
      <c r="A1952">
        <v>101907</v>
      </c>
      <c r="B1952" t="s">
        <v>302</v>
      </c>
      <c r="C1952" t="str">
        <f t="shared" si="259"/>
        <v>04310690377</v>
      </c>
      <c r="D1952" t="str">
        <f t="shared" si="260"/>
        <v>01347430397</v>
      </c>
      <c r="E1952" t="s">
        <v>52</v>
      </c>
      <c r="F1952">
        <v>2014</v>
      </c>
      <c r="G1952" t="str">
        <f>"                 434"</f>
        <v xml:space="preserve">                 434</v>
      </c>
      <c r="H1952" s="3">
        <v>41983</v>
      </c>
      <c r="I1952" s="3">
        <v>42088</v>
      </c>
      <c r="J1952" s="3">
        <v>42088</v>
      </c>
      <c r="K1952" s="3">
        <v>42148</v>
      </c>
      <c r="L1952" s="5">
        <v>2379</v>
      </c>
      <c r="M1952">
        <v>382</v>
      </c>
      <c r="N1952" s="5">
        <v>908778</v>
      </c>
      <c r="O1952" s="4">
        <v>2379</v>
      </c>
      <c r="P1952">
        <v>382</v>
      </c>
      <c r="Q1952" s="4">
        <v>908778</v>
      </c>
      <c r="R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 s="3">
        <v>42562</v>
      </c>
      <c r="AC1952" t="s">
        <v>53</v>
      </c>
      <c r="AD1952" t="s">
        <v>53</v>
      </c>
      <c r="AK1952">
        <v>0</v>
      </c>
      <c r="AU1952" s="3">
        <v>42530</v>
      </c>
      <c r="AV1952" s="3">
        <v>42530</v>
      </c>
      <c r="AW1952" t="s">
        <v>54</v>
      </c>
      <c r="AX1952" t="str">
        <f t="shared" si="252"/>
        <v>FOR</v>
      </c>
      <c r="AY1952" t="s">
        <v>55</v>
      </c>
    </row>
    <row r="1953" spans="1:51">
      <c r="A1953">
        <v>101907</v>
      </c>
      <c r="B1953" t="s">
        <v>302</v>
      </c>
      <c r="C1953" t="str">
        <f t="shared" si="259"/>
        <v>04310690377</v>
      </c>
      <c r="D1953" t="str">
        <f t="shared" si="260"/>
        <v>01347430397</v>
      </c>
      <c r="E1953" t="s">
        <v>52</v>
      </c>
      <c r="F1953">
        <v>2014</v>
      </c>
      <c r="G1953" t="str">
        <f>"                 435"</f>
        <v xml:space="preserve">                 435</v>
      </c>
      <c r="H1953" s="3">
        <v>41983</v>
      </c>
      <c r="I1953" s="3">
        <v>42030</v>
      </c>
      <c r="J1953" s="3">
        <v>42030</v>
      </c>
      <c r="K1953" s="3">
        <v>42090</v>
      </c>
      <c r="L1953" s="5">
        <v>24156</v>
      </c>
      <c r="M1953">
        <v>440</v>
      </c>
      <c r="N1953" s="5">
        <v>10628640</v>
      </c>
      <c r="O1953" s="4">
        <v>24156</v>
      </c>
      <c r="P1953">
        <v>440</v>
      </c>
      <c r="Q1953" s="4">
        <v>10628640</v>
      </c>
      <c r="R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 s="3">
        <v>42562</v>
      </c>
      <c r="AC1953" t="s">
        <v>53</v>
      </c>
      <c r="AD1953" t="s">
        <v>53</v>
      </c>
      <c r="AK1953">
        <v>0</v>
      </c>
      <c r="AU1953" s="3">
        <v>42530</v>
      </c>
      <c r="AV1953" s="3">
        <v>42530</v>
      </c>
      <c r="AW1953" t="s">
        <v>54</v>
      </c>
      <c r="AX1953" t="str">
        <f t="shared" si="252"/>
        <v>FOR</v>
      </c>
      <c r="AY1953" t="s">
        <v>55</v>
      </c>
    </row>
    <row r="1954" spans="1:51">
      <c r="A1954">
        <v>101907</v>
      </c>
      <c r="B1954" t="s">
        <v>302</v>
      </c>
      <c r="C1954" t="str">
        <f t="shared" si="259"/>
        <v>04310690377</v>
      </c>
      <c r="D1954" t="str">
        <f t="shared" si="260"/>
        <v>01347430397</v>
      </c>
      <c r="E1954" t="s">
        <v>52</v>
      </c>
      <c r="F1954">
        <v>2014</v>
      </c>
      <c r="G1954" t="str">
        <f>"                 496"</f>
        <v xml:space="preserve">                 496</v>
      </c>
      <c r="H1954" s="3">
        <v>42004</v>
      </c>
      <c r="I1954" s="3">
        <v>42088</v>
      </c>
      <c r="J1954" s="3">
        <v>42088</v>
      </c>
      <c r="K1954" s="3">
        <v>42148</v>
      </c>
      <c r="L1954" s="5">
        <v>9638</v>
      </c>
      <c r="M1954">
        <v>382</v>
      </c>
      <c r="N1954" s="5">
        <v>3681716</v>
      </c>
      <c r="O1954" s="4">
        <v>9638</v>
      </c>
      <c r="P1954">
        <v>382</v>
      </c>
      <c r="Q1954" s="4">
        <v>3681716</v>
      </c>
      <c r="R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 s="3">
        <v>42562</v>
      </c>
      <c r="AC1954" t="s">
        <v>53</v>
      </c>
      <c r="AD1954" t="s">
        <v>53</v>
      </c>
      <c r="AK1954">
        <v>0</v>
      </c>
      <c r="AU1954" s="3">
        <v>42530</v>
      </c>
      <c r="AV1954" s="3">
        <v>42530</v>
      </c>
      <c r="AW1954" t="s">
        <v>54</v>
      </c>
      <c r="AX1954" t="str">
        <f t="shared" si="252"/>
        <v>FOR</v>
      </c>
      <c r="AY1954" t="s">
        <v>55</v>
      </c>
    </row>
    <row r="1955" spans="1:51">
      <c r="A1955">
        <v>101907</v>
      </c>
      <c r="B1955" t="s">
        <v>302</v>
      </c>
      <c r="C1955" t="str">
        <f t="shared" si="259"/>
        <v>04310690377</v>
      </c>
      <c r="D1955" t="str">
        <f t="shared" si="260"/>
        <v>01347430397</v>
      </c>
      <c r="E1955" t="s">
        <v>52</v>
      </c>
      <c r="F1955">
        <v>2014</v>
      </c>
      <c r="G1955" t="str">
        <f>"                 626"</f>
        <v xml:space="preserve">                 626</v>
      </c>
      <c r="H1955" s="3">
        <v>41983</v>
      </c>
      <c r="I1955" s="3">
        <v>42030</v>
      </c>
      <c r="J1955" s="3">
        <v>42030</v>
      </c>
      <c r="K1955" s="3">
        <v>42090</v>
      </c>
      <c r="L1955" s="5">
        <v>48678</v>
      </c>
      <c r="M1955">
        <v>440</v>
      </c>
      <c r="N1955" s="5">
        <v>21418320</v>
      </c>
      <c r="O1955" s="4">
        <v>48678</v>
      </c>
      <c r="P1955">
        <v>440</v>
      </c>
      <c r="Q1955" s="4">
        <v>21418320</v>
      </c>
      <c r="R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 s="3">
        <v>42562</v>
      </c>
      <c r="AC1955" t="s">
        <v>53</v>
      </c>
      <c r="AD1955" t="s">
        <v>53</v>
      </c>
      <c r="AK1955">
        <v>0</v>
      </c>
      <c r="AU1955" s="3">
        <v>42530</v>
      </c>
      <c r="AV1955" s="3">
        <v>42530</v>
      </c>
      <c r="AW1955" t="s">
        <v>54</v>
      </c>
      <c r="AX1955" t="str">
        <f t="shared" si="252"/>
        <v>FOR</v>
      </c>
      <c r="AY1955" t="s">
        <v>55</v>
      </c>
    </row>
    <row r="1956" spans="1:51">
      <c r="A1956">
        <v>101907</v>
      </c>
      <c r="B1956" t="s">
        <v>302</v>
      </c>
      <c r="C1956" t="str">
        <f t="shared" si="259"/>
        <v>04310690377</v>
      </c>
      <c r="D1956" t="str">
        <f t="shared" si="260"/>
        <v>01347430397</v>
      </c>
      <c r="E1956" t="s">
        <v>52</v>
      </c>
      <c r="F1956">
        <v>2014</v>
      </c>
      <c r="G1956" t="str">
        <f>"                 628"</f>
        <v xml:space="preserve">                 628</v>
      </c>
      <c r="H1956" s="3">
        <v>41983</v>
      </c>
      <c r="I1956" s="3">
        <v>42030</v>
      </c>
      <c r="J1956" s="3">
        <v>42030</v>
      </c>
      <c r="K1956" s="3">
        <v>42090</v>
      </c>
      <c r="L1956" s="5">
        <v>13932.4</v>
      </c>
      <c r="M1956">
        <v>440</v>
      </c>
      <c r="N1956" s="5">
        <v>6130256</v>
      </c>
      <c r="O1956" s="4">
        <v>13932.4</v>
      </c>
      <c r="P1956">
        <v>440</v>
      </c>
      <c r="Q1956" s="4">
        <v>6130256</v>
      </c>
      <c r="R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 s="3">
        <v>42562</v>
      </c>
      <c r="AC1956" t="s">
        <v>53</v>
      </c>
      <c r="AD1956" t="s">
        <v>53</v>
      </c>
      <c r="AK1956">
        <v>0</v>
      </c>
      <c r="AU1956" s="3">
        <v>42530</v>
      </c>
      <c r="AV1956" s="3">
        <v>42530</v>
      </c>
      <c r="AW1956" t="s">
        <v>54</v>
      </c>
      <c r="AX1956" t="str">
        <f t="shared" ref="AX1956:AX2019" si="261">"FOR"</f>
        <v>FOR</v>
      </c>
      <c r="AY1956" t="s">
        <v>55</v>
      </c>
    </row>
    <row r="1957" spans="1:51" hidden="1">
      <c r="A1957">
        <v>101907</v>
      </c>
      <c r="B1957" t="s">
        <v>302</v>
      </c>
      <c r="C1957" t="str">
        <f t="shared" si="259"/>
        <v>04310690377</v>
      </c>
      <c r="D1957" t="str">
        <f t="shared" si="260"/>
        <v>01347430397</v>
      </c>
      <c r="E1957" t="s">
        <v>52</v>
      </c>
      <c r="F1957">
        <v>2015</v>
      </c>
      <c r="G1957" t="str">
        <f>"                 133"</f>
        <v xml:space="preserve">                 133</v>
      </c>
      <c r="H1957" s="3">
        <v>42090</v>
      </c>
      <c r="I1957" s="3">
        <v>42109</v>
      </c>
      <c r="J1957" s="3">
        <v>42109</v>
      </c>
      <c r="K1957" s="3">
        <v>42169</v>
      </c>
      <c r="L1957"/>
      <c r="N1957"/>
      <c r="O1957" s="4">
        <v>39985</v>
      </c>
      <c r="P1957">
        <v>233</v>
      </c>
      <c r="Q1957" s="4">
        <v>9316505</v>
      </c>
      <c r="R1957">
        <v>0</v>
      </c>
      <c r="V1957">
        <v>0</v>
      </c>
      <c r="W1957">
        <v>0</v>
      </c>
      <c r="X1957">
        <v>0</v>
      </c>
      <c r="Y1957">
        <v>0</v>
      </c>
      <c r="Z1957">
        <v>0</v>
      </c>
      <c r="AA1957">
        <v>0</v>
      </c>
      <c r="AB1957" s="3">
        <v>42562</v>
      </c>
      <c r="AC1957" t="s">
        <v>53</v>
      </c>
      <c r="AD1957" t="s">
        <v>53</v>
      </c>
      <c r="AK1957">
        <v>0</v>
      </c>
      <c r="AU1957" s="3">
        <v>42402</v>
      </c>
      <c r="AV1957" s="3">
        <v>42402</v>
      </c>
      <c r="AW1957" t="s">
        <v>54</v>
      </c>
      <c r="AX1957" t="str">
        <f t="shared" si="261"/>
        <v>FOR</v>
      </c>
      <c r="AY1957" t="s">
        <v>55</v>
      </c>
    </row>
    <row r="1958" spans="1:51" hidden="1">
      <c r="A1958">
        <v>101907</v>
      </c>
      <c r="B1958" t="s">
        <v>302</v>
      </c>
      <c r="C1958" t="str">
        <f t="shared" si="259"/>
        <v>04310690377</v>
      </c>
      <c r="D1958" t="str">
        <f t="shared" si="260"/>
        <v>01347430397</v>
      </c>
      <c r="E1958" t="s">
        <v>52</v>
      </c>
      <c r="F1958">
        <v>2015</v>
      </c>
      <c r="G1958" t="str">
        <f>"                 134"</f>
        <v xml:space="preserve">                 134</v>
      </c>
      <c r="H1958" s="3">
        <v>42090</v>
      </c>
      <c r="I1958" s="3">
        <v>42191</v>
      </c>
      <c r="J1958" s="3">
        <v>42191</v>
      </c>
      <c r="K1958" s="3">
        <v>42251</v>
      </c>
      <c r="L1958"/>
      <c r="N1958"/>
      <c r="O1958" s="4">
        <v>3000</v>
      </c>
      <c r="P1958">
        <v>151</v>
      </c>
      <c r="Q1958" s="4">
        <v>453000</v>
      </c>
      <c r="R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 s="3">
        <v>42562</v>
      </c>
      <c r="AC1958" t="s">
        <v>53</v>
      </c>
      <c r="AD1958" t="s">
        <v>53</v>
      </c>
      <c r="AK1958">
        <v>0</v>
      </c>
      <c r="AU1958" s="3">
        <v>42402</v>
      </c>
      <c r="AV1958" s="3">
        <v>42402</v>
      </c>
      <c r="AW1958" t="s">
        <v>54</v>
      </c>
      <c r="AX1958" t="str">
        <f t="shared" si="261"/>
        <v>FOR</v>
      </c>
      <c r="AY1958" t="s">
        <v>55</v>
      </c>
    </row>
    <row r="1959" spans="1:51" hidden="1">
      <c r="A1959">
        <v>101907</v>
      </c>
      <c r="B1959" t="s">
        <v>302</v>
      </c>
      <c r="C1959" t="str">
        <f t="shared" si="259"/>
        <v>04310690377</v>
      </c>
      <c r="D1959" t="str">
        <f t="shared" si="260"/>
        <v>01347430397</v>
      </c>
      <c r="E1959" t="s">
        <v>52</v>
      </c>
      <c r="F1959">
        <v>2015</v>
      </c>
      <c r="G1959" t="str">
        <f>"          162 - FCSP"</f>
        <v xml:space="preserve">          162 - FCSP</v>
      </c>
      <c r="H1959" s="3">
        <v>42123</v>
      </c>
      <c r="I1959" s="3">
        <v>42142</v>
      </c>
      <c r="J1959" s="3">
        <v>42138</v>
      </c>
      <c r="K1959" s="3">
        <v>42198</v>
      </c>
      <c r="L1959"/>
      <c r="N1959"/>
      <c r="O1959" s="4">
        <v>18790</v>
      </c>
      <c r="P1959">
        <v>218</v>
      </c>
      <c r="Q1959" s="4">
        <v>4096220</v>
      </c>
      <c r="R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 s="3">
        <v>42562</v>
      </c>
      <c r="AC1959" t="s">
        <v>53</v>
      </c>
      <c r="AD1959" t="s">
        <v>53</v>
      </c>
      <c r="AK1959">
        <v>0</v>
      </c>
      <c r="AU1959" s="3">
        <v>42416</v>
      </c>
      <c r="AV1959" s="3">
        <v>42416</v>
      </c>
      <c r="AW1959" t="s">
        <v>54</v>
      </c>
      <c r="AX1959" t="str">
        <f t="shared" si="261"/>
        <v>FOR</v>
      </c>
      <c r="AY1959" t="s">
        <v>55</v>
      </c>
    </row>
    <row r="1960" spans="1:51" hidden="1">
      <c r="A1960">
        <v>101907</v>
      </c>
      <c r="B1960" t="s">
        <v>302</v>
      </c>
      <c r="C1960" t="str">
        <f t="shared" si="259"/>
        <v>04310690377</v>
      </c>
      <c r="D1960" t="str">
        <f t="shared" si="260"/>
        <v>01347430397</v>
      </c>
      <c r="E1960" t="s">
        <v>52</v>
      </c>
      <c r="F1960">
        <v>2015</v>
      </c>
      <c r="G1960" t="str">
        <f>"          163 - FCSP"</f>
        <v xml:space="preserve">          163 - FCSP</v>
      </c>
      <c r="H1960" s="3">
        <v>42124</v>
      </c>
      <c r="I1960" s="3">
        <v>42142</v>
      </c>
      <c r="J1960" s="3">
        <v>42138</v>
      </c>
      <c r="K1960" s="3">
        <v>42198</v>
      </c>
      <c r="L1960"/>
      <c r="N1960"/>
      <c r="O1960" s="4">
        <v>20314</v>
      </c>
      <c r="P1960">
        <v>218</v>
      </c>
      <c r="Q1960" s="4">
        <v>4428452</v>
      </c>
      <c r="R1960">
        <v>0</v>
      </c>
      <c r="V1960">
        <v>0</v>
      </c>
      <c r="W1960">
        <v>0</v>
      </c>
      <c r="X1960">
        <v>0</v>
      </c>
      <c r="Y1960">
        <v>0</v>
      </c>
      <c r="Z1960">
        <v>0</v>
      </c>
      <c r="AA1960">
        <v>0</v>
      </c>
      <c r="AB1960" s="3">
        <v>42562</v>
      </c>
      <c r="AC1960" t="s">
        <v>53</v>
      </c>
      <c r="AD1960" t="s">
        <v>53</v>
      </c>
      <c r="AK1960">
        <v>0</v>
      </c>
      <c r="AU1960" s="3">
        <v>42416</v>
      </c>
      <c r="AV1960" s="3">
        <v>42416</v>
      </c>
      <c r="AW1960" t="s">
        <v>54</v>
      </c>
      <c r="AX1960" t="str">
        <f t="shared" si="261"/>
        <v>FOR</v>
      </c>
      <c r="AY1960" t="s">
        <v>55</v>
      </c>
    </row>
    <row r="1961" spans="1:51">
      <c r="A1961">
        <v>101907</v>
      </c>
      <c r="B1961" t="s">
        <v>302</v>
      </c>
      <c r="C1961" t="str">
        <f t="shared" si="259"/>
        <v>04310690377</v>
      </c>
      <c r="D1961" t="str">
        <f t="shared" si="260"/>
        <v>01347430397</v>
      </c>
      <c r="E1961" t="s">
        <v>52</v>
      </c>
      <c r="F1961">
        <v>2015</v>
      </c>
      <c r="G1961" t="str">
        <f>"          262 - FCSP"</f>
        <v xml:space="preserve">          262 - FCSP</v>
      </c>
      <c r="H1961" s="3">
        <v>42185</v>
      </c>
      <c r="I1961" s="3">
        <v>42187</v>
      </c>
      <c r="J1961" s="3">
        <v>42185</v>
      </c>
      <c r="K1961" s="3">
        <v>42245</v>
      </c>
      <c r="L1961" s="5">
        <v>11420</v>
      </c>
      <c r="M1961">
        <v>247</v>
      </c>
      <c r="N1961" s="5">
        <v>2820740</v>
      </c>
      <c r="O1961" s="4">
        <v>11420</v>
      </c>
      <c r="P1961">
        <v>247</v>
      </c>
      <c r="Q1961" s="4">
        <v>2820740</v>
      </c>
      <c r="R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 s="3">
        <v>42562</v>
      </c>
      <c r="AC1961" t="s">
        <v>53</v>
      </c>
      <c r="AD1961" t="s">
        <v>53</v>
      </c>
      <c r="AK1961">
        <v>0</v>
      </c>
      <c r="AU1961" s="3">
        <v>42492</v>
      </c>
      <c r="AV1961" s="3">
        <v>42492</v>
      </c>
      <c r="AW1961" t="s">
        <v>54</v>
      </c>
      <c r="AX1961" t="str">
        <f t="shared" si="261"/>
        <v>FOR</v>
      </c>
      <c r="AY1961" t="s">
        <v>55</v>
      </c>
    </row>
    <row r="1962" spans="1:51">
      <c r="A1962">
        <v>101907</v>
      </c>
      <c r="B1962" t="s">
        <v>302</v>
      </c>
      <c r="C1962" t="str">
        <f t="shared" si="259"/>
        <v>04310690377</v>
      </c>
      <c r="D1962" t="str">
        <f t="shared" si="260"/>
        <v>01347430397</v>
      </c>
      <c r="E1962" t="s">
        <v>52</v>
      </c>
      <c r="F1962">
        <v>2015</v>
      </c>
      <c r="G1962" t="str">
        <f>"          279 - FCSP"</f>
        <v xml:space="preserve">          279 - FCSP</v>
      </c>
      <c r="H1962" s="3">
        <v>42185</v>
      </c>
      <c r="I1962" s="3">
        <v>42191</v>
      </c>
      <c r="J1962" s="3">
        <v>42190</v>
      </c>
      <c r="K1962" s="3">
        <v>42250</v>
      </c>
      <c r="L1962" s="5">
        <v>39900</v>
      </c>
      <c r="M1962">
        <v>242</v>
      </c>
      <c r="N1962" s="5">
        <v>9655800</v>
      </c>
      <c r="O1962" s="4">
        <v>39900</v>
      </c>
      <c r="P1962">
        <v>242</v>
      </c>
      <c r="Q1962" s="4">
        <v>9655800</v>
      </c>
      <c r="R1962">
        <v>0</v>
      </c>
      <c r="V1962">
        <v>0</v>
      </c>
      <c r="W1962">
        <v>0</v>
      </c>
      <c r="X1962">
        <v>0</v>
      </c>
      <c r="Y1962">
        <v>0</v>
      </c>
      <c r="Z1962">
        <v>0</v>
      </c>
      <c r="AA1962">
        <v>0</v>
      </c>
      <c r="AB1962" s="3">
        <v>42562</v>
      </c>
      <c r="AC1962" t="s">
        <v>53</v>
      </c>
      <c r="AD1962" t="s">
        <v>53</v>
      </c>
      <c r="AK1962">
        <v>0</v>
      </c>
      <c r="AU1962" s="3">
        <v>42492</v>
      </c>
      <c r="AV1962" s="3">
        <v>42492</v>
      </c>
      <c r="AW1962" t="s">
        <v>54</v>
      </c>
      <c r="AX1962" t="str">
        <f t="shared" si="261"/>
        <v>FOR</v>
      </c>
      <c r="AY1962" t="s">
        <v>55</v>
      </c>
    </row>
    <row r="1963" spans="1:51">
      <c r="A1963">
        <v>101907</v>
      </c>
      <c r="B1963" t="s">
        <v>302</v>
      </c>
      <c r="C1963" t="str">
        <f t="shared" si="259"/>
        <v>04310690377</v>
      </c>
      <c r="D1963" t="str">
        <f t="shared" si="260"/>
        <v>01347430397</v>
      </c>
      <c r="E1963" t="s">
        <v>52</v>
      </c>
      <c r="F1963">
        <v>2015</v>
      </c>
      <c r="G1963" t="str">
        <f>"          284 - FCSP"</f>
        <v xml:space="preserve">          284 - FCSP</v>
      </c>
      <c r="H1963" s="3">
        <v>42185</v>
      </c>
      <c r="I1963" s="3">
        <v>42191</v>
      </c>
      <c r="J1963" s="3">
        <v>42190</v>
      </c>
      <c r="K1963" s="3">
        <v>42250</v>
      </c>
      <c r="L1963" s="1">
        <v>600</v>
      </c>
      <c r="M1963">
        <v>242</v>
      </c>
      <c r="N1963" s="5">
        <v>145200</v>
      </c>
      <c r="O1963">
        <v>600</v>
      </c>
      <c r="P1963">
        <v>242</v>
      </c>
      <c r="Q1963" s="4">
        <v>145200</v>
      </c>
      <c r="R1963">
        <v>0</v>
      </c>
      <c r="V1963">
        <v>0</v>
      </c>
      <c r="W1963">
        <v>0</v>
      </c>
      <c r="X1963">
        <v>0</v>
      </c>
      <c r="Y1963">
        <v>0</v>
      </c>
      <c r="Z1963">
        <v>0</v>
      </c>
      <c r="AA1963">
        <v>0</v>
      </c>
      <c r="AB1963" s="3">
        <v>42562</v>
      </c>
      <c r="AC1963" t="s">
        <v>53</v>
      </c>
      <c r="AD1963" t="s">
        <v>53</v>
      </c>
      <c r="AK1963">
        <v>0</v>
      </c>
      <c r="AU1963" s="3">
        <v>42492</v>
      </c>
      <c r="AV1963" s="3">
        <v>42492</v>
      </c>
      <c r="AW1963" t="s">
        <v>54</v>
      </c>
      <c r="AX1963" t="str">
        <f t="shared" si="261"/>
        <v>FOR</v>
      </c>
      <c r="AY1963" t="s">
        <v>55</v>
      </c>
    </row>
    <row r="1964" spans="1:51">
      <c r="A1964">
        <v>101907</v>
      </c>
      <c r="B1964" t="s">
        <v>302</v>
      </c>
      <c r="C1964" t="str">
        <f t="shared" si="259"/>
        <v>04310690377</v>
      </c>
      <c r="D1964" t="str">
        <f t="shared" si="260"/>
        <v>01347430397</v>
      </c>
      <c r="E1964" t="s">
        <v>52</v>
      </c>
      <c r="F1964">
        <v>2015</v>
      </c>
      <c r="G1964" t="str">
        <f>"          295 - FCSP"</f>
        <v xml:space="preserve">          295 - FCSP</v>
      </c>
      <c r="H1964" s="3">
        <v>42185</v>
      </c>
      <c r="I1964" s="3">
        <v>42198</v>
      </c>
      <c r="J1964" s="3">
        <v>42196</v>
      </c>
      <c r="K1964" s="3">
        <v>42256</v>
      </c>
      <c r="L1964" s="5">
        <v>5600</v>
      </c>
      <c r="M1964">
        <v>236</v>
      </c>
      <c r="N1964" s="5">
        <v>1321600</v>
      </c>
      <c r="O1964" s="4">
        <v>5600</v>
      </c>
      <c r="P1964">
        <v>236</v>
      </c>
      <c r="Q1964" s="4">
        <v>1321600</v>
      </c>
      <c r="R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 s="3">
        <v>42562</v>
      </c>
      <c r="AC1964" t="s">
        <v>53</v>
      </c>
      <c r="AD1964" t="s">
        <v>53</v>
      </c>
      <c r="AK1964">
        <v>0</v>
      </c>
      <c r="AU1964" s="3">
        <v>42492</v>
      </c>
      <c r="AV1964" s="3">
        <v>42492</v>
      </c>
      <c r="AW1964" t="s">
        <v>54</v>
      </c>
      <c r="AX1964" t="str">
        <f t="shared" si="261"/>
        <v>FOR</v>
      </c>
      <c r="AY1964" t="s">
        <v>55</v>
      </c>
    </row>
    <row r="1965" spans="1:51" hidden="1">
      <c r="A1965">
        <v>101934</v>
      </c>
      <c r="B1965" t="s">
        <v>303</v>
      </c>
      <c r="C1965" t="str">
        <f t="shared" ref="C1965:D1984" si="262">"06175550638"</f>
        <v>06175550638</v>
      </c>
      <c r="D1965" t="str">
        <f t="shared" si="262"/>
        <v>06175550638</v>
      </c>
      <c r="E1965" t="s">
        <v>52</v>
      </c>
      <c r="F1965">
        <v>2015</v>
      </c>
      <c r="G1965" t="str">
        <f>"                 326"</f>
        <v xml:space="preserve">                 326</v>
      </c>
      <c r="H1965" s="3">
        <v>42062</v>
      </c>
      <c r="I1965" s="3">
        <v>42086</v>
      </c>
      <c r="J1965" s="3">
        <v>42086</v>
      </c>
      <c r="K1965" s="3">
        <v>42146</v>
      </c>
      <c r="L1965"/>
      <c r="N1965"/>
      <c r="O1965">
        <v>252.1</v>
      </c>
      <c r="P1965">
        <v>262</v>
      </c>
      <c r="Q1965" s="4">
        <v>66050.2</v>
      </c>
      <c r="R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 s="3">
        <v>42562</v>
      </c>
      <c r="AC1965" t="s">
        <v>53</v>
      </c>
      <c r="AD1965" t="s">
        <v>53</v>
      </c>
      <c r="AK1965">
        <v>0</v>
      </c>
      <c r="AU1965" s="3">
        <v>42408</v>
      </c>
      <c r="AV1965" s="3">
        <v>42408</v>
      </c>
      <c r="AW1965" t="s">
        <v>54</v>
      </c>
      <c r="AX1965" t="str">
        <f t="shared" si="261"/>
        <v>FOR</v>
      </c>
      <c r="AY1965" t="s">
        <v>55</v>
      </c>
    </row>
    <row r="1966" spans="1:51" hidden="1">
      <c r="A1966">
        <v>101934</v>
      </c>
      <c r="B1966" t="s">
        <v>303</v>
      </c>
      <c r="C1966" t="str">
        <f t="shared" si="262"/>
        <v>06175550638</v>
      </c>
      <c r="D1966" t="str">
        <f t="shared" si="262"/>
        <v>06175550638</v>
      </c>
      <c r="E1966" t="s">
        <v>52</v>
      </c>
      <c r="F1966">
        <v>2015</v>
      </c>
      <c r="G1966" t="str">
        <f>"                 598"</f>
        <v xml:space="preserve">                 598</v>
      </c>
      <c r="H1966" s="3">
        <v>42093</v>
      </c>
      <c r="I1966" s="3">
        <v>42109</v>
      </c>
      <c r="J1966" s="3">
        <v>42109</v>
      </c>
      <c r="K1966" s="3">
        <v>42169</v>
      </c>
      <c r="L1966"/>
      <c r="N1966"/>
      <c r="O1966">
        <v>145</v>
      </c>
      <c r="P1966">
        <v>246</v>
      </c>
      <c r="Q1966" s="4">
        <v>35670</v>
      </c>
      <c r="R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 s="3">
        <v>42562</v>
      </c>
      <c r="AC1966" t="s">
        <v>53</v>
      </c>
      <c r="AD1966" t="s">
        <v>53</v>
      </c>
      <c r="AK1966">
        <v>0</v>
      </c>
      <c r="AU1966" s="3">
        <v>42415</v>
      </c>
      <c r="AV1966" s="3">
        <v>42415</v>
      </c>
      <c r="AW1966" t="s">
        <v>54</v>
      </c>
      <c r="AX1966" t="str">
        <f t="shared" si="261"/>
        <v>FOR</v>
      </c>
      <c r="AY1966" t="s">
        <v>55</v>
      </c>
    </row>
    <row r="1967" spans="1:51" hidden="1">
      <c r="A1967">
        <v>101934</v>
      </c>
      <c r="B1967" t="s">
        <v>303</v>
      </c>
      <c r="C1967" t="str">
        <f t="shared" si="262"/>
        <v>06175550638</v>
      </c>
      <c r="D1967" t="str">
        <f t="shared" si="262"/>
        <v>06175550638</v>
      </c>
      <c r="E1967" t="s">
        <v>52</v>
      </c>
      <c r="F1967">
        <v>2015</v>
      </c>
      <c r="G1967" t="str">
        <f>"                 599"</f>
        <v xml:space="preserve">                 599</v>
      </c>
      <c r="H1967" s="3">
        <v>42093</v>
      </c>
      <c r="I1967" s="3">
        <v>42109</v>
      </c>
      <c r="J1967" s="3">
        <v>42109</v>
      </c>
      <c r="K1967" s="3">
        <v>42169</v>
      </c>
      <c r="L1967"/>
      <c r="N1967"/>
      <c r="O1967">
        <v>145</v>
      </c>
      <c r="P1967">
        <v>246</v>
      </c>
      <c r="Q1967" s="4">
        <v>35670</v>
      </c>
      <c r="R1967">
        <v>0</v>
      </c>
      <c r="V1967">
        <v>0</v>
      </c>
      <c r="W1967">
        <v>0</v>
      </c>
      <c r="X1967">
        <v>0</v>
      </c>
      <c r="Y1967">
        <v>0</v>
      </c>
      <c r="Z1967">
        <v>0</v>
      </c>
      <c r="AA1967">
        <v>0</v>
      </c>
      <c r="AB1967" s="3">
        <v>42562</v>
      </c>
      <c r="AC1967" t="s">
        <v>53</v>
      </c>
      <c r="AD1967" t="s">
        <v>53</v>
      </c>
      <c r="AK1967">
        <v>0</v>
      </c>
      <c r="AU1967" s="3">
        <v>42415</v>
      </c>
      <c r="AV1967" s="3">
        <v>42415</v>
      </c>
      <c r="AW1967" t="s">
        <v>54</v>
      </c>
      <c r="AX1967" t="str">
        <f t="shared" si="261"/>
        <v>FOR</v>
      </c>
      <c r="AY1967" t="s">
        <v>55</v>
      </c>
    </row>
    <row r="1968" spans="1:51" hidden="1">
      <c r="A1968">
        <v>101934</v>
      </c>
      <c r="B1968" t="s">
        <v>303</v>
      </c>
      <c r="C1968" t="str">
        <f t="shared" si="262"/>
        <v>06175550638</v>
      </c>
      <c r="D1968" t="str">
        <f t="shared" si="262"/>
        <v>06175550638</v>
      </c>
      <c r="E1968" t="s">
        <v>52</v>
      </c>
      <c r="F1968">
        <v>2015</v>
      </c>
      <c r="G1968" t="str">
        <f>"                 600"</f>
        <v xml:space="preserve">                 600</v>
      </c>
      <c r="H1968" s="3">
        <v>42093</v>
      </c>
      <c r="I1968" s="3">
        <v>42109</v>
      </c>
      <c r="J1968" s="3">
        <v>42109</v>
      </c>
      <c r="K1968" s="3">
        <v>42169</v>
      </c>
      <c r="L1968"/>
      <c r="N1968"/>
      <c r="O1968">
        <v>145</v>
      </c>
      <c r="P1968">
        <v>246</v>
      </c>
      <c r="Q1968" s="4">
        <v>35670</v>
      </c>
      <c r="R1968">
        <v>0</v>
      </c>
      <c r="V1968">
        <v>0</v>
      </c>
      <c r="W1968">
        <v>0</v>
      </c>
      <c r="X1968">
        <v>0</v>
      </c>
      <c r="Y1968">
        <v>0</v>
      </c>
      <c r="Z1968">
        <v>0</v>
      </c>
      <c r="AA1968">
        <v>0</v>
      </c>
      <c r="AB1968" s="3">
        <v>42562</v>
      </c>
      <c r="AC1968" t="s">
        <v>53</v>
      </c>
      <c r="AD1968" t="s">
        <v>53</v>
      </c>
      <c r="AK1968">
        <v>0</v>
      </c>
      <c r="AU1968" s="3">
        <v>42415</v>
      </c>
      <c r="AV1968" s="3">
        <v>42415</v>
      </c>
      <c r="AW1968" t="s">
        <v>54</v>
      </c>
      <c r="AX1968" t="str">
        <f t="shared" si="261"/>
        <v>FOR</v>
      </c>
      <c r="AY1968" t="s">
        <v>55</v>
      </c>
    </row>
    <row r="1969" spans="1:51" hidden="1">
      <c r="A1969">
        <v>101934</v>
      </c>
      <c r="B1969" t="s">
        <v>303</v>
      </c>
      <c r="C1969" t="str">
        <f t="shared" si="262"/>
        <v>06175550638</v>
      </c>
      <c r="D1969" t="str">
        <f t="shared" si="262"/>
        <v>06175550638</v>
      </c>
      <c r="E1969" t="s">
        <v>52</v>
      </c>
      <c r="F1969">
        <v>2015</v>
      </c>
      <c r="G1969" t="str">
        <f>"                 601"</f>
        <v xml:space="preserve">                 601</v>
      </c>
      <c r="H1969" s="3">
        <v>42093</v>
      </c>
      <c r="I1969" s="3">
        <v>42109</v>
      </c>
      <c r="J1969" s="3">
        <v>42109</v>
      </c>
      <c r="K1969" s="3">
        <v>42169</v>
      </c>
      <c r="L1969"/>
      <c r="N1969"/>
      <c r="O1969">
        <v>145</v>
      </c>
      <c r="P1969">
        <v>246</v>
      </c>
      <c r="Q1969" s="4">
        <v>35670</v>
      </c>
      <c r="R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 s="3">
        <v>42562</v>
      </c>
      <c r="AC1969" t="s">
        <v>53</v>
      </c>
      <c r="AD1969" t="s">
        <v>53</v>
      </c>
      <c r="AK1969">
        <v>0</v>
      </c>
      <c r="AU1969" s="3">
        <v>42415</v>
      </c>
      <c r="AV1969" s="3">
        <v>42415</v>
      </c>
      <c r="AW1969" t="s">
        <v>54</v>
      </c>
      <c r="AX1969" t="str">
        <f t="shared" si="261"/>
        <v>FOR</v>
      </c>
      <c r="AY1969" t="s">
        <v>55</v>
      </c>
    </row>
    <row r="1970" spans="1:51" hidden="1">
      <c r="A1970">
        <v>101934</v>
      </c>
      <c r="B1970" t="s">
        <v>303</v>
      </c>
      <c r="C1970" t="str">
        <f t="shared" si="262"/>
        <v>06175550638</v>
      </c>
      <c r="D1970" t="str">
        <f t="shared" si="262"/>
        <v>06175550638</v>
      </c>
      <c r="E1970" t="s">
        <v>52</v>
      </c>
      <c r="F1970">
        <v>2015</v>
      </c>
      <c r="G1970" t="str">
        <f>"                 602"</f>
        <v xml:space="preserve">                 602</v>
      </c>
      <c r="H1970" s="3">
        <v>42093</v>
      </c>
      <c r="I1970" s="3">
        <v>42109</v>
      </c>
      <c r="J1970" s="3">
        <v>42109</v>
      </c>
      <c r="K1970" s="3">
        <v>42169</v>
      </c>
      <c r="L1970"/>
      <c r="N1970"/>
      <c r="O1970">
        <v>145</v>
      </c>
      <c r="P1970">
        <v>246</v>
      </c>
      <c r="Q1970" s="4">
        <v>35670</v>
      </c>
      <c r="R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 s="3">
        <v>42562</v>
      </c>
      <c r="AC1970" t="s">
        <v>53</v>
      </c>
      <c r="AD1970" t="s">
        <v>53</v>
      </c>
      <c r="AK1970">
        <v>0</v>
      </c>
      <c r="AU1970" s="3">
        <v>42415</v>
      </c>
      <c r="AV1970" s="3">
        <v>42415</v>
      </c>
      <c r="AW1970" t="s">
        <v>54</v>
      </c>
      <c r="AX1970" t="str">
        <f t="shared" si="261"/>
        <v>FOR</v>
      </c>
      <c r="AY1970" t="s">
        <v>55</v>
      </c>
    </row>
    <row r="1971" spans="1:51" hidden="1">
      <c r="A1971">
        <v>101934</v>
      </c>
      <c r="B1971" t="s">
        <v>303</v>
      </c>
      <c r="C1971" t="str">
        <f t="shared" si="262"/>
        <v>06175550638</v>
      </c>
      <c r="D1971" t="str">
        <f t="shared" si="262"/>
        <v>06175550638</v>
      </c>
      <c r="E1971" t="s">
        <v>52</v>
      </c>
      <c r="F1971">
        <v>2015</v>
      </c>
      <c r="G1971" t="str">
        <f>"                 603"</f>
        <v xml:space="preserve">                 603</v>
      </c>
      <c r="H1971" s="3">
        <v>42093</v>
      </c>
      <c r="I1971" s="3">
        <v>42109</v>
      </c>
      <c r="J1971" s="3">
        <v>42109</v>
      </c>
      <c r="K1971" s="3">
        <v>42169</v>
      </c>
      <c r="L1971"/>
      <c r="N1971"/>
      <c r="O1971">
        <v>145</v>
      </c>
      <c r="P1971">
        <v>246</v>
      </c>
      <c r="Q1971" s="4">
        <v>35670</v>
      </c>
      <c r="R1971">
        <v>0</v>
      </c>
      <c r="V1971">
        <v>0</v>
      </c>
      <c r="W1971">
        <v>0</v>
      </c>
      <c r="X1971">
        <v>0</v>
      </c>
      <c r="Y1971">
        <v>0</v>
      </c>
      <c r="Z1971">
        <v>0</v>
      </c>
      <c r="AA1971">
        <v>0</v>
      </c>
      <c r="AB1971" s="3">
        <v>42562</v>
      </c>
      <c r="AC1971" t="s">
        <v>53</v>
      </c>
      <c r="AD1971" t="s">
        <v>53</v>
      </c>
      <c r="AK1971">
        <v>0</v>
      </c>
      <c r="AU1971" s="3">
        <v>42415</v>
      </c>
      <c r="AV1971" s="3">
        <v>42415</v>
      </c>
      <c r="AW1971" t="s">
        <v>54</v>
      </c>
      <c r="AX1971" t="str">
        <f t="shared" si="261"/>
        <v>FOR</v>
      </c>
      <c r="AY1971" t="s">
        <v>55</v>
      </c>
    </row>
    <row r="1972" spans="1:51" hidden="1">
      <c r="A1972">
        <v>101934</v>
      </c>
      <c r="B1972" t="s">
        <v>303</v>
      </c>
      <c r="C1972" t="str">
        <f t="shared" si="262"/>
        <v>06175550638</v>
      </c>
      <c r="D1972" t="str">
        <f t="shared" si="262"/>
        <v>06175550638</v>
      </c>
      <c r="E1972" t="s">
        <v>52</v>
      </c>
      <c r="F1972">
        <v>2015</v>
      </c>
      <c r="G1972" t="str">
        <f>"                 604"</f>
        <v xml:space="preserve">                 604</v>
      </c>
      <c r="H1972" s="3">
        <v>42093</v>
      </c>
      <c r="I1972" s="3">
        <v>42109</v>
      </c>
      <c r="J1972" s="3">
        <v>42109</v>
      </c>
      <c r="K1972" s="3">
        <v>42169</v>
      </c>
      <c r="L1972"/>
      <c r="N1972"/>
      <c r="O1972">
        <v>145</v>
      </c>
      <c r="P1972">
        <v>246</v>
      </c>
      <c r="Q1972" s="4">
        <v>35670</v>
      </c>
      <c r="R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 s="3">
        <v>42562</v>
      </c>
      <c r="AC1972" t="s">
        <v>53</v>
      </c>
      <c r="AD1972" t="s">
        <v>53</v>
      </c>
      <c r="AK1972">
        <v>0</v>
      </c>
      <c r="AU1972" s="3">
        <v>42415</v>
      </c>
      <c r="AV1972" s="3">
        <v>42415</v>
      </c>
      <c r="AW1972" t="s">
        <v>54</v>
      </c>
      <c r="AX1972" t="str">
        <f t="shared" si="261"/>
        <v>FOR</v>
      </c>
      <c r="AY1972" t="s">
        <v>55</v>
      </c>
    </row>
    <row r="1973" spans="1:51" hidden="1">
      <c r="A1973">
        <v>101934</v>
      </c>
      <c r="B1973" t="s">
        <v>303</v>
      </c>
      <c r="C1973" t="str">
        <f t="shared" si="262"/>
        <v>06175550638</v>
      </c>
      <c r="D1973" t="str">
        <f t="shared" si="262"/>
        <v>06175550638</v>
      </c>
      <c r="E1973" t="s">
        <v>52</v>
      </c>
      <c r="F1973">
        <v>2015</v>
      </c>
      <c r="G1973" t="str">
        <f>"                 605"</f>
        <v xml:space="preserve">                 605</v>
      </c>
      <c r="H1973" s="3">
        <v>42093</v>
      </c>
      <c r="I1973" s="3">
        <v>42109</v>
      </c>
      <c r="J1973" s="3">
        <v>42109</v>
      </c>
      <c r="K1973" s="3">
        <v>42169</v>
      </c>
      <c r="L1973"/>
      <c r="N1973"/>
      <c r="O1973">
        <v>145</v>
      </c>
      <c r="P1973">
        <v>246</v>
      </c>
      <c r="Q1973" s="4">
        <v>35670</v>
      </c>
      <c r="R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 s="3">
        <v>42562</v>
      </c>
      <c r="AC1973" t="s">
        <v>53</v>
      </c>
      <c r="AD1973" t="s">
        <v>53</v>
      </c>
      <c r="AK1973">
        <v>0</v>
      </c>
      <c r="AU1973" s="3">
        <v>42415</v>
      </c>
      <c r="AV1973" s="3">
        <v>42415</v>
      </c>
      <c r="AW1973" t="s">
        <v>54</v>
      </c>
      <c r="AX1973" t="str">
        <f t="shared" si="261"/>
        <v>FOR</v>
      </c>
      <c r="AY1973" t="s">
        <v>55</v>
      </c>
    </row>
    <row r="1974" spans="1:51" hidden="1">
      <c r="A1974">
        <v>101934</v>
      </c>
      <c r="B1974" t="s">
        <v>303</v>
      </c>
      <c r="C1974" t="str">
        <f t="shared" si="262"/>
        <v>06175550638</v>
      </c>
      <c r="D1974" t="str">
        <f t="shared" si="262"/>
        <v>06175550638</v>
      </c>
      <c r="E1974" t="s">
        <v>52</v>
      </c>
      <c r="F1974">
        <v>2015</v>
      </c>
      <c r="G1974" t="str">
        <f>"                 606"</f>
        <v xml:space="preserve">                 606</v>
      </c>
      <c r="H1974" s="3">
        <v>42093</v>
      </c>
      <c r="I1974" s="3">
        <v>42109</v>
      </c>
      <c r="J1974" s="3">
        <v>42109</v>
      </c>
      <c r="K1974" s="3">
        <v>42169</v>
      </c>
      <c r="L1974"/>
      <c r="N1974"/>
      <c r="O1974">
        <v>145</v>
      </c>
      <c r="P1974">
        <v>246</v>
      </c>
      <c r="Q1974" s="4">
        <v>35670</v>
      </c>
      <c r="R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 s="3">
        <v>42562</v>
      </c>
      <c r="AC1974" t="s">
        <v>53</v>
      </c>
      <c r="AD1974" t="s">
        <v>53</v>
      </c>
      <c r="AK1974">
        <v>0</v>
      </c>
      <c r="AU1974" s="3">
        <v>42415</v>
      </c>
      <c r="AV1974" s="3">
        <v>42415</v>
      </c>
      <c r="AW1974" t="s">
        <v>54</v>
      </c>
      <c r="AX1974" t="str">
        <f t="shared" si="261"/>
        <v>FOR</v>
      </c>
      <c r="AY1974" t="s">
        <v>55</v>
      </c>
    </row>
    <row r="1975" spans="1:51" hidden="1">
      <c r="A1975">
        <v>101934</v>
      </c>
      <c r="B1975" t="s">
        <v>303</v>
      </c>
      <c r="C1975" t="str">
        <f t="shared" si="262"/>
        <v>06175550638</v>
      </c>
      <c r="D1975" t="str">
        <f t="shared" si="262"/>
        <v>06175550638</v>
      </c>
      <c r="E1975" t="s">
        <v>52</v>
      </c>
      <c r="F1975">
        <v>2015</v>
      </c>
      <c r="G1975" t="str">
        <f>"                 607"</f>
        <v xml:space="preserve">                 607</v>
      </c>
      <c r="H1975" s="3">
        <v>42093</v>
      </c>
      <c r="I1975" s="3">
        <v>42109</v>
      </c>
      <c r="J1975" s="3">
        <v>42109</v>
      </c>
      <c r="K1975" s="3">
        <v>42169</v>
      </c>
      <c r="L1975"/>
      <c r="N1975"/>
      <c r="O1975">
        <v>145</v>
      </c>
      <c r="P1975">
        <v>246</v>
      </c>
      <c r="Q1975" s="4">
        <v>35670</v>
      </c>
      <c r="R1975">
        <v>0</v>
      </c>
      <c r="V1975">
        <v>0</v>
      </c>
      <c r="W1975">
        <v>0</v>
      </c>
      <c r="X1975">
        <v>0</v>
      </c>
      <c r="Y1975">
        <v>0</v>
      </c>
      <c r="Z1975">
        <v>0</v>
      </c>
      <c r="AA1975">
        <v>0</v>
      </c>
      <c r="AB1975" s="3">
        <v>42562</v>
      </c>
      <c r="AC1975" t="s">
        <v>53</v>
      </c>
      <c r="AD1975" t="s">
        <v>53</v>
      </c>
      <c r="AK1975">
        <v>0</v>
      </c>
      <c r="AU1975" s="3">
        <v>42415</v>
      </c>
      <c r="AV1975" s="3">
        <v>42415</v>
      </c>
      <c r="AW1975" t="s">
        <v>54</v>
      </c>
      <c r="AX1975" t="str">
        <f t="shared" si="261"/>
        <v>FOR</v>
      </c>
      <c r="AY1975" t="s">
        <v>55</v>
      </c>
    </row>
    <row r="1976" spans="1:51" hidden="1">
      <c r="A1976">
        <v>101934</v>
      </c>
      <c r="B1976" t="s">
        <v>303</v>
      </c>
      <c r="C1976" t="str">
        <f t="shared" si="262"/>
        <v>06175550638</v>
      </c>
      <c r="D1976" t="str">
        <f t="shared" si="262"/>
        <v>06175550638</v>
      </c>
      <c r="E1976" t="s">
        <v>52</v>
      </c>
      <c r="F1976">
        <v>2015</v>
      </c>
      <c r="G1976" t="str">
        <f>"                 608"</f>
        <v xml:space="preserve">                 608</v>
      </c>
      <c r="H1976" s="3">
        <v>42093</v>
      </c>
      <c r="I1976" s="3">
        <v>42109</v>
      </c>
      <c r="J1976" s="3">
        <v>42109</v>
      </c>
      <c r="K1976" s="3">
        <v>42169</v>
      </c>
      <c r="L1976"/>
      <c r="N1976"/>
      <c r="O1976">
        <v>145</v>
      </c>
      <c r="P1976">
        <v>246</v>
      </c>
      <c r="Q1976" s="4">
        <v>35670</v>
      </c>
      <c r="R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 s="3">
        <v>42562</v>
      </c>
      <c r="AC1976" t="s">
        <v>53</v>
      </c>
      <c r="AD1976" t="s">
        <v>53</v>
      </c>
      <c r="AK1976">
        <v>0</v>
      </c>
      <c r="AU1976" s="3">
        <v>42415</v>
      </c>
      <c r="AV1976" s="3">
        <v>42415</v>
      </c>
      <c r="AW1976" t="s">
        <v>54</v>
      </c>
      <c r="AX1976" t="str">
        <f t="shared" si="261"/>
        <v>FOR</v>
      </c>
      <c r="AY1976" t="s">
        <v>55</v>
      </c>
    </row>
    <row r="1977" spans="1:51" hidden="1">
      <c r="A1977">
        <v>101934</v>
      </c>
      <c r="B1977" t="s">
        <v>303</v>
      </c>
      <c r="C1977" t="str">
        <f t="shared" si="262"/>
        <v>06175550638</v>
      </c>
      <c r="D1977" t="str">
        <f t="shared" si="262"/>
        <v>06175550638</v>
      </c>
      <c r="E1977" t="s">
        <v>52</v>
      </c>
      <c r="F1977">
        <v>2015</v>
      </c>
      <c r="G1977" t="str">
        <f>"                 609"</f>
        <v xml:space="preserve">                 609</v>
      </c>
      <c r="H1977" s="3">
        <v>42093</v>
      </c>
      <c r="I1977" s="3">
        <v>42109</v>
      </c>
      <c r="J1977" s="3">
        <v>42109</v>
      </c>
      <c r="K1977" s="3">
        <v>42169</v>
      </c>
      <c r="L1977"/>
      <c r="N1977"/>
      <c r="O1977">
        <v>145</v>
      </c>
      <c r="P1977">
        <v>246</v>
      </c>
      <c r="Q1977" s="4">
        <v>35670</v>
      </c>
      <c r="R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 s="3">
        <v>42562</v>
      </c>
      <c r="AC1977" t="s">
        <v>53</v>
      </c>
      <c r="AD1977" t="s">
        <v>53</v>
      </c>
      <c r="AK1977">
        <v>0</v>
      </c>
      <c r="AU1977" s="3">
        <v>42415</v>
      </c>
      <c r="AV1977" s="3">
        <v>42415</v>
      </c>
      <c r="AW1977" t="s">
        <v>54</v>
      </c>
      <c r="AX1977" t="str">
        <f t="shared" si="261"/>
        <v>FOR</v>
      </c>
      <c r="AY1977" t="s">
        <v>55</v>
      </c>
    </row>
    <row r="1978" spans="1:51" hidden="1">
      <c r="A1978">
        <v>101934</v>
      </c>
      <c r="B1978" t="s">
        <v>303</v>
      </c>
      <c r="C1978" t="str">
        <f t="shared" si="262"/>
        <v>06175550638</v>
      </c>
      <c r="D1978" t="str">
        <f t="shared" si="262"/>
        <v>06175550638</v>
      </c>
      <c r="E1978" t="s">
        <v>52</v>
      </c>
      <c r="F1978">
        <v>2015</v>
      </c>
      <c r="G1978" t="str">
        <f>"                 610"</f>
        <v xml:space="preserve">                 610</v>
      </c>
      <c r="H1978" s="3">
        <v>42093</v>
      </c>
      <c r="I1978" s="3">
        <v>42109</v>
      </c>
      <c r="J1978" s="3">
        <v>42109</v>
      </c>
      <c r="K1978" s="3">
        <v>42169</v>
      </c>
      <c r="L1978"/>
      <c r="N1978"/>
      <c r="O1978">
        <v>145</v>
      </c>
      <c r="P1978">
        <v>246</v>
      </c>
      <c r="Q1978" s="4">
        <v>35670</v>
      </c>
      <c r="R1978">
        <v>0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 s="3">
        <v>42562</v>
      </c>
      <c r="AC1978" t="s">
        <v>53</v>
      </c>
      <c r="AD1978" t="s">
        <v>53</v>
      </c>
      <c r="AK1978">
        <v>0</v>
      </c>
      <c r="AU1978" s="3">
        <v>42415</v>
      </c>
      <c r="AV1978" s="3">
        <v>42415</v>
      </c>
      <c r="AW1978" t="s">
        <v>54</v>
      </c>
      <c r="AX1978" t="str">
        <f t="shared" si="261"/>
        <v>FOR</v>
      </c>
      <c r="AY1978" t="s">
        <v>55</v>
      </c>
    </row>
    <row r="1979" spans="1:51" hidden="1">
      <c r="A1979">
        <v>101934</v>
      </c>
      <c r="B1979" t="s">
        <v>303</v>
      </c>
      <c r="C1979" t="str">
        <f t="shared" si="262"/>
        <v>06175550638</v>
      </c>
      <c r="D1979" t="str">
        <f t="shared" si="262"/>
        <v>06175550638</v>
      </c>
      <c r="E1979" t="s">
        <v>52</v>
      </c>
      <c r="F1979">
        <v>2015</v>
      </c>
      <c r="G1979" t="str">
        <f>"                 611"</f>
        <v xml:space="preserve">                 611</v>
      </c>
      <c r="H1979" s="3">
        <v>42093</v>
      </c>
      <c r="I1979" s="3">
        <v>42110</v>
      </c>
      <c r="J1979" s="3">
        <v>42110</v>
      </c>
      <c r="K1979" s="3">
        <v>42170</v>
      </c>
      <c r="L1979"/>
      <c r="N1979"/>
      <c r="O1979">
        <v>145</v>
      </c>
      <c r="P1979">
        <v>245</v>
      </c>
      <c r="Q1979" s="4">
        <v>35525</v>
      </c>
      <c r="R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 s="3">
        <v>42562</v>
      </c>
      <c r="AC1979" t="s">
        <v>53</v>
      </c>
      <c r="AD1979" t="s">
        <v>53</v>
      </c>
      <c r="AK1979">
        <v>0</v>
      </c>
      <c r="AU1979" s="3">
        <v>42415</v>
      </c>
      <c r="AV1979" s="3">
        <v>42415</v>
      </c>
      <c r="AW1979" t="s">
        <v>54</v>
      </c>
      <c r="AX1979" t="str">
        <f t="shared" si="261"/>
        <v>FOR</v>
      </c>
      <c r="AY1979" t="s">
        <v>55</v>
      </c>
    </row>
    <row r="1980" spans="1:51" hidden="1">
      <c r="A1980">
        <v>101934</v>
      </c>
      <c r="B1980" t="s">
        <v>303</v>
      </c>
      <c r="C1980" t="str">
        <f t="shared" si="262"/>
        <v>06175550638</v>
      </c>
      <c r="D1980" t="str">
        <f t="shared" si="262"/>
        <v>06175550638</v>
      </c>
      <c r="E1980" t="s">
        <v>52</v>
      </c>
      <c r="F1980">
        <v>2015</v>
      </c>
      <c r="G1980" t="str">
        <f>"                 612"</f>
        <v xml:space="preserve">                 612</v>
      </c>
      <c r="H1980" s="3">
        <v>42093</v>
      </c>
      <c r="I1980" s="3">
        <v>42110</v>
      </c>
      <c r="J1980" s="3">
        <v>42110</v>
      </c>
      <c r="K1980" s="3">
        <v>42170</v>
      </c>
      <c r="L1980"/>
      <c r="N1980"/>
      <c r="O1980">
        <v>145</v>
      </c>
      <c r="P1980">
        <v>245</v>
      </c>
      <c r="Q1980" s="4">
        <v>35525</v>
      </c>
      <c r="R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 s="3">
        <v>42562</v>
      </c>
      <c r="AC1980" t="s">
        <v>53</v>
      </c>
      <c r="AD1980" t="s">
        <v>53</v>
      </c>
      <c r="AK1980">
        <v>0</v>
      </c>
      <c r="AU1980" s="3">
        <v>42415</v>
      </c>
      <c r="AV1980" s="3">
        <v>42415</v>
      </c>
      <c r="AW1980" t="s">
        <v>54</v>
      </c>
      <c r="AX1980" t="str">
        <f t="shared" si="261"/>
        <v>FOR</v>
      </c>
      <c r="AY1980" t="s">
        <v>55</v>
      </c>
    </row>
    <row r="1981" spans="1:51" hidden="1">
      <c r="A1981">
        <v>101934</v>
      </c>
      <c r="B1981" t="s">
        <v>303</v>
      </c>
      <c r="C1981" t="str">
        <f t="shared" si="262"/>
        <v>06175550638</v>
      </c>
      <c r="D1981" t="str">
        <f t="shared" si="262"/>
        <v>06175550638</v>
      </c>
      <c r="E1981" t="s">
        <v>52</v>
      </c>
      <c r="F1981">
        <v>2015</v>
      </c>
      <c r="G1981" t="str">
        <f>"                 613"</f>
        <v xml:space="preserve">                 613</v>
      </c>
      <c r="H1981" s="3">
        <v>42093</v>
      </c>
      <c r="I1981" s="3">
        <v>42110</v>
      </c>
      <c r="J1981" s="3">
        <v>42110</v>
      </c>
      <c r="K1981" s="3">
        <v>42170</v>
      </c>
      <c r="L1981"/>
      <c r="N1981"/>
      <c r="O1981">
        <v>145</v>
      </c>
      <c r="P1981">
        <v>245</v>
      </c>
      <c r="Q1981" s="4">
        <v>35525</v>
      </c>
      <c r="R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 s="3">
        <v>42562</v>
      </c>
      <c r="AC1981" t="s">
        <v>53</v>
      </c>
      <c r="AD1981" t="s">
        <v>53</v>
      </c>
      <c r="AK1981">
        <v>0</v>
      </c>
      <c r="AU1981" s="3">
        <v>42415</v>
      </c>
      <c r="AV1981" s="3">
        <v>42415</v>
      </c>
      <c r="AW1981" t="s">
        <v>54</v>
      </c>
      <c r="AX1981" t="str">
        <f t="shared" si="261"/>
        <v>FOR</v>
      </c>
      <c r="AY1981" t="s">
        <v>55</v>
      </c>
    </row>
    <row r="1982" spans="1:51" hidden="1">
      <c r="A1982">
        <v>101934</v>
      </c>
      <c r="B1982" t="s">
        <v>303</v>
      </c>
      <c r="C1982" t="str">
        <f t="shared" si="262"/>
        <v>06175550638</v>
      </c>
      <c r="D1982" t="str">
        <f t="shared" si="262"/>
        <v>06175550638</v>
      </c>
      <c r="E1982" t="s">
        <v>52</v>
      </c>
      <c r="F1982">
        <v>2015</v>
      </c>
      <c r="G1982" t="str">
        <f>"                 614"</f>
        <v xml:space="preserve">                 614</v>
      </c>
      <c r="H1982" s="3">
        <v>42093</v>
      </c>
      <c r="I1982" s="3">
        <v>42110</v>
      </c>
      <c r="J1982" s="3">
        <v>42110</v>
      </c>
      <c r="K1982" s="3">
        <v>42170</v>
      </c>
      <c r="L1982"/>
      <c r="N1982"/>
      <c r="O1982">
        <v>145</v>
      </c>
      <c r="P1982">
        <v>245</v>
      </c>
      <c r="Q1982" s="4">
        <v>35525</v>
      </c>
      <c r="R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 s="3">
        <v>42562</v>
      </c>
      <c r="AC1982" t="s">
        <v>53</v>
      </c>
      <c r="AD1982" t="s">
        <v>53</v>
      </c>
      <c r="AK1982">
        <v>0</v>
      </c>
      <c r="AU1982" s="3">
        <v>42415</v>
      </c>
      <c r="AV1982" s="3">
        <v>42415</v>
      </c>
      <c r="AW1982" t="s">
        <v>54</v>
      </c>
      <c r="AX1982" t="str">
        <f t="shared" si="261"/>
        <v>FOR</v>
      </c>
      <c r="AY1982" t="s">
        <v>55</v>
      </c>
    </row>
    <row r="1983" spans="1:51" hidden="1">
      <c r="A1983">
        <v>101934</v>
      </c>
      <c r="B1983" t="s">
        <v>303</v>
      </c>
      <c r="C1983" t="str">
        <f t="shared" si="262"/>
        <v>06175550638</v>
      </c>
      <c r="D1983" t="str">
        <f t="shared" si="262"/>
        <v>06175550638</v>
      </c>
      <c r="E1983" t="s">
        <v>52</v>
      </c>
      <c r="F1983">
        <v>2015</v>
      </c>
      <c r="G1983" t="str">
        <f>"                 615"</f>
        <v xml:space="preserve">                 615</v>
      </c>
      <c r="H1983" s="3">
        <v>42093</v>
      </c>
      <c r="I1983" s="3">
        <v>42110</v>
      </c>
      <c r="J1983" s="3">
        <v>42110</v>
      </c>
      <c r="K1983" s="3">
        <v>42170</v>
      </c>
      <c r="L1983"/>
      <c r="N1983"/>
      <c r="O1983">
        <v>145</v>
      </c>
      <c r="P1983">
        <v>245</v>
      </c>
      <c r="Q1983" s="4">
        <v>35525</v>
      </c>
      <c r="R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 s="3">
        <v>42562</v>
      </c>
      <c r="AC1983" t="s">
        <v>53</v>
      </c>
      <c r="AD1983" t="s">
        <v>53</v>
      </c>
      <c r="AK1983">
        <v>0</v>
      </c>
      <c r="AU1983" s="3">
        <v>42415</v>
      </c>
      <c r="AV1983" s="3">
        <v>42415</v>
      </c>
      <c r="AW1983" t="s">
        <v>54</v>
      </c>
      <c r="AX1983" t="str">
        <f t="shared" si="261"/>
        <v>FOR</v>
      </c>
      <c r="AY1983" t="s">
        <v>55</v>
      </c>
    </row>
    <row r="1984" spans="1:51" hidden="1">
      <c r="A1984">
        <v>101934</v>
      </c>
      <c r="B1984" t="s">
        <v>303</v>
      </c>
      <c r="C1984" t="str">
        <f t="shared" si="262"/>
        <v>06175550638</v>
      </c>
      <c r="D1984" t="str">
        <f t="shared" si="262"/>
        <v>06175550638</v>
      </c>
      <c r="E1984" t="s">
        <v>52</v>
      </c>
      <c r="F1984">
        <v>2015</v>
      </c>
      <c r="G1984" t="str">
        <f>"                 616"</f>
        <v xml:space="preserve">                 616</v>
      </c>
      <c r="H1984" s="3">
        <v>42093</v>
      </c>
      <c r="I1984" s="3">
        <v>42110</v>
      </c>
      <c r="J1984" s="3">
        <v>42110</v>
      </c>
      <c r="K1984" s="3">
        <v>42170</v>
      </c>
      <c r="L1984"/>
      <c r="N1984"/>
      <c r="O1984">
        <v>145</v>
      </c>
      <c r="P1984">
        <v>245</v>
      </c>
      <c r="Q1984" s="4">
        <v>35525</v>
      </c>
      <c r="R1984">
        <v>0</v>
      </c>
      <c r="V1984">
        <v>0</v>
      </c>
      <c r="W1984">
        <v>0</v>
      </c>
      <c r="X1984">
        <v>0</v>
      </c>
      <c r="Y1984">
        <v>0</v>
      </c>
      <c r="Z1984">
        <v>0</v>
      </c>
      <c r="AA1984">
        <v>0</v>
      </c>
      <c r="AB1984" s="3">
        <v>42562</v>
      </c>
      <c r="AC1984" t="s">
        <v>53</v>
      </c>
      <c r="AD1984" t="s">
        <v>53</v>
      </c>
      <c r="AK1984">
        <v>0</v>
      </c>
      <c r="AU1984" s="3">
        <v>42415</v>
      </c>
      <c r="AV1984" s="3">
        <v>42415</v>
      </c>
      <c r="AW1984" t="s">
        <v>54</v>
      </c>
      <c r="AX1984" t="str">
        <f t="shared" si="261"/>
        <v>FOR</v>
      </c>
      <c r="AY1984" t="s">
        <v>55</v>
      </c>
    </row>
    <row r="1985" spans="1:51" hidden="1">
      <c r="A1985">
        <v>101934</v>
      </c>
      <c r="B1985" t="s">
        <v>303</v>
      </c>
      <c r="C1985" t="str">
        <f t="shared" ref="C1985:D2004" si="263">"06175550638"</f>
        <v>06175550638</v>
      </c>
      <c r="D1985" t="str">
        <f t="shared" si="263"/>
        <v>06175550638</v>
      </c>
      <c r="E1985" t="s">
        <v>52</v>
      </c>
      <c r="F1985">
        <v>2015</v>
      </c>
      <c r="G1985" t="str">
        <f>"                 617"</f>
        <v xml:space="preserve">                 617</v>
      </c>
      <c r="H1985" s="3">
        <v>42093</v>
      </c>
      <c r="I1985" s="3">
        <v>42110</v>
      </c>
      <c r="J1985" s="3">
        <v>42110</v>
      </c>
      <c r="K1985" s="3">
        <v>42170</v>
      </c>
      <c r="L1985"/>
      <c r="N1985"/>
      <c r="O1985">
        <v>145</v>
      </c>
      <c r="P1985">
        <v>245</v>
      </c>
      <c r="Q1985" s="4">
        <v>35525</v>
      </c>
      <c r="R1985">
        <v>0</v>
      </c>
      <c r="V1985">
        <v>0</v>
      </c>
      <c r="W1985">
        <v>0</v>
      </c>
      <c r="X1985">
        <v>0</v>
      </c>
      <c r="Y1985">
        <v>0</v>
      </c>
      <c r="Z1985">
        <v>0</v>
      </c>
      <c r="AA1985">
        <v>0</v>
      </c>
      <c r="AB1985" s="3">
        <v>42562</v>
      </c>
      <c r="AC1985" t="s">
        <v>53</v>
      </c>
      <c r="AD1985" t="s">
        <v>53</v>
      </c>
      <c r="AK1985">
        <v>0</v>
      </c>
      <c r="AU1985" s="3">
        <v>42415</v>
      </c>
      <c r="AV1985" s="3">
        <v>42415</v>
      </c>
      <c r="AW1985" t="s">
        <v>54</v>
      </c>
      <c r="AX1985" t="str">
        <f t="shared" si="261"/>
        <v>FOR</v>
      </c>
      <c r="AY1985" t="s">
        <v>55</v>
      </c>
    </row>
    <row r="1986" spans="1:51" hidden="1">
      <c r="A1986">
        <v>101934</v>
      </c>
      <c r="B1986" t="s">
        <v>303</v>
      </c>
      <c r="C1986" t="str">
        <f t="shared" si="263"/>
        <v>06175550638</v>
      </c>
      <c r="D1986" t="str">
        <f t="shared" si="263"/>
        <v>06175550638</v>
      </c>
      <c r="E1986" t="s">
        <v>52</v>
      </c>
      <c r="F1986">
        <v>2015</v>
      </c>
      <c r="G1986" t="str">
        <f>"                 618"</f>
        <v xml:space="preserve">                 618</v>
      </c>
      <c r="H1986" s="3">
        <v>42093</v>
      </c>
      <c r="I1986" s="3">
        <v>42110</v>
      </c>
      <c r="J1986" s="3">
        <v>42110</v>
      </c>
      <c r="K1986" s="3">
        <v>42170</v>
      </c>
      <c r="L1986"/>
      <c r="N1986"/>
      <c r="O1986">
        <v>145</v>
      </c>
      <c r="P1986">
        <v>245</v>
      </c>
      <c r="Q1986" s="4">
        <v>35525</v>
      </c>
      <c r="R1986">
        <v>0</v>
      </c>
      <c r="V1986">
        <v>0</v>
      </c>
      <c r="W1986">
        <v>0</v>
      </c>
      <c r="X1986">
        <v>0</v>
      </c>
      <c r="Y1986">
        <v>0</v>
      </c>
      <c r="Z1986">
        <v>0</v>
      </c>
      <c r="AA1986">
        <v>0</v>
      </c>
      <c r="AB1986" s="3">
        <v>42562</v>
      </c>
      <c r="AC1986" t="s">
        <v>53</v>
      </c>
      <c r="AD1986" t="s">
        <v>53</v>
      </c>
      <c r="AK1986">
        <v>0</v>
      </c>
      <c r="AU1986" s="3">
        <v>42415</v>
      </c>
      <c r="AV1986" s="3">
        <v>42415</v>
      </c>
      <c r="AW1986" t="s">
        <v>54</v>
      </c>
      <c r="AX1986" t="str">
        <f t="shared" si="261"/>
        <v>FOR</v>
      </c>
      <c r="AY1986" t="s">
        <v>55</v>
      </c>
    </row>
    <row r="1987" spans="1:51" hidden="1">
      <c r="A1987">
        <v>101934</v>
      </c>
      <c r="B1987" t="s">
        <v>303</v>
      </c>
      <c r="C1987" t="str">
        <f t="shared" si="263"/>
        <v>06175550638</v>
      </c>
      <c r="D1987" t="str">
        <f t="shared" si="263"/>
        <v>06175550638</v>
      </c>
      <c r="E1987" t="s">
        <v>52</v>
      </c>
      <c r="F1987">
        <v>2015</v>
      </c>
      <c r="G1987" t="str">
        <f>"                 628"</f>
        <v xml:space="preserve">                 628</v>
      </c>
      <c r="H1987" s="3">
        <v>42093</v>
      </c>
      <c r="I1987" s="3">
        <v>42110</v>
      </c>
      <c r="J1987" s="3">
        <v>42110</v>
      </c>
      <c r="K1987" s="3">
        <v>42170</v>
      </c>
      <c r="L1987"/>
      <c r="N1987"/>
      <c r="O1987">
        <v>145</v>
      </c>
      <c r="P1987">
        <v>245</v>
      </c>
      <c r="Q1987" s="4">
        <v>35525</v>
      </c>
      <c r="R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 s="3">
        <v>42562</v>
      </c>
      <c r="AC1987" t="s">
        <v>53</v>
      </c>
      <c r="AD1987" t="s">
        <v>53</v>
      </c>
      <c r="AK1987">
        <v>0</v>
      </c>
      <c r="AU1987" s="3">
        <v>42415</v>
      </c>
      <c r="AV1987" s="3">
        <v>42415</v>
      </c>
      <c r="AW1987" t="s">
        <v>54</v>
      </c>
      <c r="AX1987" t="str">
        <f t="shared" si="261"/>
        <v>FOR</v>
      </c>
      <c r="AY1987" t="s">
        <v>55</v>
      </c>
    </row>
    <row r="1988" spans="1:51" hidden="1">
      <c r="A1988">
        <v>101934</v>
      </c>
      <c r="B1988" t="s">
        <v>303</v>
      </c>
      <c r="C1988" t="str">
        <f t="shared" si="263"/>
        <v>06175550638</v>
      </c>
      <c r="D1988" t="str">
        <f t="shared" si="263"/>
        <v>06175550638</v>
      </c>
      <c r="E1988" t="s">
        <v>52</v>
      </c>
      <c r="F1988">
        <v>2015</v>
      </c>
      <c r="G1988" t="str">
        <f>"                 630"</f>
        <v xml:space="preserve">                 630</v>
      </c>
      <c r="H1988" s="3">
        <v>42093</v>
      </c>
      <c r="I1988" s="3">
        <v>42110</v>
      </c>
      <c r="J1988" s="3">
        <v>42110</v>
      </c>
      <c r="K1988" s="3">
        <v>42170</v>
      </c>
      <c r="L1988"/>
      <c r="N1988"/>
      <c r="O1988">
        <v>145</v>
      </c>
      <c r="P1988">
        <v>245</v>
      </c>
      <c r="Q1988" s="4">
        <v>35525</v>
      </c>
      <c r="R1988">
        <v>0</v>
      </c>
      <c r="V1988">
        <v>0</v>
      </c>
      <c r="W1988">
        <v>0</v>
      </c>
      <c r="X1988">
        <v>0</v>
      </c>
      <c r="Y1988">
        <v>0</v>
      </c>
      <c r="Z1988">
        <v>0</v>
      </c>
      <c r="AA1988">
        <v>0</v>
      </c>
      <c r="AB1988" s="3">
        <v>42562</v>
      </c>
      <c r="AC1988" t="s">
        <v>53</v>
      </c>
      <c r="AD1988" t="s">
        <v>53</v>
      </c>
      <c r="AK1988">
        <v>0</v>
      </c>
      <c r="AU1988" s="3">
        <v>42415</v>
      </c>
      <c r="AV1988" s="3">
        <v>42415</v>
      </c>
      <c r="AW1988" t="s">
        <v>54</v>
      </c>
      <c r="AX1988" t="str">
        <f t="shared" si="261"/>
        <v>FOR</v>
      </c>
      <c r="AY1988" t="s">
        <v>55</v>
      </c>
    </row>
    <row r="1989" spans="1:51" hidden="1">
      <c r="A1989">
        <v>101934</v>
      </c>
      <c r="B1989" t="s">
        <v>303</v>
      </c>
      <c r="C1989" t="str">
        <f t="shared" si="263"/>
        <v>06175550638</v>
      </c>
      <c r="D1989" t="str">
        <f t="shared" si="263"/>
        <v>06175550638</v>
      </c>
      <c r="E1989" t="s">
        <v>52</v>
      </c>
      <c r="F1989">
        <v>2015</v>
      </c>
      <c r="G1989" t="str">
        <f>"               64/PA"</f>
        <v xml:space="preserve">               64/PA</v>
      </c>
      <c r="H1989" s="3">
        <v>42124</v>
      </c>
      <c r="I1989" s="3">
        <v>42160</v>
      </c>
      <c r="J1989" s="3">
        <v>42143</v>
      </c>
      <c r="K1989" s="3">
        <v>42203</v>
      </c>
      <c r="L1989"/>
      <c r="N1989"/>
      <c r="O1989">
        <v>145</v>
      </c>
      <c r="P1989">
        <v>228</v>
      </c>
      <c r="Q1989" s="4">
        <v>33060</v>
      </c>
      <c r="R1989">
        <v>0</v>
      </c>
      <c r="V1989">
        <v>0</v>
      </c>
      <c r="W1989">
        <v>0</v>
      </c>
      <c r="X1989">
        <v>0</v>
      </c>
      <c r="Y1989">
        <v>0</v>
      </c>
      <c r="Z1989">
        <v>0</v>
      </c>
      <c r="AA1989">
        <v>0</v>
      </c>
      <c r="AB1989" s="3">
        <v>42562</v>
      </c>
      <c r="AC1989" t="s">
        <v>53</v>
      </c>
      <c r="AD1989" t="s">
        <v>53</v>
      </c>
      <c r="AK1989">
        <v>0</v>
      </c>
      <c r="AU1989" s="3">
        <v>42431</v>
      </c>
      <c r="AV1989" s="3">
        <v>42431</v>
      </c>
      <c r="AW1989" t="s">
        <v>54</v>
      </c>
      <c r="AX1989" t="str">
        <f t="shared" si="261"/>
        <v>FOR</v>
      </c>
      <c r="AY1989" t="s">
        <v>55</v>
      </c>
    </row>
    <row r="1990" spans="1:51" hidden="1">
      <c r="A1990">
        <v>101934</v>
      </c>
      <c r="B1990" t="s">
        <v>303</v>
      </c>
      <c r="C1990" t="str">
        <f t="shared" si="263"/>
        <v>06175550638</v>
      </c>
      <c r="D1990" t="str">
        <f t="shared" si="263"/>
        <v>06175550638</v>
      </c>
      <c r="E1990" t="s">
        <v>52</v>
      </c>
      <c r="F1990">
        <v>2015</v>
      </c>
      <c r="G1990" t="str">
        <f>"               65/PA"</f>
        <v xml:space="preserve">               65/PA</v>
      </c>
      <c r="H1990" s="3">
        <v>42124</v>
      </c>
      <c r="I1990" s="3">
        <v>42160</v>
      </c>
      <c r="J1990" s="3">
        <v>42144</v>
      </c>
      <c r="K1990" s="3">
        <v>42204</v>
      </c>
      <c r="L1990"/>
      <c r="N1990"/>
      <c r="O1990">
        <v>145</v>
      </c>
      <c r="P1990">
        <v>227</v>
      </c>
      <c r="Q1990" s="4">
        <v>32915</v>
      </c>
      <c r="R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 s="3">
        <v>42562</v>
      </c>
      <c r="AC1990" t="s">
        <v>53</v>
      </c>
      <c r="AD1990" t="s">
        <v>53</v>
      </c>
      <c r="AK1990">
        <v>0</v>
      </c>
      <c r="AU1990" s="3">
        <v>42431</v>
      </c>
      <c r="AV1990" s="3">
        <v>42431</v>
      </c>
      <c r="AW1990" t="s">
        <v>54</v>
      </c>
      <c r="AX1990" t="str">
        <f t="shared" si="261"/>
        <v>FOR</v>
      </c>
      <c r="AY1990" t="s">
        <v>55</v>
      </c>
    </row>
    <row r="1991" spans="1:51" hidden="1">
      <c r="A1991">
        <v>101934</v>
      </c>
      <c r="B1991" t="s">
        <v>303</v>
      </c>
      <c r="C1991" t="str">
        <f t="shared" si="263"/>
        <v>06175550638</v>
      </c>
      <c r="D1991" t="str">
        <f t="shared" si="263"/>
        <v>06175550638</v>
      </c>
      <c r="E1991" t="s">
        <v>52</v>
      </c>
      <c r="F1991">
        <v>2015</v>
      </c>
      <c r="G1991" t="str">
        <f>"               66/PA"</f>
        <v xml:space="preserve">               66/PA</v>
      </c>
      <c r="H1991" s="3">
        <v>42124</v>
      </c>
      <c r="I1991" s="3">
        <v>42160</v>
      </c>
      <c r="J1991" s="3">
        <v>42144</v>
      </c>
      <c r="K1991" s="3">
        <v>42204</v>
      </c>
      <c r="L1991"/>
      <c r="N1991"/>
      <c r="O1991">
        <v>145</v>
      </c>
      <c r="P1991">
        <v>227</v>
      </c>
      <c r="Q1991" s="4">
        <v>32915</v>
      </c>
      <c r="R1991">
        <v>0</v>
      </c>
      <c r="V1991">
        <v>0</v>
      </c>
      <c r="W1991">
        <v>0</v>
      </c>
      <c r="X1991">
        <v>0</v>
      </c>
      <c r="Y1991">
        <v>0</v>
      </c>
      <c r="Z1991">
        <v>0</v>
      </c>
      <c r="AA1991">
        <v>0</v>
      </c>
      <c r="AB1991" s="3">
        <v>42562</v>
      </c>
      <c r="AC1991" t="s">
        <v>53</v>
      </c>
      <c r="AD1991" t="s">
        <v>53</v>
      </c>
      <c r="AK1991">
        <v>0</v>
      </c>
      <c r="AU1991" s="3">
        <v>42431</v>
      </c>
      <c r="AV1991" s="3">
        <v>42431</v>
      </c>
      <c r="AW1991" t="s">
        <v>54</v>
      </c>
      <c r="AX1991" t="str">
        <f t="shared" si="261"/>
        <v>FOR</v>
      </c>
      <c r="AY1991" t="s">
        <v>55</v>
      </c>
    </row>
    <row r="1992" spans="1:51" hidden="1">
      <c r="A1992">
        <v>101934</v>
      </c>
      <c r="B1992" t="s">
        <v>303</v>
      </c>
      <c r="C1992" t="str">
        <f t="shared" si="263"/>
        <v>06175550638</v>
      </c>
      <c r="D1992" t="str">
        <f t="shared" si="263"/>
        <v>06175550638</v>
      </c>
      <c r="E1992" t="s">
        <v>52</v>
      </c>
      <c r="F1992">
        <v>2015</v>
      </c>
      <c r="G1992" t="str">
        <f>"               67/PA"</f>
        <v xml:space="preserve">               67/PA</v>
      </c>
      <c r="H1992" s="3">
        <v>42124</v>
      </c>
      <c r="I1992" s="3">
        <v>42158</v>
      </c>
      <c r="J1992" s="3">
        <v>42144</v>
      </c>
      <c r="K1992" s="3">
        <v>42204</v>
      </c>
      <c r="L1992"/>
      <c r="N1992"/>
      <c r="O1992">
        <v>145</v>
      </c>
      <c r="P1992">
        <v>227</v>
      </c>
      <c r="Q1992" s="4">
        <v>32915</v>
      </c>
      <c r="R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 s="3">
        <v>42562</v>
      </c>
      <c r="AC1992" t="s">
        <v>53</v>
      </c>
      <c r="AD1992" t="s">
        <v>53</v>
      </c>
      <c r="AK1992">
        <v>0</v>
      </c>
      <c r="AU1992" s="3">
        <v>42431</v>
      </c>
      <c r="AV1992" s="3">
        <v>42431</v>
      </c>
      <c r="AW1992" t="s">
        <v>54</v>
      </c>
      <c r="AX1992" t="str">
        <f t="shared" si="261"/>
        <v>FOR</v>
      </c>
      <c r="AY1992" t="s">
        <v>55</v>
      </c>
    </row>
    <row r="1993" spans="1:51" hidden="1">
      <c r="A1993">
        <v>101934</v>
      </c>
      <c r="B1993" t="s">
        <v>303</v>
      </c>
      <c r="C1993" t="str">
        <f t="shared" si="263"/>
        <v>06175550638</v>
      </c>
      <c r="D1993" t="str">
        <f t="shared" si="263"/>
        <v>06175550638</v>
      </c>
      <c r="E1993" t="s">
        <v>52</v>
      </c>
      <c r="F1993">
        <v>2015</v>
      </c>
      <c r="G1993" t="str">
        <f>"               68/PA"</f>
        <v xml:space="preserve">               68/PA</v>
      </c>
      <c r="H1993" s="3">
        <v>42124</v>
      </c>
      <c r="I1993" s="3">
        <v>42160</v>
      </c>
      <c r="J1993" s="3">
        <v>42143</v>
      </c>
      <c r="K1993" s="3">
        <v>42203</v>
      </c>
      <c r="L1993"/>
      <c r="N1993"/>
      <c r="O1993">
        <v>145</v>
      </c>
      <c r="P1993">
        <v>228</v>
      </c>
      <c r="Q1993" s="4">
        <v>33060</v>
      </c>
      <c r="R1993">
        <v>0</v>
      </c>
      <c r="V1993">
        <v>0</v>
      </c>
      <c r="W1993">
        <v>0</v>
      </c>
      <c r="X1993">
        <v>0</v>
      </c>
      <c r="Y1993">
        <v>0</v>
      </c>
      <c r="Z1993">
        <v>0</v>
      </c>
      <c r="AA1993">
        <v>0</v>
      </c>
      <c r="AB1993" s="3">
        <v>42562</v>
      </c>
      <c r="AC1993" t="s">
        <v>53</v>
      </c>
      <c r="AD1993" t="s">
        <v>53</v>
      </c>
      <c r="AK1993">
        <v>0</v>
      </c>
      <c r="AU1993" s="3">
        <v>42431</v>
      </c>
      <c r="AV1993" s="3">
        <v>42431</v>
      </c>
      <c r="AW1993" t="s">
        <v>54</v>
      </c>
      <c r="AX1993" t="str">
        <f t="shared" si="261"/>
        <v>FOR</v>
      </c>
      <c r="AY1993" t="s">
        <v>55</v>
      </c>
    </row>
    <row r="1994" spans="1:51" hidden="1">
      <c r="A1994">
        <v>101934</v>
      </c>
      <c r="B1994" t="s">
        <v>303</v>
      </c>
      <c r="C1994" t="str">
        <f t="shared" si="263"/>
        <v>06175550638</v>
      </c>
      <c r="D1994" t="str">
        <f t="shared" si="263"/>
        <v>06175550638</v>
      </c>
      <c r="E1994" t="s">
        <v>52</v>
      </c>
      <c r="F1994">
        <v>2015</v>
      </c>
      <c r="G1994" t="str">
        <f>"               69/PA"</f>
        <v xml:space="preserve">               69/PA</v>
      </c>
      <c r="H1994" s="3">
        <v>42124</v>
      </c>
      <c r="I1994" s="3">
        <v>42160</v>
      </c>
      <c r="J1994" s="3">
        <v>42143</v>
      </c>
      <c r="K1994" s="3">
        <v>42203</v>
      </c>
      <c r="L1994"/>
      <c r="N1994"/>
      <c r="O1994">
        <v>145</v>
      </c>
      <c r="P1994">
        <v>228</v>
      </c>
      <c r="Q1994" s="4">
        <v>33060</v>
      </c>
      <c r="R1994">
        <v>0</v>
      </c>
      <c r="V1994">
        <v>0</v>
      </c>
      <c r="W1994">
        <v>0</v>
      </c>
      <c r="X1994">
        <v>0</v>
      </c>
      <c r="Y1994">
        <v>0</v>
      </c>
      <c r="Z1994">
        <v>0</v>
      </c>
      <c r="AA1994">
        <v>0</v>
      </c>
      <c r="AB1994" s="3">
        <v>42562</v>
      </c>
      <c r="AC1994" t="s">
        <v>53</v>
      </c>
      <c r="AD1994" t="s">
        <v>53</v>
      </c>
      <c r="AK1994">
        <v>0</v>
      </c>
      <c r="AU1994" s="3">
        <v>42431</v>
      </c>
      <c r="AV1994" s="3">
        <v>42431</v>
      </c>
      <c r="AW1994" t="s">
        <v>54</v>
      </c>
      <c r="AX1994" t="str">
        <f t="shared" si="261"/>
        <v>FOR</v>
      </c>
      <c r="AY1994" t="s">
        <v>55</v>
      </c>
    </row>
    <row r="1995" spans="1:51" hidden="1">
      <c r="A1995">
        <v>101934</v>
      </c>
      <c r="B1995" t="s">
        <v>303</v>
      </c>
      <c r="C1995" t="str">
        <f t="shared" si="263"/>
        <v>06175550638</v>
      </c>
      <c r="D1995" t="str">
        <f t="shared" si="263"/>
        <v>06175550638</v>
      </c>
      <c r="E1995" t="s">
        <v>52</v>
      </c>
      <c r="F1995">
        <v>2015</v>
      </c>
      <c r="G1995" t="str">
        <f>"               70/PA"</f>
        <v xml:space="preserve">               70/PA</v>
      </c>
      <c r="H1995" s="3">
        <v>42124</v>
      </c>
      <c r="I1995" s="3">
        <v>42160</v>
      </c>
      <c r="J1995" s="3">
        <v>42143</v>
      </c>
      <c r="K1995" s="3">
        <v>42203</v>
      </c>
      <c r="L1995"/>
      <c r="N1995"/>
      <c r="O1995">
        <v>145</v>
      </c>
      <c r="P1995">
        <v>228</v>
      </c>
      <c r="Q1995" s="4">
        <v>33060</v>
      </c>
      <c r="R1995">
        <v>0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 s="3">
        <v>42562</v>
      </c>
      <c r="AC1995" t="s">
        <v>53</v>
      </c>
      <c r="AD1995" t="s">
        <v>53</v>
      </c>
      <c r="AK1995">
        <v>0</v>
      </c>
      <c r="AU1995" s="3">
        <v>42431</v>
      </c>
      <c r="AV1995" s="3">
        <v>42431</v>
      </c>
      <c r="AW1995" t="s">
        <v>54</v>
      </c>
      <c r="AX1995" t="str">
        <f t="shared" si="261"/>
        <v>FOR</v>
      </c>
      <c r="AY1995" t="s">
        <v>55</v>
      </c>
    </row>
    <row r="1996" spans="1:51" hidden="1">
      <c r="A1996">
        <v>101934</v>
      </c>
      <c r="B1996" t="s">
        <v>303</v>
      </c>
      <c r="C1996" t="str">
        <f t="shared" si="263"/>
        <v>06175550638</v>
      </c>
      <c r="D1996" t="str">
        <f t="shared" si="263"/>
        <v>06175550638</v>
      </c>
      <c r="E1996" t="s">
        <v>52</v>
      </c>
      <c r="F1996">
        <v>2015</v>
      </c>
      <c r="G1996" t="str">
        <f>"               71/PA"</f>
        <v xml:space="preserve">               71/PA</v>
      </c>
      <c r="H1996" s="3">
        <v>42124</v>
      </c>
      <c r="I1996" s="3">
        <v>42160</v>
      </c>
      <c r="J1996" s="3">
        <v>42144</v>
      </c>
      <c r="K1996" s="3">
        <v>42204</v>
      </c>
      <c r="L1996"/>
      <c r="N1996"/>
      <c r="O1996">
        <v>145</v>
      </c>
      <c r="P1996">
        <v>227</v>
      </c>
      <c r="Q1996" s="4">
        <v>32915</v>
      </c>
      <c r="R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 s="3">
        <v>42562</v>
      </c>
      <c r="AC1996" t="s">
        <v>53</v>
      </c>
      <c r="AD1996" t="s">
        <v>53</v>
      </c>
      <c r="AK1996">
        <v>0</v>
      </c>
      <c r="AU1996" s="3">
        <v>42431</v>
      </c>
      <c r="AV1996" s="3">
        <v>42431</v>
      </c>
      <c r="AW1996" t="s">
        <v>54</v>
      </c>
      <c r="AX1996" t="str">
        <f t="shared" si="261"/>
        <v>FOR</v>
      </c>
      <c r="AY1996" t="s">
        <v>55</v>
      </c>
    </row>
    <row r="1997" spans="1:51" hidden="1">
      <c r="A1997">
        <v>101934</v>
      </c>
      <c r="B1997" t="s">
        <v>303</v>
      </c>
      <c r="C1997" t="str">
        <f t="shared" si="263"/>
        <v>06175550638</v>
      </c>
      <c r="D1997" t="str">
        <f t="shared" si="263"/>
        <v>06175550638</v>
      </c>
      <c r="E1997" t="s">
        <v>52</v>
      </c>
      <c r="F1997">
        <v>2015</v>
      </c>
      <c r="G1997" t="str">
        <f>"               76/PA"</f>
        <v xml:space="preserve">               76/PA</v>
      </c>
      <c r="H1997" s="3">
        <v>42124</v>
      </c>
      <c r="I1997" s="3">
        <v>42160</v>
      </c>
      <c r="J1997" s="3">
        <v>42143</v>
      </c>
      <c r="K1997" s="3">
        <v>42203</v>
      </c>
      <c r="L1997"/>
      <c r="N1997"/>
      <c r="O1997">
        <v>145</v>
      </c>
      <c r="P1997">
        <v>228</v>
      </c>
      <c r="Q1997" s="4">
        <v>33060</v>
      </c>
      <c r="R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 s="3">
        <v>42562</v>
      </c>
      <c r="AC1997" t="s">
        <v>53</v>
      </c>
      <c r="AD1997" t="s">
        <v>53</v>
      </c>
      <c r="AK1997">
        <v>0</v>
      </c>
      <c r="AU1997" s="3">
        <v>42431</v>
      </c>
      <c r="AV1997" s="3">
        <v>42431</v>
      </c>
      <c r="AW1997" t="s">
        <v>54</v>
      </c>
      <c r="AX1997" t="str">
        <f t="shared" si="261"/>
        <v>FOR</v>
      </c>
      <c r="AY1997" t="s">
        <v>55</v>
      </c>
    </row>
    <row r="1998" spans="1:51" hidden="1">
      <c r="A1998">
        <v>101934</v>
      </c>
      <c r="B1998" t="s">
        <v>303</v>
      </c>
      <c r="C1998" t="str">
        <f t="shared" si="263"/>
        <v>06175550638</v>
      </c>
      <c r="D1998" t="str">
        <f t="shared" si="263"/>
        <v>06175550638</v>
      </c>
      <c r="E1998" t="s">
        <v>52</v>
      </c>
      <c r="F1998">
        <v>2015</v>
      </c>
      <c r="G1998" t="str">
        <f>"               77/PA"</f>
        <v xml:space="preserve">               77/PA</v>
      </c>
      <c r="H1998" s="3">
        <v>42124</v>
      </c>
      <c r="I1998" s="3">
        <v>42158</v>
      </c>
      <c r="J1998" s="3">
        <v>42144</v>
      </c>
      <c r="K1998" s="3">
        <v>42204</v>
      </c>
      <c r="L1998"/>
      <c r="N1998"/>
      <c r="O1998">
        <v>145</v>
      </c>
      <c r="P1998">
        <v>227</v>
      </c>
      <c r="Q1998" s="4">
        <v>32915</v>
      </c>
      <c r="R1998">
        <v>0</v>
      </c>
      <c r="V1998">
        <v>0</v>
      </c>
      <c r="W1998">
        <v>0</v>
      </c>
      <c r="X1998">
        <v>0</v>
      </c>
      <c r="Y1998">
        <v>0</v>
      </c>
      <c r="Z1998">
        <v>0</v>
      </c>
      <c r="AA1998">
        <v>0</v>
      </c>
      <c r="AB1998" s="3">
        <v>42562</v>
      </c>
      <c r="AC1998" t="s">
        <v>53</v>
      </c>
      <c r="AD1998" t="s">
        <v>53</v>
      </c>
      <c r="AK1998">
        <v>0</v>
      </c>
      <c r="AU1998" s="3">
        <v>42431</v>
      </c>
      <c r="AV1998" s="3">
        <v>42431</v>
      </c>
      <c r="AW1998" t="s">
        <v>54</v>
      </c>
      <c r="AX1998" t="str">
        <f t="shared" si="261"/>
        <v>FOR</v>
      </c>
      <c r="AY1998" t="s">
        <v>55</v>
      </c>
    </row>
    <row r="1999" spans="1:51" hidden="1">
      <c r="A1999">
        <v>101934</v>
      </c>
      <c r="B1999" t="s">
        <v>303</v>
      </c>
      <c r="C1999" t="str">
        <f t="shared" si="263"/>
        <v>06175550638</v>
      </c>
      <c r="D1999" t="str">
        <f t="shared" si="263"/>
        <v>06175550638</v>
      </c>
      <c r="E1999" t="s">
        <v>52</v>
      </c>
      <c r="F1999">
        <v>2015</v>
      </c>
      <c r="G1999" t="str">
        <f>"               79/PA"</f>
        <v xml:space="preserve">               79/PA</v>
      </c>
      <c r="H1999" s="3">
        <v>42124</v>
      </c>
      <c r="I1999" s="3">
        <v>42160</v>
      </c>
      <c r="J1999" s="3">
        <v>42143</v>
      </c>
      <c r="K1999" s="3">
        <v>42203</v>
      </c>
      <c r="L1999"/>
      <c r="N1999"/>
      <c r="O1999">
        <v>145</v>
      </c>
      <c r="P1999">
        <v>228</v>
      </c>
      <c r="Q1999" s="4">
        <v>33060</v>
      </c>
      <c r="R1999">
        <v>0</v>
      </c>
      <c r="V1999">
        <v>0</v>
      </c>
      <c r="W1999">
        <v>0</v>
      </c>
      <c r="X1999">
        <v>0</v>
      </c>
      <c r="Y1999">
        <v>0</v>
      </c>
      <c r="Z1999">
        <v>0</v>
      </c>
      <c r="AA1999">
        <v>0</v>
      </c>
      <c r="AB1999" s="3">
        <v>42562</v>
      </c>
      <c r="AC1999" t="s">
        <v>53</v>
      </c>
      <c r="AD1999" t="s">
        <v>53</v>
      </c>
      <c r="AK1999">
        <v>0</v>
      </c>
      <c r="AU1999" s="3">
        <v>42431</v>
      </c>
      <c r="AV1999" s="3">
        <v>42431</v>
      </c>
      <c r="AW1999" t="s">
        <v>54</v>
      </c>
      <c r="AX1999" t="str">
        <f t="shared" si="261"/>
        <v>FOR</v>
      </c>
      <c r="AY1999" t="s">
        <v>55</v>
      </c>
    </row>
    <row r="2000" spans="1:51" hidden="1">
      <c r="A2000">
        <v>101934</v>
      </c>
      <c r="B2000" t="s">
        <v>303</v>
      </c>
      <c r="C2000" t="str">
        <f t="shared" si="263"/>
        <v>06175550638</v>
      </c>
      <c r="D2000" t="str">
        <f t="shared" si="263"/>
        <v>06175550638</v>
      </c>
      <c r="E2000" t="s">
        <v>52</v>
      </c>
      <c r="F2000">
        <v>2015</v>
      </c>
      <c r="G2000" t="str">
        <f>"               80/PA"</f>
        <v xml:space="preserve">               80/PA</v>
      </c>
      <c r="H2000" s="3">
        <v>42124</v>
      </c>
      <c r="I2000" s="3">
        <v>42160</v>
      </c>
      <c r="J2000" s="3">
        <v>42144</v>
      </c>
      <c r="K2000" s="3">
        <v>42204</v>
      </c>
      <c r="L2000"/>
      <c r="N2000"/>
      <c r="O2000">
        <v>145</v>
      </c>
      <c r="P2000">
        <v>227</v>
      </c>
      <c r="Q2000" s="4">
        <v>32915</v>
      </c>
      <c r="R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 s="3">
        <v>42562</v>
      </c>
      <c r="AC2000" t="s">
        <v>53</v>
      </c>
      <c r="AD2000" t="s">
        <v>53</v>
      </c>
      <c r="AK2000">
        <v>0</v>
      </c>
      <c r="AU2000" s="3">
        <v>42431</v>
      </c>
      <c r="AV2000" s="3">
        <v>42431</v>
      </c>
      <c r="AW2000" t="s">
        <v>54</v>
      </c>
      <c r="AX2000" t="str">
        <f t="shared" si="261"/>
        <v>FOR</v>
      </c>
      <c r="AY2000" t="s">
        <v>55</v>
      </c>
    </row>
    <row r="2001" spans="1:51" hidden="1">
      <c r="A2001">
        <v>101934</v>
      </c>
      <c r="B2001" t="s">
        <v>303</v>
      </c>
      <c r="C2001" t="str">
        <f t="shared" si="263"/>
        <v>06175550638</v>
      </c>
      <c r="D2001" t="str">
        <f t="shared" si="263"/>
        <v>06175550638</v>
      </c>
      <c r="E2001" t="s">
        <v>52</v>
      </c>
      <c r="F2001">
        <v>2015</v>
      </c>
      <c r="G2001" t="str">
        <f>"               84/PA"</f>
        <v xml:space="preserve">               84/PA</v>
      </c>
      <c r="H2001" s="3">
        <v>42124</v>
      </c>
      <c r="I2001" s="3">
        <v>42160</v>
      </c>
      <c r="J2001" s="3">
        <v>42144</v>
      </c>
      <c r="K2001" s="3">
        <v>42204</v>
      </c>
      <c r="L2001"/>
      <c r="N2001"/>
      <c r="O2001">
        <v>145</v>
      </c>
      <c r="P2001">
        <v>227</v>
      </c>
      <c r="Q2001" s="4">
        <v>32915</v>
      </c>
      <c r="R2001">
        <v>0</v>
      </c>
      <c r="V2001">
        <v>0</v>
      </c>
      <c r="W2001">
        <v>0</v>
      </c>
      <c r="X2001">
        <v>0</v>
      </c>
      <c r="Y2001">
        <v>0</v>
      </c>
      <c r="Z2001">
        <v>0</v>
      </c>
      <c r="AA2001">
        <v>0</v>
      </c>
      <c r="AB2001" s="3">
        <v>42562</v>
      </c>
      <c r="AC2001" t="s">
        <v>53</v>
      </c>
      <c r="AD2001" t="s">
        <v>53</v>
      </c>
      <c r="AK2001">
        <v>0</v>
      </c>
      <c r="AU2001" s="3">
        <v>42431</v>
      </c>
      <c r="AV2001" s="3">
        <v>42431</v>
      </c>
      <c r="AW2001" t="s">
        <v>54</v>
      </c>
      <c r="AX2001" t="str">
        <f t="shared" si="261"/>
        <v>FOR</v>
      </c>
      <c r="AY2001" t="s">
        <v>55</v>
      </c>
    </row>
    <row r="2002" spans="1:51" hidden="1">
      <c r="A2002">
        <v>101934</v>
      </c>
      <c r="B2002" t="s">
        <v>303</v>
      </c>
      <c r="C2002" t="str">
        <f t="shared" si="263"/>
        <v>06175550638</v>
      </c>
      <c r="D2002" t="str">
        <f t="shared" si="263"/>
        <v>06175550638</v>
      </c>
      <c r="E2002" t="s">
        <v>52</v>
      </c>
      <c r="F2002">
        <v>2015</v>
      </c>
      <c r="G2002" t="str">
        <f>"               85/PA"</f>
        <v xml:space="preserve">               85/PA</v>
      </c>
      <c r="H2002" s="3">
        <v>42124</v>
      </c>
      <c r="I2002" s="3">
        <v>42160</v>
      </c>
      <c r="J2002" s="3">
        <v>42144</v>
      </c>
      <c r="K2002" s="3">
        <v>42204</v>
      </c>
      <c r="L2002"/>
      <c r="N2002"/>
      <c r="O2002">
        <v>145</v>
      </c>
      <c r="P2002">
        <v>227</v>
      </c>
      <c r="Q2002" s="4">
        <v>32915</v>
      </c>
      <c r="R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 s="3">
        <v>42562</v>
      </c>
      <c r="AC2002" t="s">
        <v>53</v>
      </c>
      <c r="AD2002" t="s">
        <v>53</v>
      </c>
      <c r="AK2002">
        <v>0</v>
      </c>
      <c r="AU2002" s="3">
        <v>42431</v>
      </c>
      <c r="AV2002" s="3">
        <v>42431</v>
      </c>
      <c r="AW2002" t="s">
        <v>54</v>
      </c>
      <c r="AX2002" t="str">
        <f t="shared" si="261"/>
        <v>FOR</v>
      </c>
      <c r="AY2002" t="s">
        <v>55</v>
      </c>
    </row>
    <row r="2003" spans="1:51" hidden="1">
      <c r="A2003">
        <v>101934</v>
      </c>
      <c r="B2003" t="s">
        <v>303</v>
      </c>
      <c r="C2003" t="str">
        <f t="shared" si="263"/>
        <v>06175550638</v>
      </c>
      <c r="D2003" t="str">
        <f t="shared" si="263"/>
        <v>06175550638</v>
      </c>
      <c r="E2003" t="s">
        <v>52</v>
      </c>
      <c r="F2003">
        <v>2015</v>
      </c>
      <c r="G2003" t="str">
        <f>"               86/PA"</f>
        <v xml:space="preserve">               86/PA</v>
      </c>
      <c r="H2003" s="3">
        <v>42124</v>
      </c>
      <c r="I2003" s="3">
        <v>42160</v>
      </c>
      <c r="J2003" s="3">
        <v>42144</v>
      </c>
      <c r="K2003" s="3">
        <v>42204</v>
      </c>
      <c r="L2003"/>
      <c r="N2003"/>
      <c r="O2003">
        <v>145</v>
      </c>
      <c r="P2003">
        <v>227</v>
      </c>
      <c r="Q2003" s="4">
        <v>32915</v>
      </c>
      <c r="R2003">
        <v>0</v>
      </c>
      <c r="V2003">
        <v>0</v>
      </c>
      <c r="W2003">
        <v>0</v>
      </c>
      <c r="X2003">
        <v>0</v>
      </c>
      <c r="Y2003">
        <v>0</v>
      </c>
      <c r="Z2003">
        <v>0</v>
      </c>
      <c r="AA2003">
        <v>0</v>
      </c>
      <c r="AB2003" s="3">
        <v>42562</v>
      </c>
      <c r="AC2003" t="s">
        <v>53</v>
      </c>
      <c r="AD2003" t="s">
        <v>53</v>
      </c>
      <c r="AK2003">
        <v>0</v>
      </c>
      <c r="AU2003" s="3">
        <v>42431</v>
      </c>
      <c r="AV2003" s="3">
        <v>42431</v>
      </c>
      <c r="AW2003" t="s">
        <v>54</v>
      </c>
      <c r="AX2003" t="str">
        <f t="shared" si="261"/>
        <v>FOR</v>
      </c>
      <c r="AY2003" t="s">
        <v>55</v>
      </c>
    </row>
    <row r="2004" spans="1:51" hidden="1">
      <c r="A2004">
        <v>101934</v>
      </c>
      <c r="B2004" t="s">
        <v>303</v>
      </c>
      <c r="C2004" t="str">
        <f t="shared" si="263"/>
        <v>06175550638</v>
      </c>
      <c r="D2004" t="str">
        <f t="shared" si="263"/>
        <v>06175550638</v>
      </c>
      <c r="E2004" t="s">
        <v>52</v>
      </c>
      <c r="F2004">
        <v>2015</v>
      </c>
      <c r="G2004" t="str">
        <f>"               97/PA"</f>
        <v xml:space="preserve">               97/PA</v>
      </c>
      <c r="H2004" s="3">
        <v>42124</v>
      </c>
      <c r="I2004" s="3">
        <v>42160</v>
      </c>
      <c r="J2004" s="3">
        <v>42144</v>
      </c>
      <c r="K2004" s="3">
        <v>42204</v>
      </c>
      <c r="L2004"/>
      <c r="N2004"/>
      <c r="O2004">
        <v>145</v>
      </c>
      <c r="P2004">
        <v>227</v>
      </c>
      <c r="Q2004" s="4">
        <v>32915</v>
      </c>
      <c r="R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 s="3">
        <v>42562</v>
      </c>
      <c r="AC2004" t="s">
        <v>53</v>
      </c>
      <c r="AD2004" t="s">
        <v>53</v>
      </c>
      <c r="AK2004">
        <v>0</v>
      </c>
      <c r="AU2004" s="3">
        <v>42431</v>
      </c>
      <c r="AV2004" s="3">
        <v>42431</v>
      </c>
      <c r="AW2004" t="s">
        <v>54</v>
      </c>
      <c r="AX2004" t="str">
        <f t="shared" si="261"/>
        <v>FOR</v>
      </c>
      <c r="AY2004" t="s">
        <v>55</v>
      </c>
    </row>
    <row r="2005" spans="1:51" hidden="1">
      <c r="A2005">
        <v>101934</v>
      </c>
      <c r="B2005" t="s">
        <v>303</v>
      </c>
      <c r="C2005" t="str">
        <f t="shared" ref="C2005:D2024" si="264">"06175550638"</f>
        <v>06175550638</v>
      </c>
      <c r="D2005" t="str">
        <f t="shared" si="264"/>
        <v>06175550638</v>
      </c>
      <c r="E2005" t="s">
        <v>52</v>
      </c>
      <c r="F2005">
        <v>2015</v>
      </c>
      <c r="G2005" t="str">
        <f>"              124/PA"</f>
        <v xml:space="preserve">              124/PA</v>
      </c>
      <c r="H2005" s="3">
        <v>42146</v>
      </c>
      <c r="I2005" s="3">
        <v>42192</v>
      </c>
      <c r="J2005" s="3">
        <v>42191</v>
      </c>
      <c r="K2005" s="3">
        <v>42251</v>
      </c>
      <c r="L2005"/>
      <c r="N2005"/>
      <c r="O2005">
        <v>145</v>
      </c>
      <c r="P2005">
        <v>201</v>
      </c>
      <c r="Q2005" s="4">
        <v>29145</v>
      </c>
      <c r="R2005">
        <v>0</v>
      </c>
      <c r="V2005">
        <v>0</v>
      </c>
      <c r="W2005">
        <v>0</v>
      </c>
      <c r="X2005">
        <v>0</v>
      </c>
      <c r="Y2005">
        <v>0</v>
      </c>
      <c r="Z2005">
        <v>0</v>
      </c>
      <c r="AA2005">
        <v>0</v>
      </c>
      <c r="AB2005" s="3">
        <v>42562</v>
      </c>
      <c r="AC2005" t="s">
        <v>53</v>
      </c>
      <c r="AD2005" t="s">
        <v>53</v>
      </c>
      <c r="AK2005">
        <v>0</v>
      </c>
      <c r="AU2005" s="3">
        <v>42452</v>
      </c>
      <c r="AV2005" s="3">
        <v>42452</v>
      </c>
      <c r="AW2005" t="s">
        <v>54</v>
      </c>
      <c r="AX2005" t="str">
        <f t="shared" si="261"/>
        <v>FOR</v>
      </c>
      <c r="AY2005" t="s">
        <v>55</v>
      </c>
    </row>
    <row r="2006" spans="1:51" hidden="1">
      <c r="A2006">
        <v>101934</v>
      </c>
      <c r="B2006" t="s">
        <v>303</v>
      </c>
      <c r="C2006" t="str">
        <f t="shared" si="264"/>
        <v>06175550638</v>
      </c>
      <c r="D2006" t="str">
        <f t="shared" si="264"/>
        <v>06175550638</v>
      </c>
      <c r="E2006" t="s">
        <v>52</v>
      </c>
      <c r="F2006">
        <v>2015</v>
      </c>
      <c r="G2006" t="str">
        <f>"              125/PA"</f>
        <v xml:space="preserve">              125/PA</v>
      </c>
      <c r="H2006" s="3">
        <v>42146</v>
      </c>
      <c r="I2006" s="3">
        <v>42192</v>
      </c>
      <c r="J2006" s="3">
        <v>42191</v>
      </c>
      <c r="K2006" s="3">
        <v>42251</v>
      </c>
      <c r="L2006"/>
      <c r="N2006"/>
      <c r="O2006">
        <v>145</v>
      </c>
      <c r="P2006">
        <v>201</v>
      </c>
      <c r="Q2006" s="4">
        <v>29145</v>
      </c>
      <c r="R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 s="3">
        <v>42562</v>
      </c>
      <c r="AC2006" t="s">
        <v>53</v>
      </c>
      <c r="AD2006" t="s">
        <v>53</v>
      </c>
      <c r="AK2006">
        <v>0</v>
      </c>
      <c r="AU2006" s="3">
        <v>42452</v>
      </c>
      <c r="AV2006" s="3">
        <v>42452</v>
      </c>
      <c r="AW2006" t="s">
        <v>54</v>
      </c>
      <c r="AX2006" t="str">
        <f t="shared" si="261"/>
        <v>FOR</v>
      </c>
      <c r="AY2006" t="s">
        <v>55</v>
      </c>
    </row>
    <row r="2007" spans="1:51" hidden="1">
      <c r="A2007">
        <v>101934</v>
      </c>
      <c r="B2007" t="s">
        <v>303</v>
      </c>
      <c r="C2007" t="str">
        <f t="shared" si="264"/>
        <v>06175550638</v>
      </c>
      <c r="D2007" t="str">
        <f t="shared" si="264"/>
        <v>06175550638</v>
      </c>
      <c r="E2007" t="s">
        <v>52</v>
      </c>
      <c r="F2007">
        <v>2015</v>
      </c>
      <c r="G2007" t="str">
        <f>"              126/PA"</f>
        <v xml:space="preserve">              126/PA</v>
      </c>
      <c r="H2007" s="3">
        <v>42146</v>
      </c>
      <c r="I2007" s="3">
        <v>42163</v>
      </c>
      <c r="J2007" s="3">
        <v>42146</v>
      </c>
      <c r="K2007" s="3">
        <v>42206</v>
      </c>
      <c r="L2007"/>
      <c r="N2007"/>
      <c r="O2007">
        <v>145</v>
      </c>
      <c r="P2007">
        <v>246</v>
      </c>
      <c r="Q2007" s="4">
        <v>35670</v>
      </c>
      <c r="R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 s="3">
        <v>42562</v>
      </c>
      <c r="AC2007" t="s">
        <v>53</v>
      </c>
      <c r="AD2007" t="s">
        <v>53</v>
      </c>
      <c r="AK2007">
        <v>0</v>
      </c>
      <c r="AU2007" s="3">
        <v>42452</v>
      </c>
      <c r="AV2007" s="3">
        <v>42452</v>
      </c>
      <c r="AW2007" t="s">
        <v>54</v>
      </c>
      <c r="AX2007" t="str">
        <f t="shared" si="261"/>
        <v>FOR</v>
      </c>
      <c r="AY2007" t="s">
        <v>55</v>
      </c>
    </row>
    <row r="2008" spans="1:51" hidden="1">
      <c r="A2008">
        <v>101934</v>
      </c>
      <c r="B2008" t="s">
        <v>303</v>
      </c>
      <c r="C2008" t="str">
        <f t="shared" si="264"/>
        <v>06175550638</v>
      </c>
      <c r="D2008" t="str">
        <f t="shared" si="264"/>
        <v>06175550638</v>
      </c>
      <c r="E2008" t="s">
        <v>52</v>
      </c>
      <c r="F2008">
        <v>2015</v>
      </c>
      <c r="G2008" t="str">
        <f>"              136/PA"</f>
        <v xml:space="preserve">              136/PA</v>
      </c>
      <c r="H2008" s="3">
        <v>42150</v>
      </c>
      <c r="I2008" s="3">
        <v>42163</v>
      </c>
      <c r="J2008" s="3">
        <v>42151</v>
      </c>
      <c r="K2008" s="3">
        <v>42211</v>
      </c>
      <c r="L2008"/>
      <c r="N2008"/>
      <c r="O2008">
        <v>145</v>
      </c>
      <c r="P2008">
        <v>241</v>
      </c>
      <c r="Q2008" s="4">
        <v>34945</v>
      </c>
      <c r="R2008">
        <v>0</v>
      </c>
      <c r="V2008">
        <v>0</v>
      </c>
      <c r="W2008">
        <v>0</v>
      </c>
      <c r="X2008">
        <v>0</v>
      </c>
      <c r="Y2008">
        <v>0</v>
      </c>
      <c r="Z2008">
        <v>0</v>
      </c>
      <c r="AA2008">
        <v>0</v>
      </c>
      <c r="AB2008" s="3">
        <v>42562</v>
      </c>
      <c r="AC2008" t="s">
        <v>53</v>
      </c>
      <c r="AD2008" t="s">
        <v>53</v>
      </c>
      <c r="AK2008">
        <v>0</v>
      </c>
      <c r="AU2008" s="3">
        <v>42452</v>
      </c>
      <c r="AV2008" s="3">
        <v>42452</v>
      </c>
      <c r="AW2008" t="s">
        <v>54</v>
      </c>
      <c r="AX2008" t="str">
        <f t="shared" si="261"/>
        <v>FOR</v>
      </c>
      <c r="AY2008" t="s">
        <v>55</v>
      </c>
    </row>
    <row r="2009" spans="1:51" hidden="1">
      <c r="A2009">
        <v>101934</v>
      </c>
      <c r="B2009" t="s">
        <v>303</v>
      </c>
      <c r="C2009" t="str">
        <f t="shared" si="264"/>
        <v>06175550638</v>
      </c>
      <c r="D2009" t="str">
        <f t="shared" si="264"/>
        <v>06175550638</v>
      </c>
      <c r="E2009" t="s">
        <v>52</v>
      </c>
      <c r="F2009">
        <v>2015</v>
      </c>
      <c r="G2009" t="str">
        <f>"              137/PA"</f>
        <v xml:space="preserve">              137/PA</v>
      </c>
      <c r="H2009" s="3">
        <v>42150</v>
      </c>
      <c r="I2009" s="3">
        <v>42163</v>
      </c>
      <c r="J2009" s="3">
        <v>42151</v>
      </c>
      <c r="K2009" s="3">
        <v>42211</v>
      </c>
      <c r="L2009"/>
      <c r="N2009"/>
      <c r="O2009">
        <v>145</v>
      </c>
      <c r="P2009">
        <v>241</v>
      </c>
      <c r="Q2009" s="4">
        <v>34945</v>
      </c>
      <c r="R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 s="3">
        <v>42562</v>
      </c>
      <c r="AC2009" t="s">
        <v>53</v>
      </c>
      <c r="AD2009" t="s">
        <v>53</v>
      </c>
      <c r="AK2009">
        <v>0</v>
      </c>
      <c r="AU2009" s="3">
        <v>42452</v>
      </c>
      <c r="AV2009" s="3">
        <v>42452</v>
      </c>
      <c r="AW2009" t="s">
        <v>54</v>
      </c>
      <c r="AX2009" t="str">
        <f t="shared" si="261"/>
        <v>FOR</v>
      </c>
      <c r="AY2009" t="s">
        <v>55</v>
      </c>
    </row>
    <row r="2010" spans="1:51" hidden="1">
      <c r="A2010">
        <v>101934</v>
      </c>
      <c r="B2010" t="s">
        <v>303</v>
      </c>
      <c r="C2010" t="str">
        <f t="shared" si="264"/>
        <v>06175550638</v>
      </c>
      <c r="D2010" t="str">
        <f t="shared" si="264"/>
        <v>06175550638</v>
      </c>
      <c r="E2010" t="s">
        <v>52</v>
      </c>
      <c r="F2010">
        <v>2015</v>
      </c>
      <c r="G2010" t="str">
        <f>"              138/PA"</f>
        <v xml:space="preserve">              138/PA</v>
      </c>
      <c r="H2010" s="3">
        <v>42150</v>
      </c>
      <c r="I2010" s="3">
        <v>42163</v>
      </c>
      <c r="J2010" s="3">
        <v>42151</v>
      </c>
      <c r="K2010" s="3">
        <v>42211</v>
      </c>
      <c r="L2010"/>
      <c r="N2010"/>
      <c r="O2010">
        <v>145</v>
      </c>
      <c r="P2010">
        <v>241</v>
      </c>
      <c r="Q2010" s="4">
        <v>34945</v>
      </c>
      <c r="R2010">
        <v>0</v>
      </c>
      <c r="V2010">
        <v>0</v>
      </c>
      <c r="W2010">
        <v>0</v>
      </c>
      <c r="X2010">
        <v>0</v>
      </c>
      <c r="Y2010">
        <v>0</v>
      </c>
      <c r="Z2010">
        <v>0</v>
      </c>
      <c r="AA2010">
        <v>0</v>
      </c>
      <c r="AB2010" s="3">
        <v>42562</v>
      </c>
      <c r="AC2010" t="s">
        <v>53</v>
      </c>
      <c r="AD2010" t="s">
        <v>53</v>
      </c>
      <c r="AK2010">
        <v>0</v>
      </c>
      <c r="AU2010" s="3">
        <v>42452</v>
      </c>
      <c r="AV2010" s="3">
        <v>42452</v>
      </c>
      <c r="AW2010" t="s">
        <v>54</v>
      </c>
      <c r="AX2010" t="str">
        <f t="shared" si="261"/>
        <v>FOR</v>
      </c>
      <c r="AY2010" t="s">
        <v>55</v>
      </c>
    </row>
    <row r="2011" spans="1:51" hidden="1">
      <c r="A2011">
        <v>101934</v>
      </c>
      <c r="B2011" t="s">
        <v>303</v>
      </c>
      <c r="C2011" t="str">
        <f t="shared" si="264"/>
        <v>06175550638</v>
      </c>
      <c r="D2011" t="str">
        <f t="shared" si="264"/>
        <v>06175550638</v>
      </c>
      <c r="E2011" t="s">
        <v>52</v>
      </c>
      <c r="F2011">
        <v>2015</v>
      </c>
      <c r="G2011" t="str">
        <f>"              139/PA"</f>
        <v xml:space="preserve">              139/PA</v>
      </c>
      <c r="H2011" s="3">
        <v>42150</v>
      </c>
      <c r="I2011" s="3">
        <v>42163</v>
      </c>
      <c r="J2011" s="3">
        <v>42151</v>
      </c>
      <c r="K2011" s="3">
        <v>42211</v>
      </c>
      <c r="L2011"/>
      <c r="N2011"/>
      <c r="O2011">
        <v>145</v>
      </c>
      <c r="P2011">
        <v>241</v>
      </c>
      <c r="Q2011" s="4">
        <v>34945</v>
      </c>
      <c r="R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 s="3">
        <v>42562</v>
      </c>
      <c r="AC2011" t="s">
        <v>53</v>
      </c>
      <c r="AD2011" t="s">
        <v>53</v>
      </c>
      <c r="AK2011">
        <v>0</v>
      </c>
      <c r="AU2011" s="3">
        <v>42452</v>
      </c>
      <c r="AV2011" s="3">
        <v>42452</v>
      </c>
      <c r="AW2011" t="s">
        <v>54</v>
      </c>
      <c r="AX2011" t="str">
        <f t="shared" si="261"/>
        <v>FOR</v>
      </c>
      <c r="AY2011" t="s">
        <v>55</v>
      </c>
    </row>
    <row r="2012" spans="1:51" hidden="1">
      <c r="A2012">
        <v>101934</v>
      </c>
      <c r="B2012" t="s">
        <v>303</v>
      </c>
      <c r="C2012" t="str">
        <f t="shared" si="264"/>
        <v>06175550638</v>
      </c>
      <c r="D2012" t="str">
        <f t="shared" si="264"/>
        <v>06175550638</v>
      </c>
      <c r="E2012" t="s">
        <v>52</v>
      </c>
      <c r="F2012">
        <v>2015</v>
      </c>
      <c r="G2012" t="str">
        <f>"              140/PA"</f>
        <v xml:space="preserve">              140/PA</v>
      </c>
      <c r="H2012" s="3">
        <v>42150</v>
      </c>
      <c r="I2012" s="3">
        <v>42163</v>
      </c>
      <c r="J2012" s="3">
        <v>42151</v>
      </c>
      <c r="K2012" s="3">
        <v>42211</v>
      </c>
      <c r="L2012"/>
      <c r="N2012"/>
      <c r="O2012">
        <v>145</v>
      </c>
      <c r="P2012">
        <v>241</v>
      </c>
      <c r="Q2012" s="4">
        <v>34945</v>
      </c>
      <c r="R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 s="3">
        <v>42562</v>
      </c>
      <c r="AC2012" t="s">
        <v>53</v>
      </c>
      <c r="AD2012" t="s">
        <v>53</v>
      </c>
      <c r="AK2012">
        <v>0</v>
      </c>
      <c r="AU2012" s="3">
        <v>42452</v>
      </c>
      <c r="AV2012" s="3">
        <v>42452</v>
      </c>
      <c r="AW2012" t="s">
        <v>54</v>
      </c>
      <c r="AX2012" t="str">
        <f t="shared" si="261"/>
        <v>FOR</v>
      </c>
      <c r="AY2012" t="s">
        <v>55</v>
      </c>
    </row>
    <row r="2013" spans="1:51" hidden="1">
      <c r="A2013">
        <v>101934</v>
      </c>
      <c r="B2013" t="s">
        <v>303</v>
      </c>
      <c r="C2013" t="str">
        <f t="shared" si="264"/>
        <v>06175550638</v>
      </c>
      <c r="D2013" t="str">
        <f t="shared" si="264"/>
        <v>06175550638</v>
      </c>
      <c r="E2013" t="s">
        <v>52</v>
      </c>
      <c r="F2013">
        <v>2015</v>
      </c>
      <c r="G2013" t="str">
        <f>"              141/PA"</f>
        <v xml:space="preserve">              141/PA</v>
      </c>
      <c r="H2013" s="3">
        <v>42150</v>
      </c>
      <c r="I2013" s="3">
        <v>42163</v>
      </c>
      <c r="J2013" s="3">
        <v>42151</v>
      </c>
      <c r="K2013" s="3">
        <v>42211</v>
      </c>
      <c r="L2013"/>
      <c r="N2013"/>
      <c r="O2013">
        <v>145</v>
      </c>
      <c r="P2013">
        <v>241</v>
      </c>
      <c r="Q2013" s="4">
        <v>34945</v>
      </c>
      <c r="R2013">
        <v>0</v>
      </c>
      <c r="V2013">
        <v>0</v>
      </c>
      <c r="W2013">
        <v>0</v>
      </c>
      <c r="X2013">
        <v>0</v>
      </c>
      <c r="Y2013">
        <v>0</v>
      </c>
      <c r="Z2013">
        <v>0</v>
      </c>
      <c r="AA2013">
        <v>0</v>
      </c>
      <c r="AB2013" s="3">
        <v>42562</v>
      </c>
      <c r="AC2013" t="s">
        <v>53</v>
      </c>
      <c r="AD2013" t="s">
        <v>53</v>
      </c>
      <c r="AK2013">
        <v>0</v>
      </c>
      <c r="AU2013" s="3">
        <v>42452</v>
      </c>
      <c r="AV2013" s="3">
        <v>42452</v>
      </c>
      <c r="AW2013" t="s">
        <v>54</v>
      </c>
      <c r="AX2013" t="str">
        <f t="shared" si="261"/>
        <v>FOR</v>
      </c>
      <c r="AY2013" t="s">
        <v>55</v>
      </c>
    </row>
    <row r="2014" spans="1:51" hidden="1">
      <c r="A2014">
        <v>101934</v>
      </c>
      <c r="B2014" t="s">
        <v>303</v>
      </c>
      <c r="C2014" t="str">
        <f t="shared" si="264"/>
        <v>06175550638</v>
      </c>
      <c r="D2014" t="str">
        <f t="shared" si="264"/>
        <v>06175550638</v>
      </c>
      <c r="E2014" t="s">
        <v>52</v>
      </c>
      <c r="F2014">
        <v>2015</v>
      </c>
      <c r="G2014" t="str">
        <f>"              142/PA"</f>
        <v xml:space="preserve">              142/PA</v>
      </c>
      <c r="H2014" s="3">
        <v>42150</v>
      </c>
      <c r="I2014" s="3">
        <v>42163</v>
      </c>
      <c r="J2014" s="3">
        <v>42151</v>
      </c>
      <c r="K2014" s="3">
        <v>42211</v>
      </c>
      <c r="L2014"/>
      <c r="N2014"/>
      <c r="O2014">
        <v>145</v>
      </c>
      <c r="P2014">
        <v>241</v>
      </c>
      <c r="Q2014" s="4">
        <v>34945</v>
      </c>
      <c r="R2014">
        <v>0</v>
      </c>
      <c r="V2014">
        <v>0</v>
      </c>
      <c r="W2014">
        <v>0</v>
      </c>
      <c r="X2014">
        <v>0</v>
      </c>
      <c r="Y2014">
        <v>0</v>
      </c>
      <c r="Z2014">
        <v>0</v>
      </c>
      <c r="AA2014">
        <v>0</v>
      </c>
      <c r="AB2014" s="3">
        <v>42562</v>
      </c>
      <c r="AC2014" t="s">
        <v>53</v>
      </c>
      <c r="AD2014" t="s">
        <v>53</v>
      </c>
      <c r="AK2014">
        <v>0</v>
      </c>
      <c r="AU2014" s="3">
        <v>42452</v>
      </c>
      <c r="AV2014" s="3">
        <v>42452</v>
      </c>
      <c r="AW2014" t="s">
        <v>54</v>
      </c>
      <c r="AX2014" t="str">
        <f t="shared" si="261"/>
        <v>FOR</v>
      </c>
      <c r="AY2014" t="s">
        <v>55</v>
      </c>
    </row>
    <row r="2015" spans="1:51" hidden="1">
      <c r="A2015">
        <v>101934</v>
      </c>
      <c r="B2015" t="s">
        <v>303</v>
      </c>
      <c r="C2015" t="str">
        <f t="shared" si="264"/>
        <v>06175550638</v>
      </c>
      <c r="D2015" t="str">
        <f t="shared" si="264"/>
        <v>06175550638</v>
      </c>
      <c r="E2015" t="s">
        <v>52</v>
      </c>
      <c r="F2015">
        <v>2015</v>
      </c>
      <c r="G2015" t="str">
        <f>"              143/PA"</f>
        <v xml:space="preserve">              143/PA</v>
      </c>
      <c r="H2015" s="3">
        <v>42150</v>
      </c>
      <c r="I2015" s="3">
        <v>42163</v>
      </c>
      <c r="J2015" s="3">
        <v>42151</v>
      </c>
      <c r="K2015" s="3">
        <v>42211</v>
      </c>
      <c r="L2015"/>
      <c r="N2015"/>
      <c r="O2015">
        <v>145</v>
      </c>
      <c r="P2015">
        <v>241</v>
      </c>
      <c r="Q2015" s="4">
        <v>34945</v>
      </c>
      <c r="R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 s="3">
        <v>42562</v>
      </c>
      <c r="AC2015" t="s">
        <v>53</v>
      </c>
      <c r="AD2015" t="s">
        <v>53</v>
      </c>
      <c r="AK2015">
        <v>0</v>
      </c>
      <c r="AU2015" s="3">
        <v>42452</v>
      </c>
      <c r="AV2015" s="3">
        <v>42452</v>
      </c>
      <c r="AW2015" t="s">
        <v>54</v>
      </c>
      <c r="AX2015" t="str">
        <f t="shared" si="261"/>
        <v>FOR</v>
      </c>
      <c r="AY2015" t="s">
        <v>55</v>
      </c>
    </row>
    <row r="2016" spans="1:51" hidden="1">
      <c r="A2016">
        <v>101934</v>
      </c>
      <c r="B2016" t="s">
        <v>303</v>
      </c>
      <c r="C2016" t="str">
        <f t="shared" si="264"/>
        <v>06175550638</v>
      </c>
      <c r="D2016" t="str">
        <f t="shared" si="264"/>
        <v>06175550638</v>
      </c>
      <c r="E2016" t="s">
        <v>52</v>
      </c>
      <c r="F2016">
        <v>2015</v>
      </c>
      <c r="G2016" t="str">
        <f>"              144/PA"</f>
        <v xml:space="preserve">              144/PA</v>
      </c>
      <c r="H2016" s="3">
        <v>42150</v>
      </c>
      <c r="I2016" s="3">
        <v>42163</v>
      </c>
      <c r="J2016" s="3">
        <v>42151</v>
      </c>
      <c r="K2016" s="3">
        <v>42211</v>
      </c>
      <c r="L2016"/>
      <c r="N2016"/>
      <c r="O2016">
        <v>145</v>
      </c>
      <c r="P2016">
        <v>241</v>
      </c>
      <c r="Q2016" s="4">
        <v>34945</v>
      </c>
      <c r="R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 s="3">
        <v>42562</v>
      </c>
      <c r="AC2016" t="s">
        <v>53</v>
      </c>
      <c r="AD2016" t="s">
        <v>53</v>
      </c>
      <c r="AK2016">
        <v>0</v>
      </c>
      <c r="AU2016" s="3">
        <v>42452</v>
      </c>
      <c r="AV2016" s="3">
        <v>42452</v>
      </c>
      <c r="AW2016" t="s">
        <v>54</v>
      </c>
      <c r="AX2016" t="str">
        <f t="shared" si="261"/>
        <v>FOR</v>
      </c>
      <c r="AY2016" t="s">
        <v>55</v>
      </c>
    </row>
    <row r="2017" spans="1:51" hidden="1">
      <c r="A2017">
        <v>101934</v>
      </c>
      <c r="B2017" t="s">
        <v>303</v>
      </c>
      <c r="C2017" t="str">
        <f t="shared" si="264"/>
        <v>06175550638</v>
      </c>
      <c r="D2017" t="str">
        <f t="shared" si="264"/>
        <v>06175550638</v>
      </c>
      <c r="E2017" t="s">
        <v>52</v>
      </c>
      <c r="F2017">
        <v>2015</v>
      </c>
      <c r="G2017" t="str">
        <f>"              150/PA"</f>
        <v xml:space="preserve">              150/PA</v>
      </c>
      <c r="H2017" s="3">
        <v>42151</v>
      </c>
      <c r="I2017" s="3">
        <v>42163</v>
      </c>
      <c r="J2017" s="3">
        <v>42151</v>
      </c>
      <c r="K2017" s="3">
        <v>42211</v>
      </c>
      <c r="L2017"/>
      <c r="N2017"/>
      <c r="O2017">
        <v>145</v>
      </c>
      <c r="P2017">
        <v>241</v>
      </c>
      <c r="Q2017" s="4">
        <v>34945</v>
      </c>
      <c r="R2017">
        <v>0</v>
      </c>
      <c r="V2017">
        <v>0</v>
      </c>
      <c r="W2017">
        <v>0</v>
      </c>
      <c r="X2017">
        <v>0</v>
      </c>
      <c r="Y2017">
        <v>0</v>
      </c>
      <c r="Z2017">
        <v>0</v>
      </c>
      <c r="AA2017">
        <v>0</v>
      </c>
      <c r="AB2017" s="3">
        <v>42562</v>
      </c>
      <c r="AC2017" t="s">
        <v>53</v>
      </c>
      <c r="AD2017" t="s">
        <v>53</v>
      </c>
      <c r="AK2017">
        <v>0</v>
      </c>
      <c r="AU2017" s="3">
        <v>42452</v>
      </c>
      <c r="AV2017" s="3">
        <v>42452</v>
      </c>
      <c r="AW2017" t="s">
        <v>54</v>
      </c>
      <c r="AX2017" t="str">
        <f t="shared" si="261"/>
        <v>FOR</v>
      </c>
      <c r="AY2017" t="s">
        <v>55</v>
      </c>
    </row>
    <row r="2018" spans="1:51" hidden="1">
      <c r="A2018">
        <v>101934</v>
      </c>
      <c r="B2018" t="s">
        <v>303</v>
      </c>
      <c r="C2018" t="str">
        <f t="shared" si="264"/>
        <v>06175550638</v>
      </c>
      <c r="D2018" t="str">
        <f t="shared" si="264"/>
        <v>06175550638</v>
      </c>
      <c r="E2018" t="s">
        <v>52</v>
      </c>
      <c r="F2018">
        <v>2015</v>
      </c>
      <c r="G2018" t="str">
        <f>"              151/PA"</f>
        <v xml:space="preserve">              151/PA</v>
      </c>
      <c r="H2018" s="3">
        <v>42151</v>
      </c>
      <c r="I2018" s="3">
        <v>42163</v>
      </c>
      <c r="J2018" s="3">
        <v>42151</v>
      </c>
      <c r="K2018" s="3">
        <v>42211</v>
      </c>
      <c r="L2018"/>
      <c r="N2018"/>
      <c r="O2018">
        <v>145</v>
      </c>
      <c r="P2018">
        <v>241</v>
      </c>
      <c r="Q2018" s="4">
        <v>34945</v>
      </c>
      <c r="R2018">
        <v>0</v>
      </c>
      <c r="V2018">
        <v>0</v>
      </c>
      <c r="W2018">
        <v>0</v>
      </c>
      <c r="X2018">
        <v>0</v>
      </c>
      <c r="Y2018">
        <v>0</v>
      </c>
      <c r="Z2018">
        <v>0</v>
      </c>
      <c r="AA2018">
        <v>0</v>
      </c>
      <c r="AB2018" s="3">
        <v>42562</v>
      </c>
      <c r="AC2018" t="s">
        <v>53</v>
      </c>
      <c r="AD2018" t="s">
        <v>53</v>
      </c>
      <c r="AK2018">
        <v>0</v>
      </c>
      <c r="AU2018" s="3">
        <v>42452</v>
      </c>
      <c r="AV2018" s="3">
        <v>42452</v>
      </c>
      <c r="AW2018" t="s">
        <v>54</v>
      </c>
      <c r="AX2018" t="str">
        <f t="shared" si="261"/>
        <v>FOR</v>
      </c>
      <c r="AY2018" t="s">
        <v>55</v>
      </c>
    </row>
    <row r="2019" spans="1:51" hidden="1">
      <c r="A2019">
        <v>101934</v>
      </c>
      <c r="B2019" t="s">
        <v>303</v>
      </c>
      <c r="C2019" t="str">
        <f t="shared" si="264"/>
        <v>06175550638</v>
      </c>
      <c r="D2019" t="str">
        <f t="shared" si="264"/>
        <v>06175550638</v>
      </c>
      <c r="E2019" t="s">
        <v>52</v>
      </c>
      <c r="F2019">
        <v>2015</v>
      </c>
      <c r="G2019" t="str">
        <f>"              152/PA"</f>
        <v xml:space="preserve">              152/PA</v>
      </c>
      <c r="H2019" s="3">
        <v>42151</v>
      </c>
      <c r="I2019" s="3">
        <v>42163</v>
      </c>
      <c r="J2019" s="3">
        <v>42151</v>
      </c>
      <c r="K2019" s="3">
        <v>42211</v>
      </c>
      <c r="L2019"/>
      <c r="N2019"/>
      <c r="O2019">
        <v>145</v>
      </c>
      <c r="P2019">
        <v>241</v>
      </c>
      <c r="Q2019" s="4">
        <v>34945</v>
      </c>
      <c r="R2019">
        <v>0</v>
      </c>
      <c r="V2019">
        <v>0</v>
      </c>
      <c r="W2019">
        <v>0</v>
      </c>
      <c r="X2019">
        <v>0</v>
      </c>
      <c r="Y2019">
        <v>0</v>
      </c>
      <c r="Z2019">
        <v>0</v>
      </c>
      <c r="AA2019">
        <v>0</v>
      </c>
      <c r="AB2019" s="3">
        <v>42562</v>
      </c>
      <c r="AC2019" t="s">
        <v>53</v>
      </c>
      <c r="AD2019" t="s">
        <v>53</v>
      </c>
      <c r="AK2019">
        <v>0</v>
      </c>
      <c r="AU2019" s="3">
        <v>42452</v>
      </c>
      <c r="AV2019" s="3">
        <v>42452</v>
      </c>
      <c r="AW2019" t="s">
        <v>54</v>
      </c>
      <c r="AX2019" t="str">
        <f t="shared" si="261"/>
        <v>FOR</v>
      </c>
      <c r="AY2019" t="s">
        <v>55</v>
      </c>
    </row>
    <row r="2020" spans="1:51" hidden="1">
      <c r="A2020">
        <v>101934</v>
      </c>
      <c r="B2020" t="s">
        <v>303</v>
      </c>
      <c r="C2020" t="str">
        <f t="shared" si="264"/>
        <v>06175550638</v>
      </c>
      <c r="D2020" t="str">
        <f t="shared" si="264"/>
        <v>06175550638</v>
      </c>
      <c r="E2020" t="s">
        <v>52</v>
      </c>
      <c r="F2020">
        <v>2015</v>
      </c>
      <c r="G2020" t="str">
        <f>"              153/PA"</f>
        <v xml:space="preserve">              153/PA</v>
      </c>
      <c r="H2020" s="3">
        <v>42151</v>
      </c>
      <c r="I2020" s="3">
        <v>42163</v>
      </c>
      <c r="J2020" s="3">
        <v>42151</v>
      </c>
      <c r="K2020" s="3">
        <v>42211</v>
      </c>
      <c r="L2020"/>
      <c r="N2020"/>
      <c r="O2020">
        <v>145</v>
      </c>
      <c r="P2020">
        <v>241</v>
      </c>
      <c r="Q2020" s="4">
        <v>34945</v>
      </c>
      <c r="R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 s="3">
        <v>42562</v>
      </c>
      <c r="AC2020" t="s">
        <v>53</v>
      </c>
      <c r="AD2020" t="s">
        <v>53</v>
      </c>
      <c r="AK2020">
        <v>0</v>
      </c>
      <c r="AU2020" s="3">
        <v>42452</v>
      </c>
      <c r="AV2020" s="3">
        <v>42452</v>
      </c>
      <c r="AW2020" t="s">
        <v>54</v>
      </c>
      <c r="AX2020" t="str">
        <f t="shared" ref="AX2020:AX2064" si="265">"FOR"</f>
        <v>FOR</v>
      </c>
      <c r="AY2020" t="s">
        <v>55</v>
      </c>
    </row>
    <row r="2021" spans="1:51" hidden="1">
      <c r="A2021">
        <v>101934</v>
      </c>
      <c r="B2021" t="s">
        <v>303</v>
      </c>
      <c r="C2021" t="str">
        <f t="shared" si="264"/>
        <v>06175550638</v>
      </c>
      <c r="D2021" t="str">
        <f t="shared" si="264"/>
        <v>06175550638</v>
      </c>
      <c r="E2021" t="s">
        <v>52</v>
      </c>
      <c r="F2021">
        <v>2015</v>
      </c>
      <c r="G2021" t="str">
        <f>"              172/PA"</f>
        <v xml:space="preserve">              172/PA</v>
      </c>
      <c r="H2021" s="3">
        <v>42154</v>
      </c>
      <c r="I2021" s="3">
        <v>42163</v>
      </c>
      <c r="J2021" s="3">
        <v>42159</v>
      </c>
      <c r="K2021" s="3">
        <v>42219</v>
      </c>
      <c r="L2021"/>
      <c r="N2021"/>
      <c r="O2021">
        <v>145</v>
      </c>
      <c r="P2021">
        <v>233</v>
      </c>
      <c r="Q2021" s="4">
        <v>33785</v>
      </c>
      <c r="R2021">
        <v>0</v>
      </c>
      <c r="V2021">
        <v>0</v>
      </c>
      <c r="W2021">
        <v>0</v>
      </c>
      <c r="X2021">
        <v>0</v>
      </c>
      <c r="Y2021">
        <v>0</v>
      </c>
      <c r="Z2021">
        <v>0</v>
      </c>
      <c r="AA2021">
        <v>0</v>
      </c>
      <c r="AB2021" s="3">
        <v>42562</v>
      </c>
      <c r="AC2021" t="s">
        <v>53</v>
      </c>
      <c r="AD2021" t="s">
        <v>53</v>
      </c>
      <c r="AK2021">
        <v>0</v>
      </c>
      <c r="AU2021" s="3">
        <v>42452</v>
      </c>
      <c r="AV2021" s="3">
        <v>42452</v>
      </c>
      <c r="AW2021" t="s">
        <v>54</v>
      </c>
      <c r="AX2021" t="str">
        <f t="shared" si="265"/>
        <v>FOR</v>
      </c>
      <c r="AY2021" t="s">
        <v>55</v>
      </c>
    </row>
    <row r="2022" spans="1:51">
      <c r="A2022">
        <v>101934</v>
      </c>
      <c r="B2022" t="s">
        <v>303</v>
      </c>
      <c r="C2022" t="str">
        <f t="shared" si="264"/>
        <v>06175550638</v>
      </c>
      <c r="D2022" t="str">
        <f t="shared" si="264"/>
        <v>06175550638</v>
      </c>
      <c r="E2022" t="s">
        <v>52</v>
      </c>
      <c r="F2022">
        <v>2015</v>
      </c>
      <c r="G2022" t="str">
        <f>"              204/PA"</f>
        <v xml:space="preserve">              204/PA</v>
      </c>
      <c r="H2022" s="3">
        <v>42167</v>
      </c>
      <c r="I2022" s="3">
        <v>42170</v>
      </c>
      <c r="J2022" s="3">
        <v>42168</v>
      </c>
      <c r="K2022" s="3">
        <v>42228</v>
      </c>
      <c r="L2022" s="1">
        <v>145</v>
      </c>
      <c r="M2022">
        <v>299</v>
      </c>
      <c r="N2022" s="5">
        <v>43355</v>
      </c>
      <c r="O2022">
        <v>145</v>
      </c>
      <c r="P2022">
        <v>299</v>
      </c>
      <c r="Q2022" s="4">
        <v>43355</v>
      </c>
      <c r="R2022">
        <v>5.8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 s="3">
        <v>42562</v>
      </c>
      <c r="AC2022" t="s">
        <v>53</v>
      </c>
      <c r="AD2022" t="s">
        <v>53</v>
      </c>
      <c r="AK2022">
        <v>5.8</v>
      </c>
      <c r="AU2022" s="3">
        <v>42527</v>
      </c>
      <c r="AV2022" s="3">
        <v>42527</v>
      </c>
      <c r="AW2022" t="s">
        <v>54</v>
      </c>
      <c r="AX2022" t="str">
        <f t="shared" si="265"/>
        <v>FOR</v>
      </c>
      <c r="AY2022" t="s">
        <v>55</v>
      </c>
    </row>
    <row r="2023" spans="1:51">
      <c r="A2023">
        <v>101934</v>
      </c>
      <c r="B2023" t="s">
        <v>303</v>
      </c>
      <c r="C2023" t="str">
        <f t="shared" si="264"/>
        <v>06175550638</v>
      </c>
      <c r="D2023" t="str">
        <f t="shared" si="264"/>
        <v>06175550638</v>
      </c>
      <c r="E2023" t="s">
        <v>52</v>
      </c>
      <c r="F2023">
        <v>2015</v>
      </c>
      <c r="G2023" t="str">
        <f>"              205/PA"</f>
        <v xml:space="preserve">              205/PA</v>
      </c>
      <c r="H2023" s="3">
        <v>42167</v>
      </c>
      <c r="I2023" s="3">
        <v>42170</v>
      </c>
      <c r="J2023" s="3">
        <v>42168</v>
      </c>
      <c r="K2023" s="3">
        <v>42228</v>
      </c>
      <c r="L2023" s="1">
        <v>145</v>
      </c>
      <c r="M2023">
        <v>299</v>
      </c>
      <c r="N2023" s="5">
        <v>43355</v>
      </c>
      <c r="O2023">
        <v>145</v>
      </c>
      <c r="P2023">
        <v>299</v>
      </c>
      <c r="Q2023" s="4">
        <v>43355</v>
      </c>
      <c r="R2023">
        <v>5.8</v>
      </c>
      <c r="V2023">
        <v>0</v>
      </c>
      <c r="W2023">
        <v>0</v>
      </c>
      <c r="X2023">
        <v>0</v>
      </c>
      <c r="Y2023">
        <v>0</v>
      </c>
      <c r="Z2023">
        <v>0</v>
      </c>
      <c r="AA2023">
        <v>0</v>
      </c>
      <c r="AB2023" s="3">
        <v>42562</v>
      </c>
      <c r="AC2023" t="s">
        <v>53</v>
      </c>
      <c r="AD2023" t="s">
        <v>53</v>
      </c>
      <c r="AK2023">
        <v>5.8</v>
      </c>
      <c r="AU2023" s="3">
        <v>42527</v>
      </c>
      <c r="AV2023" s="3">
        <v>42527</v>
      </c>
      <c r="AW2023" t="s">
        <v>54</v>
      </c>
      <c r="AX2023" t="str">
        <f t="shared" si="265"/>
        <v>FOR</v>
      </c>
      <c r="AY2023" t="s">
        <v>55</v>
      </c>
    </row>
    <row r="2024" spans="1:51">
      <c r="A2024">
        <v>101934</v>
      </c>
      <c r="B2024" t="s">
        <v>303</v>
      </c>
      <c r="C2024" t="str">
        <f t="shared" si="264"/>
        <v>06175550638</v>
      </c>
      <c r="D2024" t="str">
        <f t="shared" si="264"/>
        <v>06175550638</v>
      </c>
      <c r="E2024" t="s">
        <v>52</v>
      </c>
      <c r="F2024">
        <v>2015</v>
      </c>
      <c r="G2024" t="str">
        <f>"              223/PA"</f>
        <v xml:space="preserve">              223/PA</v>
      </c>
      <c r="H2024" s="3">
        <v>42174</v>
      </c>
      <c r="I2024" s="3">
        <v>42177</v>
      </c>
      <c r="J2024" s="3">
        <v>42175</v>
      </c>
      <c r="K2024" s="3">
        <v>42235</v>
      </c>
      <c r="L2024" s="1">
        <v>145</v>
      </c>
      <c r="M2024">
        <v>292</v>
      </c>
      <c r="N2024" s="5">
        <v>42340</v>
      </c>
      <c r="O2024">
        <v>145</v>
      </c>
      <c r="P2024">
        <v>292</v>
      </c>
      <c r="Q2024" s="4">
        <v>42340</v>
      </c>
      <c r="R2024">
        <v>5.8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 s="3">
        <v>42562</v>
      </c>
      <c r="AC2024" t="s">
        <v>53</v>
      </c>
      <c r="AD2024" t="s">
        <v>53</v>
      </c>
      <c r="AK2024">
        <v>5.8</v>
      </c>
      <c r="AU2024" s="3">
        <v>42527</v>
      </c>
      <c r="AV2024" s="3">
        <v>42527</v>
      </c>
      <c r="AW2024" t="s">
        <v>54</v>
      </c>
      <c r="AX2024" t="str">
        <f t="shared" si="265"/>
        <v>FOR</v>
      </c>
      <c r="AY2024" t="s">
        <v>55</v>
      </c>
    </row>
    <row r="2025" spans="1:51">
      <c r="A2025">
        <v>101934</v>
      </c>
      <c r="B2025" t="s">
        <v>303</v>
      </c>
      <c r="C2025" t="str">
        <f t="shared" ref="C2025:D2039" si="266">"06175550638"</f>
        <v>06175550638</v>
      </c>
      <c r="D2025" t="str">
        <f t="shared" si="266"/>
        <v>06175550638</v>
      </c>
      <c r="E2025" t="s">
        <v>52</v>
      </c>
      <c r="F2025">
        <v>2015</v>
      </c>
      <c r="G2025" t="str">
        <f>"              224/PA"</f>
        <v xml:space="preserve">              224/PA</v>
      </c>
      <c r="H2025" s="3">
        <v>42174</v>
      </c>
      <c r="I2025" s="3">
        <v>42177</v>
      </c>
      <c r="J2025" s="3">
        <v>42175</v>
      </c>
      <c r="K2025" s="3">
        <v>42235</v>
      </c>
      <c r="L2025" s="1">
        <v>145</v>
      </c>
      <c r="M2025">
        <v>292</v>
      </c>
      <c r="N2025" s="5">
        <v>42340</v>
      </c>
      <c r="O2025">
        <v>145</v>
      </c>
      <c r="P2025">
        <v>292</v>
      </c>
      <c r="Q2025" s="4">
        <v>42340</v>
      </c>
      <c r="R2025">
        <v>5.8</v>
      </c>
      <c r="V2025">
        <v>0</v>
      </c>
      <c r="W2025">
        <v>0</v>
      </c>
      <c r="X2025">
        <v>0</v>
      </c>
      <c r="Y2025">
        <v>0</v>
      </c>
      <c r="Z2025">
        <v>0</v>
      </c>
      <c r="AA2025">
        <v>0</v>
      </c>
      <c r="AB2025" s="3">
        <v>42562</v>
      </c>
      <c r="AC2025" t="s">
        <v>53</v>
      </c>
      <c r="AD2025" t="s">
        <v>53</v>
      </c>
      <c r="AK2025">
        <v>5.8</v>
      </c>
      <c r="AU2025" s="3">
        <v>42527</v>
      </c>
      <c r="AV2025" s="3">
        <v>42527</v>
      </c>
      <c r="AW2025" t="s">
        <v>54</v>
      </c>
      <c r="AX2025" t="str">
        <f t="shared" si="265"/>
        <v>FOR</v>
      </c>
      <c r="AY2025" t="s">
        <v>55</v>
      </c>
    </row>
    <row r="2026" spans="1:51">
      <c r="A2026">
        <v>101934</v>
      </c>
      <c r="B2026" t="s">
        <v>303</v>
      </c>
      <c r="C2026" t="str">
        <f t="shared" si="266"/>
        <v>06175550638</v>
      </c>
      <c r="D2026" t="str">
        <f t="shared" si="266"/>
        <v>06175550638</v>
      </c>
      <c r="E2026" t="s">
        <v>52</v>
      </c>
      <c r="F2026">
        <v>2015</v>
      </c>
      <c r="G2026" t="str">
        <f>"              230/PA"</f>
        <v xml:space="preserve">              230/PA</v>
      </c>
      <c r="H2026" s="3">
        <v>42174</v>
      </c>
      <c r="I2026" s="3">
        <v>42177</v>
      </c>
      <c r="J2026" s="3">
        <v>42175</v>
      </c>
      <c r="K2026" s="3">
        <v>42235</v>
      </c>
      <c r="L2026" s="1">
        <v>145</v>
      </c>
      <c r="M2026">
        <v>292</v>
      </c>
      <c r="N2026" s="5">
        <v>42340</v>
      </c>
      <c r="O2026">
        <v>145</v>
      </c>
      <c r="P2026">
        <v>292</v>
      </c>
      <c r="Q2026" s="4">
        <v>42340</v>
      </c>
      <c r="R2026">
        <v>5.8</v>
      </c>
      <c r="V2026">
        <v>0</v>
      </c>
      <c r="W2026">
        <v>0</v>
      </c>
      <c r="X2026">
        <v>0</v>
      </c>
      <c r="Y2026">
        <v>0</v>
      </c>
      <c r="Z2026">
        <v>0</v>
      </c>
      <c r="AA2026">
        <v>0</v>
      </c>
      <c r="AB2026" s="3">
        <v>42562</v>
      </c>
      <c r="AC2026" t="s">
        <v>53</v>
      </c>
      <c r="AD2026" t="s">
        <v>53</v>
      </c>
      <c r="AK2026">
        <v>5.8</v>
      </c>
      <c r="AU2026" s="3">
        <v>42527</v>
      </c>
      <c r="AV2026" s="3">
        <v>42527</v>
      </c>
      <c r="AW2026" t="s">
        <v>54</v>
      </c>
      <c r="AX2026" t="str">
        <f t="shared" si="265"/>
        <v>FOR</v>
      </c>
      <c r="AY2026" t="s">
        <v>55</v>
      </c>
    </row>
    <row r="2027" spans="1:51">
      <c r="A2027">
        <v>101934</v>
      </c>
      <c r="B2027" t="s">
        <v>303</v>
      </c>
      <c r="C2027" t="str">
        <f t="shared" si="266"/>
        <v>06175550638</v>
      </c>
      <c r="D2027" t="str">
        <f t="shared" si="266"/>
        <v>06175550638</v>
      </c>
      <c r="E2027" t="s">
        <v>52</v>
      </c>
      <c r="F2027">
        <v>2015</v>
      </c>
      <c r="G2027" t="str">
        <f>"              244/PA"</f>
        <v xml:space="preserve">              244/PA</v>
      </c>
      <c r="H2027" s="3">
        <v>42177</v>
      </c>
      <c r="I2027" s="3">
        <v>42181</v>
      </c>
      <c r="J2027" s="3">
        <v>42178</v>
      </c>
      <c r="K2027" s="3">
        <v>42238</v>
      </c>
      <c r="L2027" s="1">
        <v>145</v>
      </c>
      <c r="M2027">
        <v>289</v>
      </c>
      <c r="N2027" s="5">
        <v>41905</v>
      </c>
      <c r="O2027">
        <v>145</v>
      </c>
      <c r="P2027">
        <v>289</v>
      </c>
      <c r="Q2027" s="4">
        <v>41905</v>
      </c>
      <c r="R2027">
        <v>5.8</v>
      </c>
      <c r="V2027">
        <v>0</v>
      </c>
      <c r="W2027">
        <v>0</v>
      </c>
      <c r="X2027">
        <v>0</v>
      </c>
      <c r="Y2027">
        <v>0</v>
      </c>
      <c r="Z2027">
        <v>0</v>
      </c>
      <c r="AA2027">
        <v>0</v>
      </c>
      <c r="AB2027" s="3">
        <v>42562</v>
      </c>
      <c r="AC2027" t="s">
        <v>53</v>
      </c>
      <c r="AD2027" t="s">
        <v>53</v>
      </c>
      <c r="AK2027">
        <v>5.8</v>
      </c>
      <c r="AU2027" s="3">
        <v>42527</v>
      </c>
      <c r="AV2027" s="3">
        <v>42527</v>
      </c>
      <c r="AW2027" t="s">
        <v>54</v>
      </c>
      <c r="AX2027" t="str">
        <f t="shared" si="265"/>
        <v>FOR</v>
      </c>
      <c r="AY2027" t="s">
        <v>55</v>
      </c>
    </row>
    <row r="2028" spans="1:51">
      <c r="A2028">
        <v>101934</v>
      </c>
      <c r="B2028" t="s">
        <v>303</v>
      </c>
      <c r="C2028" t="str">
        <f t="shared" si="266"/>
        <v>06175550638</v>
      </c>
      <c r="D2028" t="str">
        <f t="shared" si="266"/>
        <v>06175550638</v>
      </c>
      <c r="E2028" t="s">
        <v>52</v>
      </c>
      <c r="F2028">
        <v>2015</v>
      </c>
      <c r="G2028" t="str">
        <f>"              245/PA"</f>
        <v xml:space="preserve">              245/PA</v>
      </c>
      <c r="H2028" s="3">
        <v>42177</v>
      </c>
      <c r="I2028" s="3">
        <v>42181</v>
      </c>
      <c r="J2028" s="3">
        <v>42178</v>
      </c>
      <c r="K2028" s="3">
        <v>42238</v>
      </c>
      <c r="L2028" s="1">
        <v>145</v>
      </c>
      <c r="M2028">
        <v>289</v>
      </c>
      <c r="N2028" s="5">
        <v>41905</v>
      </c>
      <c r="O2028">
        <v>145</v>
      </c>
      <c r="P2028">
        <v>289</v>
      </c>
      <c r="Q2028" s="4">
        <v>41905</v>
      </c>
      <c r="R2028">
        <v>5.8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 s="3">
        <v>42562</v>
      </c>
      <c r="AC2028" t="s">
        <v>53</v>
      </c>
      <c r="AD2028" t="s">
        <v>53</v>
      </c>
      <c r="AK2028">
        <v>5.8</v>
      </c>
      <c r="AU2028" s="3">
        <v>42527</v>
      </c>
      <c r="AV2028" s="3">
        <v>42527</v>
      </c>
      <c r="AW2028" t="s">
        <v>54</v>
      </c>
      <c r="AX2028" t="str">
        <f t="shared" si="265"/>
        <v>FOR</v>
      </c>
      <c r="AY2028" t="s">
        <v>55</v>
      </c>
    </row>
    <row r="2029" spans="1:51">
      <c r="A2029">
        <v>101934</v>
      </c>
      <c r="B2029" t="s">
        <v>303</v>
      </c>
      <c r="C2029" t="str">
        <f t="shared" si="266"/>
        <v>06175550638</v>
      </c>
      <c r="D2029" t="str">
        <f t="shared" si="266"/>
        <v>06175550638</v>
      </c>
      <c r="E2029" t="s">
        <v>52</v>
      </c>
      <c r="F2029">
        <v>2015</v>
      </c>
      <c r="G2029" t="str">
        <f>"              246/PA"</f>
        <v xml:space="preserve">              246/PA</v>
      </c>
      <c r="H2029" s="3">
        <v>42177</v>
      </c>
      <c r="I2029" s="3">
        <v>42181</v>
      </c>
      <c r="J2029" s="3">
        <v>42178</v>
      </c>
      <c r="K2029" s="3">
        <v>42238</v>
      </c>
      <c r="L2029" s="1">
        <v>145</v>
      </c>
      <c r="M2029">
        <v>289</v>
      </c>
      <c r="N2029" s="5">
        <v>41905</v>
      </c>
      <c r="O2029">
        <v>145</v>
      </c>
      <c r="P2029">
        <v>289</v>
      </c>
      <c r="Q2029" s="4">
        <v>41905</v>
      </c>
      <c r="R2029">
        <v>5.8</v>
      </c>
      <c r="V2029">
        <v>0</v>
      </c>
      <c r="W2029">
        <v>0</v>
      </c>
      <c r="X2029">
        <v>0</v>
      </c>
      <c r="Y2029">
        <v>0</v>
      </c>
      <c r="Z2029">
        <v>0</v>
      </c>
      <c r="AA2029">
        <v>0</v>
      </c>
      <c r="AB2029" s="3">
        <v>42562</v>
      </c>
      <c r="AC2029" t="s">
        <v>53</v>
      </c>
      <c r="AD2029" t="s">
        <v>53</v>
      </c>
      <c r="AK2029">
        <v>5.8</v>
      </c>
      <c r="AU2029" s="3">
        <v>42527</v>
      </c>
      <c r="AV2029" s="3">
        <v>42527</v>
      </c>
      <c r="AW2029" t="s">
        <v>54</v>
      </c>
      <c r="AX2029" t="str">
        <f t="shared" si="265"/>
        <v>FOR</v>
      </c>
      <c r="AY2029" t="s">
        <v>55</v>
      </c>
    </row>
    <row r="2030" spans="1:51">
      <c r="A2030">
        <v>101934</v>
      </c>
      <c r="B2030" t="s">
        <v>303</v>
      </c>
      <c r="C2030" t="str">
        <f t="shared" si="266"/>
        <v>06175550638</v>
      </c>
      <c r="D2030" t="str">
        <f t="shared" si="266"/>
        <v>06175550638</v>
      </c>
      <c r="E2030" t="s">
        <v>52</v>
      </c>
      <c r="F2030">
        <v>2015</v>
      </c>
      <c r="G2030" t="str">
        <f>"              247/PA"</f>
        <v xml:space="preserve">              247/PA</v>
      </c>
      <c r="H2030" s="3">
        <v>42177</v>
      </c>
      <c r="I2030" s="3">
        <v>42181</v>
      </c>
      <c r="J2030" s="3">
        <v>42178</v>
      </c>
      <c r="K2030" s="3">
        <v>42238</v>
      </c>
      <c r="L2030" s="1">
        <v>145</v>
      </c>
      <c r="M2030">
        <v>289</v>
      </c>
      <c r="N2030" s="5">
        <v>41905</v>
      </c>
      <c r="O2030">
        <v>145</v>
      </c>
      <c r="P2030">
        <v>289</v>
      </c>
      <c r="Q2030" s="4">
        <v>41905</v>
      </c>
      <c r="R2030">
        <v>5.8</v>
      </c>
      <c r="V2030">
        <v>0</v>
      </c>
      <c r="W2030">
        <v>0</v>
      </c>
      <c r="X2030">
        <v>0</v>
      </c>
      <c r="Y2030">
        <v>0</v>
      </c>
      <c r="Z2030">
        <v>0</v>
      </c>
      <c r="AA2030">
        <v>0</v>
      </c>
      <c r="AB2030" s="3">
        <v>42562</v>
      </c>
      <c r="AC2030" t="s">
        <v>53</v>
      </c>
      <c r="AD2030" t="s">
        <v>53</v>
      </c>
      <c r="AK2030">
        <v>5.8</v>
      </c>
      <c r="AU2030" s="3">
        <v>42527</v>
      </c>
      <c r="AV2030" s="3">
        <v>42527</v>
      </c>
      <c r="AW2030" t="s">
        <v>54</v>
      </c>
      <c r="AX2030" t="str">
        <f t="shared" si="265"/>
        <v>FOR</v>
      </c>
      <c r="AY2030" t="s">
        <v>55</v>
      </c>
    </row>
    <row r="2031" spans="1:51">
      <c r="A2031">
        <v>101934</v>
      </c>
      <c r="B2031" t="s">
        <v>303</v>
      </c>
      <c r="C2031" t="str">
        <f t="shared" si="266"/>
        <v>06175550638</v>
      </c>
      <c r="D2031" t="str">
        <f t="shared" si="266"/>
        <v>06175550638</v>
      </c>
      <c r="E2031" t="s">
        <v>52</v>
      </c>
      <c r="F2031">
        <v>2015</v>
      </c>
      <c r="G2031" t="str">
        <f>"              248/PA"</f>
        <v xml:space="preserve">              248/PA</v>
      </c>
      <c r="H2031" s="3">
        <v>42177</v>
      </c>
      <c r="I2031" s="3">
        <v>42181</v>
      </c>
      <c r="J2031" s="3">
        <v>42178</v>
      </c>
      <c r="K2031" s="3">
        <v>42238</v>
      </c>
      <c r="L2031" s="1">
        <v>145</v>
      </c>
      <c r="M2031">
        <v>289</v>
      </c>
      <c r="N2031" s="5">
        <v>41905</v>
      </c>
      <c r="O2031">
        <v>145</v>
      </c>
      <c r="P2031">
        <v>289</v>
      </c>
      <c r="Q2031" s="4">
        <v>41905</v>
      </c>
      <c r="R2031">
        <v>5.8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 s="3">
        <v>42562</v>
      </c>
      <c r="AC2031" t="s">
        <v>53</v>
      </c>
      <c r="AD2031" t="s">
        <v>53</v>
      </c>
      <c r="AK2031">
        <v>5.8</v>
      </c>
      <c r="AU2031" s="3">
        <v>42527</v>
      </c>
      <c r="AV2031" s="3">
        <v>42527</v>
      </c>
      <c r="AW2031" t="s">
        <v>54</v>
      </c>
      <c r="AX2031" t="str">
        <f t="shared" si="265"/>
        <v>FOR</v>
      </c>
      <c r="AY2031" t="s">
        <v>55</v>
      </c>
    </row>
    <row r="2032" spans="1:51">
      <c r="A2032">
        <v>101934</v>
      </c>
      <c r="B2032" t="s">
        <v>303</v>
      </c>
      <c r="C2032" t="str">
        <f t="shared" si="266"/>
        <v>06175550638</v>
      </c>
      <c r="D2032" t="str">
        <f t="shared" si="266"/>
        <v>06175550638</v>
      </c>
      <c r="E2032" t="s">
        <v>52</v>
      </c>
      <c r="F2032">
        <v>2015</v>
      </c>
      <c r="G2032" t="str">
        <f>"              253/PA"</f>
        <v xml:space="preserve">              253/PA</v>
      </c>
      <c r="H2032" s="3">
        <v>42179</v>
      </c>
      <c r="I2032" s="3">
        <v>42186</v>
      </c>
      <c r="J2032" s="3">
        <v>42182</v>
      </c>
      <c r="K2032" s="3">
        <v>42242</v>
      </c>
      <c r="L2032" s="1">
        <v>145</v>
      </c>
      <c r="M2032">
        <v>285</v>
      </c>
      <c r="N2032" s="5">
        <v>41325</v>
      </c>
      <c r="O2032">
        <v>145</v>
      </c>
      <c r="P2032">
        <v>285</v>
      </c>
      <c r="Q2032" s="4">
        <v>41325</v>
      </c>
      <c r="R2032">
        <v>5.8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 s="3">
        <v>42562</v>
      </c>
      <c r="AC2032" t="s">
        <v>53</v>
      </c>
      <c r="AD2032" t="s">
        <v>53</v>
      </c>
      <c r="AK2032">
        <v>5.8</v>
      </c>
      <c r="AU2032" s="3">
        <v>42527</v>
      </c>
      <c r="AV2032" s="3">
        <v>42527</v>
      </c>
      <c r="AW2032" t="s">
        <v>54</v>
      </c>
      <c r="AX2032" t="str">
        <f t="shared" si="265"/>
        <v>FOR</v>
      </c>
      <c r="AY2032" t="s">
        <v>55</v>
      </c>
    </row>
    <row r="2033" spans="1:51">
      <c r="A2033">
        <v>101934</v>
      </c>
      <c r="B2033" t="s">
        <v>303</v>
      </c>
      <c r="C2033" t="str">
        <f t="shared" si="266"/>
        <v>06175550638</v>
      </c>
      <c r="D2033" t="str">
        <f t="shared" si="266"/>
        <v>06175550638</v>
      </c>
      <c r="E2033" t="s">
        <v>52</v>
      </c>
      <c r="F2033">
        <v>2015</v>
      </c>
      <c r="G2033" t="str">
        <f>"              254/PA"</f>
        <v xml:space="preserve">              254/PA</v>
      </c>
      <c r="H2033" s="3">
        <v>42179</v>
      </c>
      <c r="I2033" s="3">
        <v>42186</v>
      </c>
      <c r="J2033" s="3">
        <v>42182</v>
      </c>
      <c r="K2033" s="3">
        <v>42242</v>
      </c>
      <c r="L2033" s="1">
        <v>145</v>
      </c>
      <c r="M2033">
        <v>285</v>
      </c>
      <c r="N2033" s="5">
        <v>41325</v>
      </c>
      <c r="O2033">
        <v>145</v>
      </c>
      <c r="P2033">
        <v>285</v>
      </c>
      <c r="Q2033" s="4">
        <v>41325</v>
      </c>
      <c r="R2033">
        <v>5.8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 s="3">
        <v>42562</v>
      </c>
      <c r="AC2033" t="s">
        <v>53</v>
      </c>
      <c r="AD2033" t="s">
        <v>53</v>
      </c>
      <c r="AK2033">
        <v>5.8</v>
      </c>
      <c r="AU2033" s="3">
        <v>42527</v>
      </c>
      <c r="AV2033" s="3">
        <v>42527</v>
      </c>
      <c r="AW2033" t="s">
        <v>54</v>
      </c>
      <c r="AX2033" t="str">
        <f t="shared" si="265"/>
        <v>FOR</v>
      </c>
      <c r="AY2033" t="s">
        <v>55</v>
      </c>
    </row>
    <row r="2034" spans="1:51">
      <c r="A2034">
        <v>101934</v>
      </c>
      <c r="B2034" t="s">
        <v>303</v>
      </c>
      <c r="C2034" t="str">
        <f t="shared" si="266"/>
        <v>06175550638</v>
      </c>
      <c r="D2034" t="str">
        <f t="shared" si="266"/>
        <v>06175550638</v>
      </c>
      <c r="E2034" t="s">
        <v>52</v>
      </c>
      <c r="F2034">
        <v>2015</v>
      </c>
      <c r="G2034" t="str">
        <f>"              255/PA"</f>
        <v xml:space="preserve">              255/PA</v>
      </c>
      <c r="H2034" s="3">
        <v>42179</v>
      </c>
      <c r="I2034" s="3">
        <v>42186</v>
      </c>
      <c r="J2034" s="3">
        <v>42182</v>
      </c>
      <c r="K2034" s="3">
        <v>42242</v>
      </c>
      <c r="L2034" s="1">
        <v>145</v>
      </c>
      <c r="M2034">
        <v>285</v>
      </c>
      <c r="N2034" s="5">
        <v>41325</v>
      </c>
      <c r="O2034">
        <v>145</v>
      </c>
      <c r="P2034">
        <v>285</v>
      </c>
      <c r="Q2034" s="4">
        <v>41325</v>
      </c>
      <c r="R2034">
        <v>5.8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 s="3">
        <v>42562</v>
      </c>
      <c r="AC2034" t="s">
        <v>53</v>
      </c>
      <c r="AD2034" t="s">
        <v>53</v>
      </c>
      <c r="AK2034">
        <v>5.8</v>
      </c>
      <c r="AU2034" s="3">
        <v>42527</v>
      </c>
      <c r="AV2034" s="3">
        <v>42527</v>
      </c>
      <c r="AW2034" t="s">
        <v>54</v>
      </c>
      <c r="AX2034" t="str">
        <f t="shared" si="265"/>
        <v>FOR</v>
      </c>
      <c r="AY2034" t="s">
        <v>55</v>
      </c>
    </row>
    <row r="2035" spans="1:51">
      <c r="A2035">
        <v>101934</v>
      </c>
      <c r="B2035" t="s">
        <v>303</v>
      </c>
      <c r="C2035" t="str">
        <f t="shared" si="266"/>
        <v>06175550638</v>
      </c>
      <c r="D2035" t="str">
        <f t="shared" si="266"/>
        <v>06175550638</v>
      </c>
      <c r="E2035" t="s">
        <v>52</v>
      </c>
      <c r="F2035">
        <v>2015</v>
      </c>
      <c r="G2035" t="str">
        <f>"              272/PA"</f>
        <v xml:space="preserve">              272/PA</v>
      </c>
      <c r="H2035" s="3">
        <v>42181</v>
      </c>
      <c r="I2035" s="3">
        <v>42187</v>
      </c>
      <c r="J2035" s="3">
        <v>42184</v>
      </c>
      <c r="K2035" s="3">
        <v>42244</v>
      </c>
      <c r="L2035" s="1">
        <v>145</v>
      </c>
      <c r="M2035">
        <v>283</v>
      </c>
      <c r="N2035" s="5">
        <v>41035</v>
      </c>
      <c r="O2035">
        <v>145</v>
      </c>
      <c r="P2035">
        <v>283</v>
      </c>
      <c r="Q2035" s="4">
        <v>41035</v>
      </c>
      <c r="R2035">
        <v>5.8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 s="3">
        <v>42562</v>
      </c>
      <c r="AC2035" t="s">
        <v>53</v>
      </c>
      <c r="AD2035" t="s">
        <v>53</v>
      </c>
      <c r="AK2035">
        <v>5.8</v>
      </c>
      <c r="AU2035" s="3">
        <v>42527</v>
      </c>
      <c r="AV2035" s="3">
        <v>42527</v>
      </c>
      <c r="AW2035" t="s">
        <v>54</v>
      </c>
      <c r="AX2035" t="str">
        <f t="shared" si="265"/>
        <v>FOR</v>
      </c>
      <c r="AY2035" t="s">
        <v>55</v>
      </c>
    </row>
    <row r="2036" spans="1:51">
      <c r="A2036">
        <v>101934</v>
      </c>
      <c r="B2036" t="s">
        <v>303</v>
      </c>
      <c r="C2036" t="str">
        <f t="shared" si="266"/>
        <v>06175550638</v>
      </c>
      <c r="D2036" t="str">
        <f t="shared" si="266"/>
        <v>06175550638</v>
      </c>
      <c r="E2036" t="s">
        <v>52</v>
      </c>
      <c r="F2036">
        <v>2015</v>
      </c>
      <c r="G2036" t="str">
        <f>"              287/PA"</f>
        <v xml:space="preserve">              287/PA</v>
      </c>
      <c r="H2036" s="3">
        <v>42185</v>
      </c>
      <c r="I2036" s="3">
        <v>42191</v>
      </c>
      <c r="J2036" s="3">
        <v>42190</v>
      </c>
      <c r="K2036" s="3">
        <v>42250</v>
      </c>
      <c r="L2036" s="1">
        <v>145</v>
      </c>
      <c r="M2036">
        <v>277</v>
      </c>
      <c r="N2036" s="5">
        <v>40165</v>
      </c>
      <c r="O2036">
        <v>145</v>
      </c>
      <c r="P2036">
        <v>277</v>
      </c>
      <c r="Q2036" s="4">
        <v>40165</v>
      </c>
      <c r="R2036">
        <v>5.8</v>
      </c>
      <c r="V2036">
        <v>0</v>
      </c>
      <c r="W2036">
        <v>0</v>
      </c>
      <c r="X2036">
        <v>0</v>
      </c>
      <c r="Y2036">
        <v>0</v>
      </c>
      <c r="Z2036">
        <v>0</v>
      </c>
      <c r="AA2036">
        <v>0</v>
      </c>
      <c r="AB2036" s="3">
        <v>42562</v>
      </c>
      <c r="AC2036" t="s">
        <v>53</v>
      </c>
      <c r="AD2036" t="s">
        <v>53</v>
      </c>
      <c r="AK2036">
        <v>5.8</v>
      </c>
      <c r="AU2036" s="3">
        <v>42527</v>
      </c>
      <c r="AV2036" s="3">
        <v>42527</v>
      </c>
      <c r="AW2036" t="s">
        <v>54</v>
      </c>
      <c r="AX2036" t="str">
        <f t="shared" si="265"/>
        <v>FOR</v>
      </c>
      <c r="AY2036" t="s">
        <v>55</v>
      </c>
    </row>
    <row r="2037" spans="1:51">
      <c r="A2037">
        <v>101934</v>
      </c>
      <c r="B2037" t="s">
        <v>303</v>
      </c>
      <c r="C2037" t="str">
        <f t="shared" si="266"/>
        <v>06175550638</v>
      </c>
      <c r="D2037" t="str">
        <f t="shared" si="266"/>
        <v>06175550638</v>
      </c>
      <c r="E2037" t="s">
        <v>52</v>
      </c>
      <c r="F2037">
        <v>2015</v>
      </c>
      <c r="G2037" t="str">
        <f>"              288/PA"</f>
        <v xml:space="preserve">              288/PA</v>
      </c>
      <c r="H2037" s="3">
        <v>42185</v>
      </c>
      <c r="I2037" s="3">
        <v>42191</v>
      </c>
      <c r="J2037" s="3">
        <v>42188</v>
      </c>
      <c r="K2037" s="3">
        <v>42248</v>
      </c>
      <c r="L2037" s="1">
        <v>145</v>
      </c>
      <c r="M2037">
        <v>279</v>
      </c>
      <c r="N2037" s="5">
        <v>40455</v>
      </c>
      <c r="O2037">
        <v>145</v>
      </c>
      <c r="P2037">
        <v>279</v>
      </c>
      <c r="Q2037" s="4">
        <v>40455</v>
      </c>
      <c r="R2037">
        <v>5.8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 s="3">
        <v>42562</v>
      </c>
      <c r="AC2037" t="s">
        <v>53</v>
      </c>
      <c r="AD2037" t="s">
        <v>53</v>
      </c>
      <c r="AK2037">
        <v>5.8</v>
      </c>
      <c r="AU2037" s="3">
        <v>42527</v>
      </c>
      <c r="AV2037" s="3">
        <v>42527</v>
      </c>
      <c r="AW2037" t="s">
        <v>54</v>
      </c>
      <c r="AX2037" t="str">
        <f t="shared" si="265"/>
        <v>FOR</v>
      </c>
      <c r="AY2037" t="s">
        <v>55</v>
      </c>
    </row>
    <row r="2038" spans="1:51">
      <c r="A2038">
        <v>101934</v>
      </c>
      <c r="B2038" t="s">
        <v>303</v>
      </c>
      <c r="C2038" t="str">
        <f t="shared" si="266"/>
        <v>06175550638</v>
      </c>
      <c r="D2038" t="str">
        <f t="shared" si="266"/>
        <v>06175550638</v>
      </c>
      <c r="E2038" t="s">
        <v>52</v>
      </c>
      <c r="F2038">
        <v>2015</v>
      </c>
      <c r="G2038" t="str">
        <f>"              289/PA"</f>
        <v xml:space="preserve">              289/PA</v>
      </c>
      <c r="H2038" s="3">
        <v>42185</v>
      </c>
      <c r="I2038" s="3">
        <v>42191</v>
      </c>
      <c r="J2038" s="3">
        <v>42188</v>
      </c>
      <c r="K2038" s="3">
        <v>42248</v>
      </c>
      <c r="L2038" s="1">
        <v>145</v>
      </c>
      <c r="M2038">
        <v>279</v>
      </c>
      <c r="N2038" s="5">
        <v>40455</v>
      </c>
      <c r="O2038">
        <v>145</v>
      </c>
      <c r="P2038">
        <v>279</v>
      </c>
      <c r="Q2038" s="4">
        <v>40455</v>
      </c>
      <c r="R2038">
        <v>5.8</v>
      </c>
      <c r="V2038">
        <v>0</v>
      </c>
      <c r="W2038">
        <v>0</v>
      </c>
      <c r="X2038">
        <v>0</v>
      </c>
      <c r="Y2038">
        <v>0</v>
      </c>
      <c r="Z2038">
        <v>0</v>
      </c>
      <c r="AA2038">
        <v>0</v>
      </c>
      <c r="AB2038" s="3">
        <v>42562</v>
      </c>
      <c r="AC2038" t="s">
        <v>53</v>
      </c>
      <c r="AD2038" t="s">
        <v>53</v>
      </c>
      <c r="AK2038">
        <v>5.8</v>
      </c>
      <c r="AU2038" s="3">
        <v>42527</v>
      </c>
      <c r="AV2038" s="3">
        <v>42527</v>
      </c>
      <c r="AW2038" t="s">
        <v>54</v>
      </c>
      <c r="AX2038" t="str">
        <f t="shared" si="265"/>
        <v>FOR</v>
      </c>
      <c r="AY2038" t="s">
        <v>55</v>
      </c>
    </row>
    <row r="2039" spans="1:51">
      <c r="A2039">
        <v>101934</v>
      </c>
      <c r="B2039" t="s">
        <v>303</v>
      </c>
      <c r="C2039" t="str">
        <f t="shared" si="266"/>
        <v>06175550638</v>
      </c>
      <c r="D2039" t="str">
        <f t="shared" si="266"/>
        <v>06175550638</v>
      </c>
      <c r="E2039" t="s">
        <v>52</v>
      </c>
      <c r="F2039">
        <v>2015</v>
      </c>
      <c r="G2039" t="str">
        <f>"              290/PA"</f>
        <v xml:space="preserve">              290/PA</v>
      </c>
      <c r="H2039" s="3">
        <v>42185</v>
      </c>
      <c r="I2039" s="3">
        <v>42191</v>
      </c>
      <c r="J2039" s="3">
        <v>42190</v>
      </c>
      <c r="K2039" s="3">
        <v>42250</v>
      </c>
      <c r="L2039" s="1">
        <v>145</v>
      </c>
      <c r="M2039">
        <v>277</v>
      </c>
      <c r="N2039" s="5">
        <v>40165</v>
      </c>
      <c r="O2039">
        <v>145</v>
      </c>
      <c r="P2039">
        <v>277</v>
      </c>
      <c r="Q2039" s="4">
        <v>40165</v>
      </c>
      <c r="R2039">
        <v>5.8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 s="3">
        <v>42562</v>
      </c>
      <c r="AC2039" t="s">
        <v>53</v>
      </c>
      <c r="AD2039" t="s">
        <v>53</v>
      </c>
      <c r="AK2039">
        <v>5.8</v>
      </c>
      <c r="AU2039" s="3">
        <v>42527</v>
      </c>
      <c r="AV2039" s="3">
        <v>42527</v>
      </c>
      <c r="AW2039" t="s">
        <v>54</v>
      </c>
      <c r="AX2039" t="str">
        <f t="shared" si="265"/>
        <v>FOR</v>
      </c>
      <c r="AY2039" t="s">
        <v>55</v>
      </c>
    </row>
    <row r="2040" spans="1:51" hidden="1">
      <c r="A2040">
        <v>101935</v>
      </c>
      <c r="B2040" t="s">
        <v>304</v>
      </c>
      <c r="C2040" t="str">
        <f t="shared" ref="C2040:D2045" si="267">"07516911000"</f>
        <v>07516911000</v>
      </c>
      <c r="D2040" t="str">
        <f t="shared" si="267"/>
        <v>07516911000</v>
      </c>
      <c r="E2040" t="s">
        <v>52</v>
      </c>
      <c r="F2040">
        <v>2015</v>
      </c>
      <c r="G2040" t="str">
        <f>"          900017080D"</f>
        <v xml:space="preserve">          900017080D</v>
      </c>
      <c r="H2040" s="3">
        <v>42361</v>
      </c>
      <c r="I2040" s="3">
        <v>42369</v>
      </c>
      <c r="J2040" s="3">
        <v>42363</v>
      </c>
      <c r="K2040" s="3">
        <v>42423</v>
      </c>
      <c r="L2040"/>
      <c r="N2040"/>
      <c r="O2040">
        <v>71.150000000000006</v>
      </c>
      <c r="P2040">
        <v>-21</v>
      </c>
      <c r="Q2040" s="4">
        <v>-1494.15</v>
      </c>
      <c r="R2040">
        <v>0</v>
      </c>
      <c r="V2040">
        <v>0</v>
      </c>
      <c r="W2040">
        <v>0</v>
      </c>
      <c r="X2040">
        <v>0</v>
      </c>
      <c r="Y2040">
        <v>0</v>
      </c>
      <c r="Z2040">
        <v>0</v>
      </c>
      <c r="AA2040">
        <v>0</v>
      </c>
      <c r="AB2040" s="3">
        <v>42562</v>
      </c>
      <c r="AC2040" t="s">
        <v>53</v>
      </c>
      <c r="AD2040" t="s">
        <v>53</v>
      </c>
      <c r="AK2040">
        <v>0</v>
      </c>
      <c r="AU2040" s="3">
        <v>42402</v>
      </c>
      <c r="AV2040" s="3">
        <v>42402</v>
      </c>
      <c r="AW2040" t="s">
        <v>54</v>
      </c>
      <c r="AX2040" t="str">
        <f t="shared" si="265"/>
        <v>FOR</v>
      </c>
      <c r="AY2040" t="s">
        <v>55</v>
      </c>
    </row>
    <row r="2041" spans="1:51" hidden="1">
      <c r="A2041">
        <v>101935</v>
      </c>
      <c r="B2041" t="s">
        <v>304</v>
      </c>
      <c r="C2041" t="str">
        <f t="shared" si="267"/>
        <v>07516911000</v>
      </c>
      <c r="D2041" t="str">
        <f t="shared" si="267"/>
        <v>07516911000</v>
      </c>
      <c r="E2041" t="s">
        <v>52</v>
      </c>
      <c r="F2041">
        <v>2016</v>
      </c>
      <c r="G2041" t="str">
        <f>"          900000556D"</f>
        <v xml:space="preserve">          900000556D</v>
      </c>
      <c r="H2041" s="3">
        <v>42392</v>
      </c>
      <c r="I2041" s="3">
        <v>42395</v>
      </c>
      <c r="J2041" s="3">
        <v>42395</v>
      </c>
      <c r="K2041" s="3">
        <v>42455</v>
      </c>
      <c r="L2041"/>
      <c r="N2041"/>
      <c r="O2041">
        <v>48.61</v>
      </c>
      <c r="P2041">
        <v>-53</v>
      </c>
      <c r="Q2041" s="4">
        <v>-2576.33</v>
      </c>
      <c r="R2041">
        <v>0</v>
      </c>
      <c r="V2041">
        <v>0</v>
      </c>
      <c r="W2041">
        <v>0</v>
      </c>
      <c r="X2041">
        <v>0</v>
      </c>
      <c r="Y2041">
        <v>0</v>
      </c>
      <c r="Z2041">
        <v>59.3</v>
      </c>
      <c r="AA2041">
        <v>59.3</v>
      </c>
      <c r="AB2041" s="3">
        <v>42562</v>
      </c>
      <c r="AC2041" t="s">
        <v>53</v>
      </c>
      <c r="AD2041" t="s">
        <v>53</v>
      </c>
      <c r="AK2041">
        <v>0</v>
      </c>
      <c r="AU2041" s="3">
        <v>42402</v>
      </c>
      <c r="AV2041" s="3">
        <v>42402</v>
      </c>
      <c r="AW2041" t="s">
        <v>54</v>
      </c>
      <c r="AX2041" t="str">
        <f t="shared" si="265"/>
        <v>FOR</v>
      </c>
      <c r="AY2041" t="s">
        <v>55</v>
      </c>
    </row>
    <row r="2042" spans="1:51" hidden="1">
      <c r="A2042">
        <v>101935</v>
      </c>
      <c r="B2042" t="s">
        <v>304</v>
      </c>
      <c r="C2042" t="str">
        <f t="shared" si="267"/>
        <v>07516911000</v>
      </c>
      <c r="D2042" t="str">
        <f t="shared" si="267"/>
        <v>07516911000</v>
      </c>
      <c r="E2042" t="s">
        <v>52</v>
      </c>
      <c r="F2042">
        <v>2016</v>
      </c>
      <c r="G2042" t="str">
        <f>"          900002861D"</f>
        <v xml:space="preserve">          900002861D</v>
      </c>
      <c r="H2042" s="3">
        <v>42423</v>
      </c>
      <c r="I2042" s="3">
        <v>42426</v>
      </c>
      <c r="J2042" s="3">
        <v>42425</v>
      </c>
      <c r="K2042" s="3">
        <v>42485</v>
      </c>
      <c r="L2042"/>
      <c r="N2042"/>
      <c r="O2042">
        <v>77.87</v>
      </c>
      <c r="P2042">
        <v>-33</v>
      </c>
      <c r="Q2042" s="4">
        <v>-2569.71</v>
      </c>
      <c r="R2042">
        <v>0</v>
      </c>
      <c r="V2042">
        <v>0</v>
      </c>
      <c r="W2042">
        <v>0</v>
      </c>
      <c r="X2042">
        <v>0</v>
      </c>
      <c r="Y2042">
        <v>95</v>
      </c>
      <c r="Z2042">
        <v>95</v>
      </c>
      <c r="AA2042">
        <v>95</v>
      </c>
      <c r="AB2042" s="3">
        <v>42562</v>
      </c>
      <c r="AC2042" t="s">
        <v>53</v>
      </c>
      <c r="AD2042" t="s">
        <v>53</v>
      </c>
      <c r="AK2042">
        <v>0</v>
      </c>
      <c r="AU2042" s="3">
        <v>42452</v>
      </c>
      <c r="AV2042" s="3">
        <v>42452</v>
      </c>
      <c r="AW2042" t="s">
        <v>54</v>
      </c>
      <c r="AX2042" t="str">
        <f t="shared" si="265"/>
        <v>FOR</v>
      </c>
      <c r="AY2042" t="s">
        <v>55</v>
      </c>
    </row>
    <row r="2043" spans="1:51">
      <c r="A2043">
        <v>101935</v>
      </c>
      <c r="B2043" t="s">
        <v>304</v>
      </c>
      <c r="C2043" t="str">
        <f t="shared" si="267"/>
        <v>07516911000</v>
      </c>
      <c r="D2043" t="str">
        <f t="shared" si="267"/>
        <v>07516911000</v>
      </c>
      <c r="E2043" t="s">
        <v>52</v>
      </c>
      <c r="F2043">
        <v>2016</v>
      </c>
      <c r="G2043" t="str">
        <f>"          900005230D"</f>
        <v xml:space="preserve">          900005230D</v>
      </c>
      <c r="H2043" s="3">
        <v>42452</v>
      </c>
      <c r="I2043" s="3">
        <v>42461</v>
      </c>
      <c r="J2043" s="3">
        <v>42454</v>
      </c>
      <c r="K2043" s="3">
        <v>42514</v>
      </c>
      <c r="L2043" s="1">
        <v>42.46</v>
      </c>
      <c r="M2043">
        <v>-22</v>
      </c>
      <c r="N2043" s="1">
        <v>-934.12</v>
      </c>
      <c r="O2043">
        <v>42.46</v>
      </c>
      <c r="P2043">
        <v>-22</v>
      </c>
      <c r="Q2043">
        <v>-934.12</v>
      </c>
      <c r="R2043">
        <v>0</v>
      </c>
      <c r="V2043">
        <v>0</v>
      </c>
      <c r="W2043">
        <v>51.8</v>
      </c>
      <c r="X2043">
        <v>0</v>
      </c>
      <c r="Y2043">
        <v>51.8</v>
      </c>
      <c r="Z2043">
        <v>51.8</v>
      </c>
      <c r="AA2043">
        <v>51.8</v>
      </c>
      <c r="AB2043" s="3">
        <v>42562</v>
      </c>
      <c r="AC2043" t="s">
        <v>53</v>
      </c>
      <c r="AD2043" t="s">
        <v>53</v>
      </c>
      <c r="AK2043">
        <v>0</v>
      </c>
      <c r="AU2043" s="3">
        <v>42492</v>
      </c>
      <c r="AV2043" s="3">
        <v>42492</v>
      </c>
      <c r="AW2043" t="s">
        <v>54</v>
      </c>
      <c r="AX2043" t="str">
        <f t="shared" si="265"/>
        <v>FOR</v>
      </c>
      <c r="AY2043" t="s">
        <v>55</v>
      </c>
    </row>
    <row r="2044" spans="1:51">
      <c r="A2044">
        <v>101935</v>
      </c>
      <c r="B2044" t="s">
        <v>304</v>
      </c>
      <c r="C2044" t="str">
        <f t="shared" si="267"/>
        <v>07516911000</v>
      </c>
      <c r="D2044" t="str">
        <f t="shared" si="267"/>
        <v>07516911000</v>
      </c>
      <c r="E2044" t="s">
        <v>52</v>
      </c>
      <c r="F2044">
        <v>2016</v>
      </c>
      <c r="G2044" t="str">
        <f>"          900007629D"</f>
        <v xml:space="preserve">          900007629D</v>
      </c>
      <c r="H2044" s="3">
        <v>42483</v>
      </c>
      <c r="I2044" s="3">
        <v>42487</v>
      </c>
      <c r="J2044" s="3">
        <v>42487</v>
      </c>
      <c r="K2044" s="3">
        <v>42547</v>
      </c>
      <c r="L2044" s="1">
        <v>62.58</v>
      </c>
      <c r="M2044">
        <v>-55</v>
      </c>
      <c r="N2044" s="5">
        <v>-3441.9</v>
      </c>
      <c r="O2044">
        <v>62.58</v>
      </c>
      <c r="P2044">
        <v>-55</v>
      </c>
      <c r="Q2044" s="4">
        <v>-3441.9</v>
      </c>
      <c r="R2044">
        <v>0</v>
      </c>
      <c r="V2044">
        <v>76.349999999999994</v>
      </c>
      <c r="W2044">
        <v>76.349999999999994</v>
      </c>
      <c r="X2044">
        <v>76.349999999999994</v>
      </c>
      <c r="Y2044">
        <v>76.349999999999994</v>
      </c>
      <c r="Z2044">
        <v>76.349999999999994</v>
      </c>
      <c r="AA2044">
        <v>76.349999999999994</v>
      </c>
      <c r="AB2044" s="3">
        <v>42562</v>
      </c>
      <c r="AC2044" t="s">
        <v>53</v>
      </c>
      <c r="AD2044" t="s">
        <v>53</v>
      </c>
      <c r="AK2044">
        <v>0</v>
      </c>
      <c r="AU2044" s="3">
        <v>42492</v>
      </c>
      <c r="AV2044" s="3">
        <v>42492</v>
      </c>
      <c r="AW2044" t="s">
        <v>54</v>
      </c>
      <c r="AX2044" t="str">
        <f t="shared" si="265"/>
        <v>FOR</v>
      </c>
      <c r="AY2044" t="s">
        <v>55</v>
      </c>
    </row>
    <row r="2045" spans="1:51">
      <c r="A2045">
        <v>101935</v>
      </c>
      <c r="B2045" t="s">
        <v>304</v>
      </c>
      <c r="C2045" t="str">
        <f t="shared" si="267"/>
        <v>07516911000</v>
      </c>
      <c r="D2045" t="str">
        <f t="shared" si="267"/>
        <v>07516911000</v>
      </c>
      <c r="E2045" t="s">
        <v>52</v>
      </c>
      <c r="F2045">
        <v>2016</v>
      </c>
      <c r="G2045" t="str">
        <f>"          900010019D"</f>
        <v xml:space="preserve">          900010019D</v>
      </c>
      <c r="H2045" s="3">
        <v>42513</v>
      </c>
      <c r="I2045" s="3">
        <v>42513</v>
      </c>
      <c r="J2045" s="3">
        <v>42513</v>
      </c>
      <c r="K2045" s="3">
        <v>42573</v>
      </c>
      <c r="L2045" s="1">
        <v>98.4</v>
      </c>
      <c r="M2045">
        <v>-53</v>
      </c>
      <c r="N2045" s="5">
        <v>-5215.2</v>
      </c>
      <c r="O2045">
        <v>98.4</v>
      </c>
      <c r="P2045">
        <v>-53</v>
      </c>
      <c r="Q2045" s="4">
        <v>-5215.2</v>
      </c>
      <c r="R2045">
        <v>0</v>
      </c>
      <c r="V2045">
        <v>120.05</v>
      </c>
      <c r="W2045">
        <v>120.05</v>
      </c>
      <c r="X2045">
        <v>120.05</v>
      </c>
      <c r="Y2045">
        <v>120.05</v>
      </c>
      <c r="Z2045">
        <v>120.05</v>
      </c>
      <c r="AA2045">
        <v>120.05</v>
      </c>
      <c r="AB2045" s="3">
        <v>42562</v>
      </c>
      <c r="AC2045" t="s">
        <v>53</v>
      </c>
      <c r="AD2045" t="s">
        <v>53</v>
      </c>
      <c r="AK2045">
        <v>0</v>
      </c>
      <c r="AU2045" s="3">
        <v>42520</v>
      </c>
      <c r="AV2045" s="3">
        <v>42520</v>
      </c>
      <c r="AW2045" t="s">
        <v>54</v>
      </c>
      <c r="AX2045" t="str">
        <f t="shared" si="265"/>
        <v>FOR</v>
      </c>
      <c r="AY2045" t="s">
        <v>55</v>
      </c>
    </row>
    <row r="2046" spans="1:51" hidden="1">
      <c r="A2046">
        <v>102084</v>
      </c>
      <c r="B2046" t="s">
        <v>305</v>
      </c>
      <c r="C2046" t="str">
        <f t="shared" ref="C2046:D2048" si="268">"01897730659"</f>
        <v>01897730659</v>
      </c>
      <c r="D2046" t="str">
        <f t="shared" si="268"/>
        <v>01897730659</v>
      </c>
      <c r="E2046" t="s">
        <v>52</v>
      </c>
      <c r="F2046">
        <v>2015</v>
      </c>
      <c r="G2046" t="str">
        <f>"        2015   143/b"</f>
        <v xml:space="preserve">        2015   143/b</v>
      </c>
      <c r="H2046" s="3">
        <v>42124</v>
      </c>
      <c r="I2046" s="3">
        <v>42165</v>
      </c>
      <c r="J2046" s="3">
        <v>42139</v>
      </c>
      <c r="K2046" s="3">
        <v>42199</v>
      </c>
      <c r="L2046"/>
      <c r="N2046"/>
      <c r="O2046" s="4">
        <v>3765.3</v>
      </c>
      <c r="P2046">
        <v>217</v>
      </c>
      <c r="Q2046" s="4">
        <v>817070.1</v>
      </c>
      <c r="R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 s="3">
        <v>42562</v>
      </c>
      <c r="AC2046" t="s">
        <v>53</v>
      </c>
      <c r="AD2046" t="s">
        <v>53</v>
      </c>
      <c r="AK2046">
        <v>0</v>
      </c>
      <c r="AU2046" s="3">
        <v>42416</v>
      </c>
      <c r="AV2046" s="3">
        <v>42416</v>
      </c>
      <c r="AW2046" t="s">
        <v>54</v>
      </c>
      <c r="AX2046" t="str">
        <f t="shared" si="265"/>
        <v>FOR</v>
      </c>
      <c r="AY2046" t="s">
        <v>55</v>
      </c>
    </row>
    <row r="2047" spans="1:51" hidden="1">
      <c r="A2047">
        <v>102084</v>
      </c>
      <c r="B2047" t="s">
        <v>305</v>
      </c>
      <c r="C2047" t="str">
        <f t="shared" si="268"/>
        <v>01897730659</v>
      </c>
      <c r="D2047" t="str">
        <f t="shared" si="268"/>
        <v>01897730659</v>
      </c>
      <c r="E2047" t="s">
        <v>52</v>
      </c>
      <c r="F2047">
        <v>2015</v>
      </c>
      <c r="G2047" t="str">
        <f>"        2015   173/b"</f>
        <v xml:space="preserve">        2015   173/b</v>
      </c>
      <c r="H2047" s="3">
        <v>42150</v>
      </c>
      <c r="I2047" s="3">
        <v>42164</v>
      </c>
      <c r="J2047" s="3">
        <v>42159</v>
      </c>
      <c r="K2047" s="3">
        <v>42219</v>
      </c>
      <c r="L2047"/>
      <c r="N2047"/>
      <c r="O2047" s="4">
        <v>1564.48</v>
      </c>
      <c r="P2047">
        <v>212</v>
      </c>
      <c r="Q2047" s="4">
        <v>331669.76000000001</v>
      </c>
      <c r="R2047">
        <v>0</v>
      </c>
      <c r="V2047">
        <v>0</v>
      </c>
      <c r="W2047">
        <v>0</v>
      </c>
      <c r="X2047">
        <v>0</v>
      </c>
      <c r="Y2047">
        <v>0</v>
      </c>
      <c r="Z2047">
        <v>0</v>
      </c>
      <c r="AA2047">
        <v>0</v>
      </c>
      <c r="AB2047" s="3">
        <v>42562</v>
      </c>
      <c r="AC2047" t="s">
        <v>53</v>
      </c>
      <c r="AD2047" t="s">
        <v>53</v>
      </c>
      <c r="AK2047">
        <v>0</v>
      </c>
      <c r="AU2047" s="3">
        <v>42431</v>
      </c>
      <c r="AV2047" s="3">
        <v>42431</v>
      </c>
      <c r="AW2047" t="s">
        <v>54</v>
      </c>
      <c r="AX2047" t="str">
        <f t="shared" si="265"/>
        <v>FOR</v>
      </c>
      <c r="AY2047" t="s">
        <v>55</v>
      </c>
    </row>
    <row r="2048" spans="1:51" hidden="1">
      <c r="A2048">
        <v>102084</v>
      </c>
      <c r="B2048" t="s">
        <v>305</v>
      </c>
      <c r="C2048" t="str">
        <f t="shared" si="268"/>
        <v>01897730659</v>
      </c>
      <c r="D2048" t="str">
        <f t="shared" si="268"/>
        <v>01897730659</v>
      </c>
      <c r="E2048" t="s">
        <v>52</v>
      </c>
      <c r="F2048">
        <v>2015</v>
      </c>
      <c r="G2048" t="str">
        <f>"        2015   253/b"</f>
        <v xml:space="preserve">        2015   253/b</v>
      </c>
      <c r="H2048" s="3">
        <v>42221</v>
      </c>
      <c r="I2048" s="3">
        <v>42228</v>
      </c>
      <c r="J2048" s="3">
        <v>42223</v>
      </c>
      <c r="K2048" s="3">
        <v>42283</v>
      </c>
      <c r="L2048"/>
      <c r="N2048"/>
      <c r="O2048">
        <v>498</v>
      </c>
      <c r="P2048">
        <v>148</v>
      </c>
      <c r="Q2048" s="4">
        <v>73704</v>
      </c>
      <c r="R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 s="3">
        <v>42562</v>
      </c>
      <c r="AC2048" t="s">
        <v>53</v>
      </c>
      <c r="AD2048" t="s">
        <v>53</v>
      </c>
      <c r="AK2048">
        <v>0</v>
      </c>
      <c r="AU2048" s="3">
        <v>42431</v>
      </c>
      <c r="AV2048" s="3">
        <v>42431</v>
      </c>
      <c r="AW2048" t="s">
        <v>54</v>
      </c>
      <c r="AX2048" t="str">
        <f t="shared" si="265"/>
        <v>FOR</v>
      </c>
      <c r="AY2048" t="s">
        <v>55</v>
      </c>
    </row>
    <row r="2049" spans="1:51" hidden="1">
      <c r="A2049">
        <v>102094</v>
      </c>
      <c r="B2049" t="s">
        <v>306</v>
      </c>
      <c r="C2049" t="str">
        <f t="shared" ref="C2049:D2057" si="269">"00784230872"</f>
        <v>00784230872</v>
      </c>
      <c r="D2049" t="str">
        <f t="shared" si="269"/>
        <v>00784230872</v>
      </c>
      <c r="E2049" t="s">
        <v>52</v>
      </c>
      <c r="F2049">
        <v>2015</v>
      </c>
      <c r="G2049" t="str">
        <f>"                 310"</f>
        <v xml:space="preserve">                 310</v>
      </c>
      <c r="H2049" s="3">
        <v>42104</v>
      </c>
      <c r="I2049" s="3">
        <v>42115</v>
      </c>
      <c r="J2049" s="3">
        <v>42110</v>
      </c>
      <c r="K2049" s="3">
        <v>42170</v>
      </c>
      <c r="L2049"/>
      <c r="N2049"/>
      <c r="O2049">
        <v>494</v>
      </c>
      <c r="P2049">
        <v>245</v>
      </c>
      <c r="Q2049" s="4">
        <v>121030</v>
      </c>
      <c r="R2049">
        <v>0</v>
      </c>
      <c r="V2049">
        <v>0</v>
      </c>
      <c r="W2049">
        <v>0</v>
      </c>
      <c r="X2049">
        <v>0</v>
      </c>
      <c r="Y2049">
        <v>0</v>
      </c>
      <c r="Z2049">
        <v>0</v>
      </c>
      <c r="AA2049">
        <v>0</v>
      </c>
      <c r="AB2049" s="3">
        <v>42562</v>
      </c>
      <c r="AC2049" t="s">
        <v>53</v>
      </c>
      <c r="AD2049" t="s">
        <v>53</v>
      </c>
      <c r="AK2049">
        <v>0</v>
      </c>
      <c r="AU2049" s="3">
        <v>42415</v>
      </c>
      <c r="AV2049" s="3">
        <v>42415</v>
      </c>
      <c r="AW2049" t="s">
        <v>54</v>
      </c>
      <c r="AX2049" t="str">
        <f t="shared" si="265"/>
        <v>FOR</v>
      </c>
      <c r="AY2049" t="s">
        <v>55</v>
      </c>
    </row>
    <row r="2050" spans="1:51" hidden="1">
      <c r="A2050">
        <v>102094</v>
      </c>
      <c r="B2050" t="s">
        <v>306</v>
      </c>
      <c r="C2050" t="str">
        <f t="shared" si="269"/>
        <v>00784230872</v>
      </c>
      <c r="D2050" t="str">
        <f t="shared" si="269"/>
        <v>00784230872</v>
      </c>
      <c r="E2050" t="s">
        <v>52</v>
      </c>
      <c r="F2050">
        <v>2015</v>
      </c>
      <c r="G2050" t="str">
        <f>"                 652"</f>
        <v xml:space="preserve">                 652</v>
      </c>
      <c r="H2050" s="3">
        <v>42045</v>
      </c>
      <c r="I2050" s="3">
        <v>42052</v>
      </c>
      <c r="J2050" s="3">
        <v>42052</v>
      </c>
      <c r="K2050" s="3">
        <v>42112</v>
      </c>
      <c r="L2050"/>
      <c r="N2050"/>
      <c r="O2050">
        <v>744</v>
      </c>
      <c r="P2050">
        <v>296</v>
      </c>
      <c r="Q2050" s="4">
        <v>220224</v>
      </c>
      <c r="R2050">
        <v>0</v>
      </c>
      <c r="V2050">
        <v>0</v>
      </c>
      <c r="W2050">
        <v>0</v>
      </c>
      <c r="X2050">
        <v>0</v>
      </c>
      <c r="Y2050">
        <v>0</v>
      </c>
      <c r="Z2050">
        <v>0</v>
      </c>
      <c r="AA2050">
        <v>0</v>
      </c>
      <c r="AB2050" s="3">
        <v>42562</v>
      </c>
      <c r="AC2050" t="s">
        <v>53</v>
      </c>
      <c r="AD2050" t="s">
        <v>53</v>
      </c>
      <c r="AK2050">
        <v>0</v>
      </c>
      <c r="AU2050" s="3">
        <v>42408</v>
      </c>
      <c r="AV2050" s="3">
        <v>42408</v>
      </c>
      <c r="AW2050" t="s">
        <v>54</v>
      </c>
      <c r="AX2050" t="str">
        <f t="shared" si="265"/>
        <v>FOR</v>
      </c>
      <c r="AY2050" t="s">
        <v>55</v>
      </c>
    </row>
    <row r="2051" spans="1:51" hidden="1">
      <c r="A2051">
        <v>102094</v>
      </c>
      <c r="B2051" t="s">
        <v>306</v>
      </c>
      <c r="C2051" t="str">
        <f t="shared" si="269"/>
        <v>00784230872</v>
      </c>
      <c r="D2051" t="str">
        <f t="shared" si="269"/>
        <v>00784230872</v>
      </c>
      <c r="E2051" t="s">
        <v>52</v>
      </c>
      <c r="F2051">
        <v>2015</v>
      </c>
      <c r="G2051" t="str">
        <f>"                1449"</f>
        <v xml:space="preserve">                1449</v>
      </c>
      <c r="H2051" s="3">
        <v>42073</v>
      </c>
      <c r="I2051" s="3">
        <v>42081</v>
      </c>
      <c r="J2051" s="3">
        <v>42081</v>
      </c>
      <c r="K2051" s="3">
        <v>42141</v>
      </c>
      <c r="L2051"/>
      <c r="N2051"/>
      <c r="O2051">
        <v>780</v>
      </c>
      <c r="P2051">
        <v>274</v>
      </c>
      <c r="Q2051" s="4">
        <v>213720</v>
      </c>
      <c r="R2051">
        <v>0</v>
      </c>
      <c r="V2051">
        <v>0</v>
      </c>
      <c r="W2051">
        <v>0</v>
      </c>
      <c r="X2051">
        <v>0</v>
      </c>
      <c r="Y2051">
        <v>0</v>
      </c>
      <c r="Z2051">
        <v>0</v>
      </c>
      <c r="AA2051">
        <v>0</v>
      </c>
      <c r="AB2051" s="3">
        <v>42562</v>
      </c>
      <c r="AC2051" t="s">
        <v>53</v>
      </c>
      <c r="AD2051" t="s">
        <v>53</v>
      </c>
      <c r="AK2051">
        <v>0</v>
      </c>
      <c r="AU2051" s="3">
        <v>42415</v>
      </c>
      <c r="AV2051" s="3">
        <v>42415</v>
      </c>
      <c r="AW2051" t="s">
        <v>54</v>
      </c>
      <c r="AX2051" t="str">
        <f t="shared" si="265"/>
        <v>FOR</v>
      </c>
      <c r="AY2051" t="s">
        <v>55</v>
      </c>
    </row>
    <row r="2052" spans="1:51" hidden="1">
      <c r="A2052">
        <v>102094</v>
      </c>
      <c r="B2052" t="s">
        <v>306</v>
      </c>
      <c r="C2052" t="str">
        <f t="shared" si="269"/>
        <v>00784230872</v>
      </c>
      <c r="D2052" t="str">
        <f t="shared" si="269"/>
        <v>00784230872</v>
      </c>
      <c r="E2052" t="s">
        <v>52</v>
      </c>
      <c r="F2052">
        <v>2015</v>
      </c>
      <c r="G2052" t="str">
        <f>"              1008 E"</f>
        <v xml:space="preserve">              1008 E</v>
      </c>
      <c r="H2052" s="3">
        <v>42132</v>
      </c>
      <c r="I2052" s="3">
        <v>42158</v>
      </c>
      <c r="J2052" s="3">
        <v>42138</v>
      </c>
      <c r="K2052" s="3">
        <v>42198</v>
      </c>
      <c r="L2052"/>
      <c r="N2052"/>
      <c r="O2052">
        <v>744</v>
      </c>
      <c r="P2052">
        <v>254</v>
      </c>
      <c r="Q2052" s="4">
        <v>188976</v>
      </c>
      <c r="R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 s="3">
        <v>42562</v>
      </c>
      <c r="AC2052" t="s">
        <v>53</v>
      </c>
      <c r="AD2052" t="s">
        <v>53</v>
      </c>
      <c r="AK2052">
        <v>0</v>
      </c>
      <c r="AU2052" s="3">
        <v>42452</v>
      </c>
      <c r="AV2052" s="3">
        <v>42452</v>
      </c>
      <c r="AW2052" t="s">
        <v>54</v>
      </c>
      <c r="AX2052" t="str">
        <f t="shared" si="265"/>
        <v>FOR</v>
      </c>
      <c r="AY2052" t="s">
        <v>55</v>
      </c>
    </row>
    <row r="2053" spans="1:51" hidden="1">
      <c r="A2053">
        <v>102094</v>
      </c>
      <c r="B2053" t="s">
        <v>306</v>
      </c>
      <c r="C2053" t="str">
        <f t="shared" si="269"/>
        <v>00784230872</v>
      </c>
      <c r="D2053" t="str">
        <f t="shared" si="269"/>
        <v>00784230872</v>
      </c>
      <c r="E2053" t="s">
        <v>52</v>
      </c>
      <c r="F2053">
        <v>2015</v>
      </c>
      <c r="G2053" t="str">
        <f>"              1221 E"</f>
        <v xml:space="preserve">              1221 E</v>
      </c>
      <c r="H2053" s="3">
        <v>42144</v>
      </c>
      <c r="I2053" s="3">
        <v>42160</v>
      </c>
      <c r="J2053" s="3">
        <v>42151</v>
      </c>
      <c r="K2053" s="3">
        <v>42211</v>
      </c>
      <c r="L2053"/>
      <c r="N2053"/>
      <c r="O2053">
        <v>780</v>
      </c>
      <c r="P2053">
        <v>241</v>
      </c>
      <c r="Q2053" s="4">
        <v>187980</v>
      </c>
      <c r="R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 s="3">
        <v>42562</v>
      </c>
      <c r="AC2053" t="s">
        <v>53</v>
      </c>
      <c r="AD2053" t="s">
        <v>53</v>
      </c>
      <c r="AK2053">
        <v>0</v>
      </c>
      <c r="AU2053" s="3">
        <v>42452</v>
      </c>
      <c r="AV2053" s="3">
        <v>42452</v>
      </c>
      <c r="AW2053" t="s">
        <v>54</v>
      </c>
      <c r="AX2053" t="str">
        <f t="shared" si="265"/>
        <v>FOR</v>
      </c>
      <c r="AY2053" t="s">
        <v>55</v>
      </c>
    </row>
    <row r="2054" spans="1:51">
      <c r="A2054">
        <v>102094</v>
      </c>
      <c r="B2054" t="s">
        <v>306</v>
      </c>
      <c r="C2054" t="str">
        <f t="shared" si="269"/>
        <v>00784230872</v>
      </c>
      <c r="D2054" t="str">
        <f t="shared" si="269"/>
        <v>00784230872</v>
      </c>
      <c r="E2054" t="s">
        <v>52</v>
      </c>
      <c r="F2054">
        <v>2015</v>
      </c>
      <c r="G2054" t="str">
        <f>"              1813 E"</f>
        <v xml:space="preserve">              1813 E</v>
      </c>
      <c r="H2054" s="3">
        <v>42165</v>
      </c>
      <c r="I2054" s="3">
        <v>42172</v>
      </c>
      <c r="J2054" s="3">
        <v>42171</v>
      </c>
      <c r="K2054" s="3">
        <v>42231</v>
      </c>
      <c r="L2054" s="1">
        <v>297.60000000000002</v>
      </c>
      <c r="M2054">
        <v>289</v>
      </c>
      <c r="N2054" s="5">
        <v>86006.399999999994</v>
      </c>
      <c r="O2054">
        <v>297.60000000000002</v>
      </c>
      <c r="P2054">
        <v>289</v>
      </c>
      <c r="Q2054" s="4">
        <v>86006.399999999994</v>
      </c>
      <c r="R2054">
        <v>0</v>
      </c>
      <c r="V2054">
        <v>0</v>
      </c>
      <c r="W2054">
        <v>0</v>
      </c>
      <c r="X2054">
        <v>0</v>
      </c>
      <c r="Y2054">
        <v>0</v>
      </c>
      <c r="Z2054">
        <v>0</v>
      </c>
      <c r="AA2054">
        <v>0</v>
      </c>
      <c r="AB2054" s="3">
        <v>42562</v>
      </c>
      <c r="AC2054" t="s">
        <v>53</v>
      </c>
      <c r="AD2054" t="s">
        <v>53</v>
      </c>
      <c r="AK2054">
        <v>0</v>
      </c>
      <c r="AU2054" s="3">
        <v>42520</v>
      </c>
      <c r="AV2054" s="3">
        <v>42520</v>
      </c>
      <c r="AW2054" t="s">
        <v>54</v>
      </c>
      <c r="AX2054" t="str">
        <f t="shared" si="265"/>
        <v>FOR</v>
      </c>
      <c r="AY2054" t="s">
        <v>55</v>
      </c>
    </row>
    <row r="2055" spans="1:51">
      <c r="A2055">
        <v>102094</v>
      </c>
      <c r="B2055" t="s">
        <v>306</v>
      </c>
      <c r="C2055" t="str">
        <f t="shared" si="269"/>
        <v>00784230872</v>
      </c>
      <c r="D2055" t="str">
        <f t="shared" si="269"/>
        <v>00784230872</v>
      </c>
      <c r="E2055" t="s">
        <v>52</v>
      </c>
      <c r="F2055">
        <v>2015</v>
      </c>
      <c r="G2055" t="str">
        <f>"              2621 E"</f>
        <v xml:space="preserve">              2621 E</v>
      </c>
      <c r="H2055" s="3">
        <v>42195</v>
      </c>
      <c r="I2055" s="3">
        <v>42202</v>
      </c>
      <c r="J2055" s="3">
        <v>42200</v>
      </c>
      <c r="K2055" s="3">
        <v>42260</v>
      </c>
      <c r="L2055" s="5">
        <v>1116</v>
      </c>
      <c r="M2055">
        <v>260</v>
      </c>
      <c r="N2055" s="5">
        <v>290160</v>
      </c>
      <c r="O2055" s="4">
        <v>1116</v>
      </c>
      <c r="P2055">
        <v>260</v>
      </c>
      <c r="Q2055" s="4">
        <v>290160</v>
      </c>
      <c r="R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 s="3">
        <v>42562</v>
      </c>
      <c r="AC2055" t="s">
        <v>53</v>
      </c>
      <c r="AD2055" t="s">
        <v>53</v>
      </c>
      <c r="AK2055">
        <v>0</v>
      </c>
      <c r="AU2055" s="3">
        <v>42520</v>
      </c>
      <c r="AV2055" s="3">
        <v>42520</v>
      </c>
      <c r="AW2055" t="s">
        <v>54</v>
      </c>
      <c r="AX2055" t="str">
        <f t="shared" si="265"/>
        <v>FOR</v>
      </c>
      <c r="AY2055" t="s">
        <v>55</v>
      </c>
    </row>
    <row r="2056" spans="1:51">
      <c r="A2056">
        <v>102094</v>
      </c>
      <c r="B2056" t="s">
        <v>306</v>
      </c>
      <c r="C2056" t="str">
        <f t="shared" si="269"/>
        <v>00784230872</v>
      </c>
      <c r="D2056" t="str">
        <f t="shared" si="269"/>
        <v>00784230872</v>
      </c>
      <c r="E2056" t="s">
        <v>52</v>
      </c>
      <c r="F2056">
        <v>2015</v>
      </c>
      <c r="G2056" t="str">
        <f>"              2622 E"</f>
        <v xml:space="preserve">              2622 E</v>
      </c>
      <c r="H2056" s="3">
        <v>42195</v>
      </c>
      <c r="I2056" s="3">
        <v>42202</v>
      </c>
      <c r="J2056" s="3">
        <v>42200</v>
      </c>
      <c r="K2056" s="3">
        <v>42260</v>
      </c>
      <c r="L2056" s="1">
        <v>284</v>
      </c>
      <c r="M2056">
        <v>260</v>
      </c>
      <c r="N2056" s="5">
        <v>73840</v>
      </c>
      <c r="O2056">
        <v>284</v>
      </c>
      <c r="P2056">
        <v>260</v>
      </c>
      <c r="Q2056" s="4">
        <v>73840</v>
      </c>
      <c r="R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 s="3">
        <v>42562</v>
      </c>
      <c r="AC2056" t="s">
        <v>53</v>
      </c>
      <c r="AD2056" t="s">
        <v>53</v>
      </c>
      <c r="AK2056">
        <v>0</v>
      </c>
      <c r="AU2056" s="3">
        <v>42520</v>
      </c>
      <c r="AV2056" s="3">
        <v>42520</v>
      </c>
      <c r="AW2056" t="s">
        <v>54</v>
      </c>
      <c r="AX2056" t="str">
        <f t="shared" si="265"/>
        <v>FOR</v>
      </c>
      <c r="AY2056" t="s">
        <v>55</v>
      </c>
    </row>
    <row r="2057" spans="1:51">
      <c r="A2057">
        <v>102094</v>
      </c>
      <c r="B2057" t="s">
        <v>306</v>
      </c>
      <c r="C2057" t="str">
        <f t="shared" si="269"/>
        <v>00784230872</v>
      </c>
      <c r="D2057" t="str">
        <f t="shared" si="269"/>
        <v>00784230872</v>
      </c>
      <c r="E2057" t="s">
        <v>52</v>
      </c>
      <c r="F2057">
        <v>2015</v>
      </c>
      <c r="G2057" t="str">
        <f>"              3214 E"</f>
        <v xml:space="preserve">              3214 E</v>
      </c>
      <c r="H2057" s="3">
        <v>42216</v>
      </c>
      <c r="I2057" s="3">
        <v>42223</v>
      </c>
      <c r="J2057" s="3">
        <v>42223</v>
      </c>
      <c r="K2057" s="3">
        <v>42283</v>
      </c>
      <c r="L2057" s="1">
        <v>975</v>
      </c>
      <c r="M2057">
        <v>237</v>
      </c>
      <c r="N2057" s="5">
        <v>231075</v>
      </c>
      <c r="O2057">
        <v>975</v>
      </c>
      <c r="P2057">
        <v>237</v>
      </c>
      <c r="Q2057" s="4">
        <v>231075</v>
      </c>
      <c r="R2057">
        <v>0</v>
      </c>
      <c r="V2057">
        <v>0</v>
      </c>
      <c r="W2057">
        <v>0</v>
      </c>
      <c r="X2057">
        <v>0</v>
      </c>
      <c r="Y2057">
        <v>0</v>
      </c>
      <c r="Z2057">
        <v>0</v>
      </c>
      <c r="AA2057">
        <v>0</v>
      </c>
      <c r="AB2057" s="3">
        <v>42562</v>
      </c>
      <c r="AC2057" t="s">
        <v>53</v>
      </c>
      <c r="AD2057" t="s">
        <v>53</v>
      </c>
      <c r="AK2057">
        <v>0</v>
      </c>
      <c r="AU2057" s="3">
        <v>42520</v>
      </c>
      <c r="AV2057" s="3">
        <v>42520</v>
      </c>
      <c r="AW2057" t="s">
        <v>54</v>
      </c>
      <c r="AX2057" t="str">
        <f t="shared" si="265"/>
        <v>FOR</v>
      </c>
      <c r="AY2057" t="s">
        <v>55</v>
      </c>
    </row>
    <row r="2058" spans="1:51" hidden="1">
      <c r="A2058">
        <v>102154</v>
      </c>
      <c r="B2058" t="s">
        <v>307</v>
      </c>
      <c r="C2058" t="str">
        <f t="shared" ref="C2058:D2064" si="270">"03222390159"</f>
        <v>03222390159</v>
      </c>
      <c r="D2058" t="str">
        <f t="shared" si="270"/>
        <v>03222390159</v>
      </c>
      <c r="E2058" t="s">
        <v>52</v>
      </c>
      <c r="F2058">
        <v>2015</v>
      </c>
      <c r="G2058" t="str">
        <f>"          2015002552"</f>
        <v xml:space="preserve">          2015002552</v>
      </c>
      <c r="H2058" s="3">
        <v>42038</v>
      </c>
      <c r="I2058" s="3">
        <v>42059</v>
      </c>
      <c r="J2058" s="3">
        <v>42059</v>
      </c>
      <c r="K2058" s="3">
        <v>42119</v>
      </c>
      <c r="L2058"/>
      <c r="N2058"/>
      <c r="O2058" s="4">
        <v>1275.8</v>
      </c>
      <c r="P2058">
        <v>284</v>
      </c>
      <c r="Q2058" s="4">
        <v>362327.2</v>
      </c>
      <c r="R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 s="3">
        <v>42562</v>
      </c>
      <c r="AC2058" t="s">
        <v>53</v>
      </c>
      <c r="AD2058" t="s">
        <v>53</v>
      </c>
      <c r="AK2058">
        <v>0</v>
      </c>
      <c r="AU2058" s="3">
        <v>42403</v>
      </c>
      <c r="AV2058" s="3">
        <v>42403</v>
      </c>
      <c r="AW2058" t="s">
        <v>54</v>
      </c>
      <c r="AX2058" t="str">
        <f t="shared" si="265"/>
        <v>FOR</v>
      </c>
      <c r="AY2058" t="s">
        <v>55</v>
      </c>
    </row>
    <row r="2059" spans="1:51">
      <c r="A2059">
        <v>102154</v>
      </c>
      <c r="B2059" t="s">
        <v>307</v>
      </c>
      <c r="C2059" t="str">
        <f t="shared" si="270"/>
        <v>03222390159</v>
      </c>
      <c r="D2059" t="str">
        <f t="shared" si="270"/>
        <v>03222390159</v>
      </c>
      <c r="E2059" t="s">
        <v>52</v>
      </c>
      <c r="F2059">
        <v>2015</v>
      </c>
      <c r="G2059" t="str">
        <f>"          2015008512"</f>
        <v xml:space="preserve">          2015008512</v>
      </c>
      <c r="H2059" s="3">
        <v>42094</v>
      </c>
      <c r="I2059" s="3">
        <v>42171</v>
      </c>
      <c r="J2059" s="3">
        <v>42168</v>
      </c>
      <c r="K2059" s="3">
        <v>42228</v>
      </c>
      <c r="L2059" s="5">
        <v>2935.75</v>
      </c>
      <c r="M2059">
        <v>299</v>
      </c>
      <c r="N2059" s="5">
        <v>877789.25</v>
      </c>
      <c r="O2059" s="4">
        <v>2935.75</v>
      </c>
      <c r="P2059">
        <v>299</v>
      </c>
      <c r="Q2059" s="4">
        <v>877789.25</v>
      </c>
      <c r="R2059">
        <v>645.87</v>
      </c>
      <c r="V2059">
        <v>0</v>
      </c>
      <c r="W2059">
        <v>0</v>
      </c>
      <c r="X2059">
        <v>0</v>
      </c>
      <c r="Y2059">
        <v>0</v>
      </c>
      <c r="Z2059">
        <v>0</v>
      </c>
      <c r="AA2059">
        <v>0</v>
      </c>
      <c r="AB2059" s="3">
        <v>42562</v>
      </c>
      <c r="AC2059" t="s">
        <v>53</v>
      </c>
      <c r="AD2059" t="s">
        <v>53</v>
      </c>
      <c r="AK2059">
        <v>645.87</v>
      </c>
      <c r="AU2059" s="3">
        <v>42527</v>
      </c>
      <c r="AV2059" s="3">
        <v>42527</v>
      </c>
      <c r="AW2059" t="s">
        <v>54</v>
      </c>
      <c r="AX2059" t="str">
        <f t="shared" si="265"/>
        <v>FOR</v>
      </c>
      <c r="AY2059" t="s">
        <v>55</v>
      </c>
    </row>
    <row r="2060" spans="1:51" hidden="1">
      <c r="A2060">
        <v>102154</v>
      </c>
      <c r="B2060" t="s">
        <v>307</v>
      </c>
      <c r="C2060" t="str">
        <f t="shared" si="270"/>
        <v>03222390159</v>
      </c>
      <c r="D2060" t="str">
        <f t="shared" si="270"/>
        <v>03222390159</v>
      </c>
      <c r="E2060" t="s">
        <v>52</v>
      </c>
      <c r="F2060">
        <v>2015</v>
      </c>
      <c r="G2060" t="str">
        <f>"          2015012335"</f>
        <v xml:space="preserve">          2015012335</v>
      </c>
      <c r="H2060" s="3">
        <v>42124</v>
      </c>
      <c r="I2060" s="3">
        <v>42128</v>
      </c>
      <c r="J2060" s="3">
        <v>42128</v>
      </c>
      <c r="K2060" s="3">
        <v>42188</v>
      </c>
      <c r="L2060"/>
      <c r="N2060"/>
      <c r="O2060">
        <v>373.4</v>
      </c>
      <c r="P2060">
        <v>264</v>
      </c>
      <c r="Q2060" s="4">
        <v>98577.600000000006</v>
      </c>
      <c r="R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 s="3">
        <v>42562</v>
      </c>
      <c r="AC2060" t="s">
        <v>53</v>
      </c>
      <c r="AD2060" t="s">
        <v>53</v>
      </c>
      <c r="AK2060">
        <v>0</v>
      </c>
      <c r="AU2060" s="3">
        <v>42452</v>
      </c>
      <c r="AV2060" s="3">
        <v>42452</v>
      </c>
      <c r="AW2060" t="s">
        <v>54</v>
      </c>
      <c r="AX2060" t="str">
        <f t="shared" si="265"/>
        <v>FOR</v>
      </c>
      <c r="AY2060" t="s">
        <v>55</v>
      </c>
    </row>
    <row r="2061" spans="1:51">
      <c r="A2061">
        <v>102154</v>
      </c>
      <c r="B2061" t="s">
        <v>307</v>
      </c>
      <c r="C2061" t="str">
        <f t="shared" si="270"/>
        <v>03222390159</v>
      </c>
      <c r="D2061" t="str">
        <f t="shared" si="270"/>
        <v>03222390159</v>
      </c>
      <c r="E2061" t="s">
        <v>52</v>
      </c>
      <c r="F2061">
        <v>2015</v>
      </c>
      <c r="G2061" t="str">
        <f>"          2015017286"</f>
        <v xml:space="preserve">          2015017286</v>
      </c>
      <c r="H2061" s="3">
        <v>42177</v>
      </c>
      <c r="I2061" s="3">
        <v>42181</v>
      </c>
      <c r="J2061" s="3">
        <v>42178</v>
      </c>
      <c r="K2061" s="3">
        <v>42238</v>
      </c>
      <c r="L2061" s="1">
        <v>369.6</v>
      </c>
      <c r="M2061">
        <v>289</v>
      </c>
      <c r="N2061" s="5">
        <v>106814.39999999999</v>
      </c>
      <c r="O2061">
        <v>369.6</v>
      </c>
      <c r="P2061">
        <v>289</v>
      </c>
      <c r="Q2061" s="4">
        <v>106814.39999999999</v>
      </c>
      <c r="R2061">
        <v>81.31</v>
      </c>
      <c r="V2061">
        <v>0</v>
      </c>
      <c r="W2061">
        <v>0</v>
      </c>
      <c r="X2061">
        <v>0</v>
      </c>
      <c r="Y2061">
        <v>0</v>
      </c>
      <c r="Z2061">
        <v>0</v>
      </c>
      <c r="AA2061">
        <v>0</v>
      </c>
      <c r="AB2061" s="3">
        <v>42562</v>
      </c>
      <c r="AC2061" t="s">
        <v>53</v>
      </c>
      <c r="AD2061" t="s">
        <v>53</v>
      </c>
      <c r="AK2061">
        <v>81.31</v>
      </c>
      <c r="AU2061" s="3">
        <v>42527</v>
      </c>
      <c r="AV2061" s="3">
        <v>42527</v>
      </c>
      <c r="AW2061" t="s">
        <v>54</v>
      </c>
      <c r="AX2061" t="str">
        <f t="shared" si="265"/>
        <v>FOR</v>
      </c>
      <c r="AY2061" t="s">
        <v>55</v>
      </c>
    </row>
    <row r="2062" spans="1:51">
      <c r="A2062">
        <v>102154</v>
      </c>
      <c r="B2062" t="s">
        <v>307</v>
      </c>
      <c r="C2062" t="str">
        <f t="shared" si="270"/>
        <v>03222390159</v>
      </c>
      <c r="D2062" t="str">
        <f t="shared" si="270"/>
        <v>03222390159</v>
      </c>
      <c r="E2062" t="s">
        <v>52</v>
      </c>
      <c r="F2062">
        <v>2015</v>
      </c>
      <c r="G2062" t="str">
        <f>"          2015018287"</f>
        <v xml:space="preserve">          2015018287</v>
      </c>
      <c r="H2062" s="3">
        <v>42185</v>
      </c>
      <c r="I2062" s="3">
        <v>42187</v>
      </c>
      <c r="J2062" s="3">
        <v>42186</v>
      </c>
      <c r="K2062" s="3">
        <v>42246</v>
      </c>
      <c r="L2062" s="5">
        <v>2935.75</v>
      </c>
      <c r="M2062">
        <v>281</v>
      </c>
      <c r="N2062" s="5">
        <v>824945.75</v>
      </c>
      <c r="O2062" s="4">
        <v>2935.75</v>
      </c>
      <c r="P2062">
        <v>281</v>
      </c>
      <c r="Q2062" s="4">
        <v>824945.75</v>
      </c>
      <c r="R2062">
        <v>645.87</v>
      </c>
      <c r="V2062">
        <v>0</v>
      </c>
      <c r="W2062">
        <v>0</v>
      </c>
      <c r="X2062">
        <v>0</v>
      </c>
      <c r="Y2062">
        <v>0</v>
      </c>
      <c r="Z2062">
        <v>0</v>
      </c>
      <c r="AA2062">
        <v>0</v>
      </c>
      <c r="AB2062" s="3">
        <v>42562</v>
      </c>
      <c r="AC2062" t="s">
        <v>53</v>
      </c>
      <c r="AD2062" t="s">
        <v>53</v>
      </c>
      <c r="AK2062">
        <v>645.87</v>
      </c>
      <c r="AU2062" s="3">
        <v>42527</v>
      </c>
      <c r="AV2062" s="3">
        <v>42527</v>
      </c>
      <c r="AW2062" t="s">
        <v>54</v>
      </c>
      <c r="AX2062" t="str">
        <f t="shared" si="265"/>
        <v>FOR</v>
      </c>
      <c r="AY2062" t="s">
        <v>55</v>
      </c>
    </row>
    <row r="2063" spans="1:51">
      <c r="A2063">
        <v>102154</v>
      </c>
      <c r="B2063" t="s">
        <v>307</v>
      </c>
      <c r="C2063" t="str">
        <f t="shared" si="270"/>
        <v>03222390159</v>
      </c>
      <c r="D2063" t="str">
        <f t="shared" si="270"/>
        <v>03222390159</v>
      </c>
      <c r="E2063" t="s">
        <v>52</v>
      </c>
      <c r="F2063">
        <v>2015</v>
      </c>
      <c r="G2063" t="str">
        <f>"          2015019115"</f>
        <v xml:space="preserve">          2015019115</v>
      </c>
      <c r="H2063" s="3">
        <v>42185</v>
      </c>
      <c r="I2063" s="3">
        <v>42191</v>
      </c>
      <c r="J2063" s="3">
        <v>42186</v>
      </c>
      <c r="K2063" s="3">
        <v>42246</v>
      </c>
      <c r="L2063" s="5">
        <v>2935.4</v>
      </c>
      <c r="M2063">
        <v>281</v>
      </c>
      <c r="N2063" s="5">
        <v>824847.4</v>
      </c>
      <c r="O2063" s="4">
        <v>2935.4</v>
      </c>
      <c r="P2063">
        <v>281</v>
      </c>
      <c r="Q2063" s="4">
        <v>824847.4</v>
      </c>
      <c r="R2063">
        <v>645.79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 s="3">
        <v>42562</v>
      </c>
      <c r="AC2063" t="s">
        <v>53</v>
      </c>
      <c r="AD2063" t="s">
        <v>53</v>
      </c>
      <c r="AK2063">
        <v>645.79</v>
      </c>
      <c r="AU2063" s="3">
        <v>42527</v>
      </c>
      <c r="AV2063" s="3">
        <v>42527</v>
      </c>
      <c r="AW2063" t="s">
        <v>54</v>
      </c>
      <c r="AX2063" t="str">
        <f t="shared" si="265"/>
        <v>FOR</v>
      </c>
      <c r="AY2063" t="s">
        <v>55</v>
      </c>
    </row>
    <row r="2064" spans="1:51">
      <c r="A2064">
        <v>102154</v>
      </c>
      <c r="B2064" t="s">
        <v>307</v>
      </c>
      <c r="C2064" t="str">
        <f t="shared" si="270"/>
        <v>03222390159</v>
      </c>
      <c r="D2064" t="str">
        <f t="shared" si="270"/>
        <v>03222390159</v>
      </c>
      <c r="E2064" t="s">
        <v>52</v>
      </c>
      <c r="F2064">
        <v>2015</v>
      </c>
      <c r="G2064" t="str">
        <f>"          2015021602"</f>
        <v xml:space="preserve">          2015021602</v>
      </c>
      <c r="H2064" s="3">
        <v>42212</v>
      </c>
      <c r="I2064" s="3">
        <v>42215</v>
      </c>
      <c r="J2064" s="3">
        <v>42213</v>
      </c>
      <c r="K2064" s="3">
        <v>42273</v>
      </c>
      <c r="L2064" s="1">
        <v>273</v>
      </c>
      <c r="M2064">
        <v>254</v>
      </c>
      <c r="N2064" s="5">
        <v>69342</v>
      </c>
      <c r="O2064">
        <v>273</v>
      </c>
      <c r="P2064">
        <v>254</v>
      </c>
      <c r="Q2064" s="4">
        <v>69342</v>
      </c>
      <c r="R2064">
        <v>60.06</v>
      </c>
      <c r="V2064">
        <v>0</v>
      </c>
      <c r="W2064">
        <v>0</v>
      </c>
      <c r="X2064">
        <v>0</v>
      </c>
      <c r="Y2064">
        <v>0</v>
      </c>
      <c r="Z2064">
        <v>0</v>
      </c>
      <c r="AA2064">
        <v>0</v>
      </c>
      <c r="AB2064" s="3">
        <v>42562</v>
      </c>
      <c r="AC2064" t="s">
        <v>53</v>
      </c>
      <c r="AD2064" t="s">
        <v>53</v>
      </c>
      <c r="AK2064">
        <v>60.06</v>
      </c>
      <c r="AU2064" s="3">
        <v>42527</v>
      </c>
      <c r="AV2064" s="3">
        <v>42527</v>
      </c>
      <c r="AW2064" t="s">
        <v>54</v>
      </c>
      <c r="AX2064" t="str">
        <f t="shared" si="265"/>
        <v>FOR</v>
      </c>
      <c r="AY2064" t="s">
        <v>55</v>
      </c>
    </row>
    <row r="2065" spans="1:51" hidden="1">
      <c r="A2065">
        <v>102159</v>
      </c>
      <c r="B2065" t="s">
        <v>308</v>
      </c>
      <c r="C2065" t="str">
        <f>"00938880622"</f>
        <v>00938880622</v>
      </c>
      <c r="D2065" t="str">
        <f>"00938880622"</f>
        <v>00938880622</v>
      </c>
      <c r="E2065" t="s">
        <v>52</v>
      </c>
      <c r="F2065">
        <v>2016</v>
      </c>
      <c r="G2065" t="str">
        <f>"               9\01E"</f>
        <v xml:space="preserve">               9\01E</v>
      </c>
      <c r="H2065" s="3">
        <v>42433</v>
      </c>
      <c r="I2065" s="3">
        <v>42436</v>
      </c>
      <c r="J2065" s="3">
        <v>42433</v>
      </c>
      <c r="K2065" s="3">
        <v>42493</v>
      </c>
      <c r="L2065"/>
      <c r="N2065"/>
      <c r="O2065" s="4">
        <v>1377.32</v>
      </c>
      <c r="P2065">
        <v>-42</v>
      </c>
      <c r="Q2065" s="4">
        <v>-57847.44</v>
      </c>
      <c r="R2065">
        <v>0</v>
      </c>
      <c r="V2065">
        <v>0</v>
      </c>
      <c r="W2065">
        <v>0</v>
      </c>
      <c r="X2065">
        <v>0</v>
      </c>
      <c r="Y2065" s="4">
        <v>1377.32</v>
      </c>
      <c r="Z2065" s="4">
        <v>1377.32</v>
      </c>
      <c r="AA2065" s="4">
        <v>1377.32</v>
      </c>
      <c r="AB2065" s="3">
        <v>42562</v>
      </c>
      <c r="AC2065" t="s">
        <v>53</v>
      </c>
      <c r="AD2065" t="s">
        <v>53</v>
      </c>
      <c r="AK2065">
        <v>0</v>
      </c>
      <c r="AU2065" s="3">
        <v>42451</v>
      </c>
      <c r="AV2065" s="3">
        <v>42451</v>
      </c>
      <c r="AW2065" t="s">
        <v>54</v>
      </c>
      <c r="AX2065" t="str">
        <f>"ALTPRO"</f>
        <v>ALTPRO</v>
      </c>
      <c r="AY2065" t="s">
        <v>93</v>
      </c>
    </row>
    <row r="2066" spans="1:51" hidden="1">
      <c r="A2066">
        <v>102175</v>
      </c>
      <c r="B2066" t="s">
        <v>309</v>
      </c>
      <c r="C2066" t="str">
        <f>"08381910150"</f>
        <v>08381910150</v>
      </c>
      <c r="D2066" t="str">
        <f>"08381910150"</f>
        <v>08381910150</v>
      </c>
      <c r="E2066" t="s">
        <v>52</v>
      </c>
      <c r="F2066">
        <v>2015</v>
      </c>
      <c r="G2066" t="str">
        <f>"            90000960"</f>
        <v xml:space="preserve">            90000960</v>
      </c>
      <c r="H2066" s="3">
        <v>42069</v>
      </c>
      <c r="I2066" s="3">
        <v>42080</v>
      </c>
      <c r="J2066" s="3">
        <v>42080</v>
      </c>
      <c r="K2066" s="3">
        <v>42140</v>
      </c>
      <c r="L2066"/>
      <c r="N2066"/>
      <c r="O2066" s="4">
        <v>6181.8</v>
      </c>
      <c r="P2066">
        <v>275</v>
      </c>
      <c r="Q2066" s="4">
        <v>1699995</v>
      </c>
      <c r="R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 s="3">
        <v>42562</v>
      </c>
      <c r="AC2066" t="s">
        <v>53</v>
      </c>
      <c r="AD2066" t="s">
        <v>53</v>
      </c>
      <c r="AK2066">
        <v>0</v>
      </c>
      <c r="AU2066" s="3">
        <v>42415</v>
      </c>
      <c r="AV2066" s="3">
        <v>42415</v>
      </c>
      <c r="AW2066" t="s">
        <v>54</v>
      </c>
      <c r="AX2066" t="str">
        <f t="shared" ref="AX2066:AX2081" si="271">"FOR"</f>
        <v>FOR</v>
      </c>
      <c r="AY2066" t="s">
        <v>55</v>
      </c>
    </row>
    <row r="2067" spans="1:51" hidden="1">
      <c r="A2067">
        <v>102209</v>
      </c>
      <c r="B2067" t="s">
        <v>310</v>
      </c>
      <c r="C2067" t="str">
        <f t="shared" ref="C2067:D2073" si="272">"00934000621"</f>
        <v>00934000621</v>
      </c>
      <c r="D2067" t="str">
        <f t="shared" si="272"/>
        <v>00934000621</v>
      </c>
      <c r="E2067" t="s">
        <v>52</v>
      </c>
      <c r="F2067">
        <v>2015</v>
      </c>
      <c r="G2067" t="str">
        <f>"     020150000030300"</f>
        <v xml:space="preserve">     020150000030300</v>
      </c>
      <c r="H2067" s="3">
        <v>42320</v>
      </c>
      <c r="I2067" s="3">
        <v>42325</v>
      </c>
      <c r="J2067" s="3">
        <v>42321</v>
      </c>
      <c r="K2067" s="3">
        <v>42381</v>
      </c>
      <c r="L2067"/>
      <c r="N2067"/>
      <c r="O2067">
        <v>16.47</v>
      </c>
      <c r="P2067">
        <v>49</v>
      </c>
      <c r="Q2067">
        <v>807.03</v>
      </c>
      <c r="R2067">
        <v>0</v>
      </c>
      <c r="V2067">
        <v>0</v>
      </c>
      <c r="W2067">
        <v>0</v>
      </c>
      <c r="X2067">
        <v>0</v>
      </c>
      <c r="Y2067">
        <v>0</v>
      </c>
      <c r="Z2067">
        <v>0</v>
      </c>
      <c r="AA2067">
        <v>0</v>
      </c>
      <c r="AB2067" s="3">
        <v>42562</v>
      </c>
      <c r="AC2067" t="s">
        <v>53</v>
      </c>
      <c r="AD2067" t="s">
        <v>53</v>
      </c>
      <c r="AK2067">
        <v>0</v>
      </c>
      <c r="AU2067" s="3">
        <v>42430</v>
      </c>
      <c r="AV2067" s="3">
        <v>42430</v>
      </c>
      <c r="AW2067" t="s">
        <v>54</v>
      </c>
      <c r="AX2067" t="str">
        <f t="shared" si="271"/>
        <v>FOR</v>
      </c>
      <c r="AY2067" t="s">
        <v>55</v>
      </c>
    </row>
    <row r="2068" spans="1:51" hidden="1">
      <c r="A2068">
        <v>102209</v>
      </c>
      <c r="B2068" t="s">
        <v>310</v>
      </c>
      <c r="C2068" t="str">
        <f t="shared" si="272"/>
        <v>00934000621</v>
      </c>
      <c r="D2068" t="str">
        <f t="shared" si="272"/>
        <v>00934000621</v>
      </c>
      <c r="E2068" t="s">
        <v>52</v>
      </c>
      <c r="F2068">
        <v>2015</v>
      </c>
      <c r="G2068" t="str">
        <f>"     020150000030400"</f>
        <v xml:space="preserve">     020150000030400</v>
      </c>
      <c r="H2068" s="3">
        <v>42320</v>
      </c>
      <c r="I2068" s="3">
        <v>42325</v>
      </c>
      <c r="J2068" s="3">
        <v>42321</v>
      </c>
      <c r="K2068" s="3">
        <v>42381</v>
      </c>
      <c r="L2068"/>
      <c r="N2068"/>
      <c r="O2068" s="4">
        <v>35443.94</v>
      </c>
      <c r="P2068">
        <v>49</v>
      </c>
      <c r="Q2068" s="4">
        <v>1736753.06</v>
      </c>
      <c r="R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 s="3">
        <v>42562</v>
      </c>
      <c r="AC2068" t="s">
        <v>53</v>
      </c>
      <c r="AD2068" t="s">
        <v>53</v>
      </c>
      <c r="AK2068">
        <v>0</v>
      </c>
      <c r="AU2068" s="3">
        <v>42430</v>
      </c>
      <c r="AV2068" s="3">
        <v>42430</v>
      </c>
      <c r="AW2068" t="s">
        <v>54</v>
      </c>
      <c r="AX2068" t="str">
        <f t="shared" si="271"/>
        <v>FOR</v>
      </c>
      <c r="AY2068" t="s">
        <v>55</v>
      </c>
    </row>
    <row r="2069" spans="1:51" hidden="1">
      <c r="A2069">
        <v>102209</v>
      </c>
      <c r="B2069" t="s">
        <v>310</v>
      </c>
      <c r="C2069" t="str">
        <f t="shared" si="272"/>
        <v>00934000621</v>
      </c>
      <c r="D2069" t="str">
        <f t="shared" si="272"/>
        <v>00934000621</v>
      </c>
      <c r="E2069" t="s">
        <v>52</v>
      </c>
      <c r="F2069">
        <v>2015</v>
      </c>
      <c r="G2069" t="str">
        <f>"     020150000064700"</f>
        <v xml:space="preserve">     020150000064700</v>
      </c>
      <c r="H2069" s="3">
        <v>42367</v>
      </c>
      <c r="I2069" s="3">
        <v>42369</v>
      </c>
      <c r="J2069" s="3">
        <v>42369</v>
      </c>
      <c r="K2069" s="3">
        <v>42429</v>
      </c>
      <c r="L2069"/>
      <c r="N2069"/>
      <c r="O2069">
        <v>15.35</v>
      </c>
      <c r="P2069">
        <v>1</v>
      </c>
      <c r="Q2069">
        <v>15.35</v>
      </c>
      <c r="R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 s="3">
        <v>42562</v>
      </c>
      <c r="AC2069" t="s">
        <v>53</v>
      </c>
      <c r="AD2069" t="s">
        <v>53</v>
      </c>
      <c r="AK2069">
        <v>0</v>
      </c>
      <c r="AU2069" s="3">
        <v>42430</v>
      </c>
      <c r="AV2069" s="3">
        <v>42430</v>
      </c>
      <c r="AW2069" t="s">
        <v>54</v>
      </c>
      <c r="AX2069" t="str">
        <f t="shared" si="271"/>
        <v>FOR</v>
      </c>
      <c r="AY2069" t="s">
        <v>55</v>
      </c>
    </row>
    <row r="2070" spans="1:51" hidden="1">
      <c r="A2070">
        <v>102209</v>
      </c>
      <c r="B2070" t="s">
        <v>310</v>
      </c>
      <c r="C2070" t="str">
        <f t="shared" si="272"/>
        <v>00934000621</v>
      </c>
      <c r="D2070" t="str">
        <f t="shared" si="272"/>
        <v>00934000621</v>
      </c>
      <c r="E2070" t="s">
        <v>52</v>
      </c>
      <c r="F2070">
        <v>2015</v>
      </c>
      <c r="G2070" t="str">
        <f>"     020150000064800"</f>
        <v xml:space="preserve">     020150000064800</v>
      </c>
      <c r="H2070" s="3">
        <v>42367</v>
      </c>
      <c r="I2070" s="3">
        <v>42369</v>
      </c>
      <c r="J2070" s="3">
        <v>42369</v>
      </c>
      <c r="K2070" s="3">
        <v>42429</v>
      </c>
      <c r="L2070"/>
      <c r="N2070"/>
      <c r="O2070" s="4">
        <v>38667.089999999997</v>
      </c>
      <c r="P2070">
        <v>1</v>
      </c>
      <c r="Q2070" s="4">
        <v>38667.089999999997</v>
      </c>
      <c r="R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 s="3">
        <v>42562</v>
      </c>
      <c r="AC2070" t="s">
        <v>53</v>
      </c>
      <c r="AD2070" t="s">
        <v>53</v>
      </c>
      <c r="AK2070">
        <v>0</v>
      </c>
      <c r="AU2070" s="3">
        <v>42430</v>
      </c>
      <c r="AV2070" s="3">
        <v>42430</v>
      </c>
      <c r="AW2070" t="s">
        <v>54</v>
      </c>
      <c r="AX2070" t="str">
        <f t="shared" si="271"/>
        <v>FOR</v>
      </c>
      <c r="AY2070" t="s">
        <v>55</v>
      </c>
    </row>
    <row r="2071" spans="1:51">
      <c r="A2071">
        <v>102209</v>
      </c>
      <c r="B2071" t="s">
        <v>310</v>
      </c>
      <c r="C2071" t="str">
        <f t="shared" si="272"/>
        <v>00934000621</v>
      </c>
      <c r="D2071" t="str">
        <f t="shared" si="272"/>
        <v>00934000621</v>
      </c>
      <c r="E2071" t="s">
        <v>52</v>
      </c>
      <c r="F2071">
        <v>2016</v>
      </c>
      <c r="G2071" t="str">
        <f>"     020160000000100"</f>
        <v xml:space="preserve">     020160000000100</v>
      </c>
      <c r="H2071" s="3">
        <v>42409</v>
      </c>
      <c r="I2071" s="3">
        <v>42415</v>
      </c>
      <c r="J2071" s="3">
        <v>42412</v>
      </c>
      <c r="K2071" s="3">
        <v>42472</v>
      </c>
      <c r="L2071" s="5">
        <v>11156.09</v>
      </c>
      <c r="M2071">
        <v>1</v>
      </c>
      <c r="N2071" s="5">
        <v>11156.09</v>
      </c>
      <c r="O2071" s="4">
        <v>11156.09</v>
      </c>
      <c r="P2071">
        <v>1</v>
      </c>
      <c r="Q2071" s="4">
        <v>11156.09</v>
      </c>
      <c r="R2071">
        <v>0</v>
      </c>
      <c r="V2071">
        <v>0</v>
      </c>
      <c r="W2071">
        <v>0</v>
      </c>
      <c r="X2071">
        <v>0</v>
      </c>
      <c r="Y2071" s="4">
        <v>11156.09</v>
      </c>
      <c r="Z2071" s="4">
        <v>11156.09</v>
      </c>
      <c r="AA2071" s="4">
        <v>11156.09</v>
      </c>
      <c r="AB2071" s="3">
        <v>42562</v>
      </c>
      <c r="AC2071" t="s">
        <v>53</v>
      </c>
      <c r="AD2071" t="s">
        <v>53</v>
      </c>
      <c r="AK2071">
        <v>0</v>
      </c>
      <c r="AU2071" s="3">
        <v>42473</v>
      </c>
      <c r="AV2071" s="3">
        <v>42473</v>
      </c>
      <c r="AW2071" t="s">
        <v>54</v>
      </c>
      <c r="AX2071" t="str">
        <f t="shared" si="271"/>
        <v>FOR</v>
      </c>
      <c r="AY2071" t="s">
        <v>55</v>
      </c>
    </row>
    <row r="2072" spans="1:51">
      <c r="A2072">
        <v>102209</v>
      </c>
      <c r="B2072" t="s">
        <v>310</v>
      </c>
      <c r="C2072" t="str">
        <f t="shared" si="272"/>
        <v>00934000621</v>
      </c>
      <c r="D2072" t="str">
        <f t="shared" si="272"/>
        <v>00934000621</v>
      </c>
      <c r="E2072" t="s">
        <v>52</v>
      </c>
      <c r="F2072">
        <v>2016</v>
      </c>
      <c r="G2072" t="str">
        <f>" 8150020160000000700"</f>
        <v xml:space="preserve"> 8150020160000000700</v>
      </c>
      <c r="H2072" s="3">
        <v>42437</v>
      </c>
      <c r="I2072" s="3">
        <v>42445</v>
      </c>
      <c r="J2072" s="3">
        <v>42444</v>
      </c>
      <c r="K2072" s="3">
        <v>42504</v>
      </c>
      <c r="L2072" s="1">
        <v>19.260000000000002</v>
      </c>
      <c r="M2072">
        <v>23</v>
      </c>
      <c r="N2072" s="1">
        <v>442.98</v>
      </c>
      <c r="O2072">
        <v>19.260000000000002</v>
      </c>
      <c r="P2072">
        <v>23</v>
      </c>
      <c r="Q2072">
        <v>442.98</v>
      </c>
      <c r="R2072">
        <v>0</v>
      </c>
      <c r="V2072">
        <v>0</v>
      </c>
      <c r="W2072">
        <v>0</v>
      </c>
      <c r="X2072">
        <v>0</v>
      </c>
      <c r="Y2072">
        <v>19.260000000000002</v>
      </c>
      <c r="Z2072">
        <v>19.260000000000002</v>
      </c>
      <c r="AA2072">
        <v>19.260000000000002</v>
      </c>
      <c r="AB2072" s="3">
        <v>42562</v>
      </c>
      <c r="AC2072" t="s">
        <v>53</v>
      </c>
      <c r="AD2072" t="s">
        <v>53</v>
      </c>
      <c r="AK2072">
        <v>0</v>
      </c>
      <c r="AU2072" s="3">
        <v>42527</v>
      </c>
      <c r="AV2072" s="3">
        <v>42527</v>
      </c>
      <c r="AW2072" t="s">
        <v>54</v>
      </c>
      <c r="AX2072" t="str">
        <f t="shared" si="271"/>
        <v>FOR</v>
      </c>
      <c r="AY2072" t="s">
        <v>55</v>
      </c>
    </row>
    <row r="2073" spans="1:51">
      <c r="A2073">
        <v>102209</v>
      </c>
      <c r="B2073" t="s">
        <v>310</v>
      </c>
      <c r="C2073" t="str">
        <f t="shared" si="272"/>
        <v>00934000621</v>
      </c>
      <c r="D2073" t="str">
        <f t="shared" si="272"/>
        <v>00934000621</v>
      </c>
      <c r="E2073" t="s">
        <v>52</v>
      </c>
      <c r="F2073">
        <v>2016</v>
      </c>
      <c r="G2073" t="str">
        <f>" 8150020160000000800"</f>
        <v xml:space="preserve"> 8150020160000000800</v>
      </c>
      <c r="H2073" s="3">
        <v>42437</v>
      </c>
      <c r="I2073" s="3">
        <v>42445</v>
      </c>
      <c r="J2073" s="3">
        <v>42444</v>
      </c>
      <c r="K2073" s="3">
        <v>42504</v>
      </c>
      <c r="L2073" s="5">
        <v>21073.07</v>
      </c>
      <c r="M2073">
        <v>23</v>
      </c>
      <c r="N2073" s="5">
        <v>484680.61</v>
      </c>
      <c r="O2073" s="4">
        <v>21073.07</v>
      </c>
      <c r="P2073">
        <v>23</v>
      </c>
      <c r="Q2073" s="4">
        <v>484680.61</v>
      </c>
      <c r="R2073">
        <v>0</v>
      </c>
      <c r="V2073">
        <v>0</v>
      </c>
      <c r="W2073">
        <v>0</v>
      </c>
      <c r="X2073">
        <v>0</v>
      </c>
      <c r="Y2073" s="4">
        <v>21073.07</v>
      </c>
      <c r="Z2073" s="4">
        <v>21073.07</v>
      </c>
      <c r="AA2073" s="4">
        <v>21073.07</v>
      </c>
      <c r="AB2073" s="3">
        <v>42562</v>
      </c>
      <c r="AC2073" t="s">
        <v>53</v>
      </c>
      <c r="AD2073" t="s">
        <v>53</v>
      </c>
      <c r="AK2073">
        <v>0</v>
      </c>
      <c r="AU2073" s="3">
        <v>42527</v>
      </c>
      <c r="AV2073" s="3">
        <v>42527</v>
      </c>
      <c r="AW2073" t="s">
        <v>54</v>
      </c>
      <c r="AX2073" t="str">
        <f t="shared" si="271"/>
        <v>FOR</v>
      </c>
      <c r="AY2073" t="s">
        <v>55</v>
      </c>
    </row>
    <row r="2074" spans="1:51" hidden="1">
      <c r="A2074">
        <v>102264</v>
      </c>
      <c r="B2074" t="s">
        <v>311</v>
      </c>
      <c r="C2074" t="str">
        <f>"11187430159"</f>
        <v>11187430159</v>
      </c>
      <c r="D2074" t="str">
        <f>"11187430159"</f>
        <v>11187430159</v>
      </c>
      <c r="E2074" t="s">
        <v>52</v>
      </c>
      <c r="F2074">
        <v>2015</v>
      </c>
      <c r="G2074" t="str">
        <f>"           150017013"</f>
        <v xml:space="preserve">           150017013</v>
      </c>
      <c r="H2074" s="3">
        <v>42219</v>
      </c>
      <c r="I2074" s="3">
        <v>42226</v>
      </c>
      <c r="J2074" s="3">
        <v>42223</v>
      </c>
      <c r="K2074" s="3">
        <v>42283</v>
      </c>
      <c r="L2074"/>
      <c r="N2074"/>
      <c r="O2074" s="4">
        <v>1088.7</v>
      </c>
      <c r="P2074">
        <v>170</v>
      </c>
      <c r="Q2074" s="4">
        <v>185079</v>
      </c>
      <c r="R2074">
        <v>0</v>
      </c>
      <c r="V2074">
        <v>0</v>
      </c>
      <c r="W2074">
        <v>0</v>
      </c>
      <c r="X2074">
        <v>0</v>
      </c>
      <c r="Y2074">
        <v>0</v>
      </c>
      <c r="Z2074">
        <v>0</v>
      </c>
      <c r="AA2074">
        <v>0</v>
      </c>
      <c r="AB2074" s="3">
        <v>42562</v>
      </c>
      <c r="AC2074" t="s">
        <v>53</v>
      </c>
      <c r="AD2074" t="s">
        <v>53</v>
      </c>
      <c r="AK2074">
        <v>0</v>
      </c>
      <c r="AU2074" s="3">
        <v>42453</v>
      </c>
      <c r="AV2074" s="3">
        <v>42453</v>
      </c>
      <c r="AW2074" t="s">
        <v>54</v>
      </c>
      <c r="AX2074" t="str">
        <f t="shared" si="271"/>
        <v>FOR</v>
      </c>
      <c r="AY2074" t="s">
        <v>55</v>
      </c>
    </row>
    <row r="2075" spans="1:51" hidden="1">
      <c r="A2075">
        <v>102264</v>
      </c>
      <c r="B2075" t="s">
        <v>311</v>
      </c>
      <c r="C2075" t="str">
        <f>"11187430159"</f>
        <v>11187430159</v>
      </c>
      <c r="D2075" t="str">
        <f>"11187430159"</f>
        <v>11187430159</v>
      </c>
      <c r="E2075" t="s">
        <v>52</v>
      </c>
      <c r="F2075">
        <v>2015</v>
      </c>
      <c r="G2075" t="str">
        <f>"           150019408"</f>
        <v xml:space="preserve">           150019408</v>
      </c>
      <c r="H2075" s="3">
        <v>42257</v>
      </c>
      <c r="I2075" s="3">
        <v>42263</v>
      </c>
      <c r="J2075" s="3">
        <v>42262</v>
      </c>
      <c r="K2075" s="3">
        <v>42322</v>
      </c>
      <c r="L2075"/>
      <c r="N2075"/>
      <c r="O2075" s="4">
        <v>1088.7</v>
      </c>
      <c r="P2075">
        <v>131</v>
      </c>
      <c r="Q2075" s="4">
        <v>142619.70000000001</v>
      </c>
      <c r="R2075">
        <v>0</v>
      </c>
      <c r="V2075">
        <v>0</v>
      </c>
      <c r="W2075">
        <v>0</v>
      </c>
      <c r="X2075">
        <v>0</v>
      </c>
      <c r="Y2075">
        <v>0</v>
      </c>
      <c r="Z2075">
        <v>0</v>
      </c>
      <c r="AA2075">
        <v>0</v>
      </c>
      <c r="AB2075" s="3">
        <v>42562</v>
      </c>
      <c r="AC2075" t="s">
        <v>53</v>
      </c>
      <c r="AD2075" t="s">
        <v>53</v>
      </c>
      <c r="AK2075">
        <v>0</v>
      </c>
      <c r="AU2075" s="3">
        <v>42453</v>
      </c>
      <c r="AV2075" s="3">
        <v>42453</v>
      </c>
      <c r="AW2075" t="s">
        <v>54</v>
      </c>
      <c r="AX2075" t="str">
        <f t="shared" si="271"/>
        <v>FOR</v>
      </c>
      <c r="AY2075" t="s">
        <v>55</v>
      </c>
    </row>
    <row r="2076" spans="1:51" hidden="1">
      <c r="A2076">
        <v>102302</v>
      </c>
      <c r="B2076" t="s">
        <v>312</v>
      </c>
      <c r="C2076" t="str">
        <f>"11492820151"</f>
        <v>11492820151</v>
      </c>
      <c r="D2076" t="str">
        <f>"93517310152"</f>
        <v>93517310152</v>
      </c>
      <c r="E2076" t="s">
        <v>52</v>
      </c>
      <c r="F2076">
        <v>2015</v>
      </c>
      <c r="G2076" t="str">
        <f>"          0015215861"</f>
        <v xml:space="preserve">          0015215861</v>
      </c>
      <c r="H2076" s="3">
        <v>42300</v>
      </c>
      <c r="I2076" s="3">
        <v>42318</v>
      </c>
      <c r="J2076" s="3">
        <v>42314</v>
      </c>
      <c r="K2076" s="3">
        <v>42374</v>
      </c>
      <c r="L2076"/>
      <c r="N2076"/>
      <c r="O2076">
        <v>136.94</v>
      </c>
      <c r="P2076">
        <v>34</v>
      </c>
      <c r="Q2076" s="4">
        <v>4655.96</v>
      </c>
      <c r="R2076">
        <v>0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 s="3">
        <v>42562</v>
      </c>
      <c r="AC2076" t="s">
        <v>53</v>
      </c>
      <c r="AD2076" t="s">
        <v>53</v>
      </c>
      <c r="AK2076">
        <v>0</v>
      </c>
      <c r="AU2076" s="3">
        <v>42408</v>
      </c>
      <c r="AV2076" s="3">
        <v>42408</v>
      </c>
      <c r="AW2076" t="s">
        <v>54</v>
      </c>
      <c r="AX2076" t="str">
        <f t="shared" si="271"/>
        <v>FOR</v>
      </c>
      <c r="AY2076" t="s">
        <v>55</v>
      </c>
    </row>
    <row r="2077" spans="1:51" hidden="1">
      <c r="A2077">
        <v>102302</v>
      </c>
      <c r="B2077" t="s">
        <v>312</v>
      </c>
      <c r="C2077" t="str">
        <f>"11492820151"</f>
        <v>11492820151</v>
      </c>
      <c r="D2077" t="str">
        <f>"93517310152"</f>
        <v>93517310152</v>
      </c>
      <c r="E2077" t="s">
        <v>52</v>
      </c>
      <c r="F2077">
        <v>2015</v>
      </c>
      <c r="G2077" t="str">
        <f>"          0015218292"</f>
        <v xml:space="preserve">          0015218292</v>
      </c>
      <c r="H2077" s="3">
        <v>42348</v>
      </c>
      <c r="I2077" s="3">
        <v>42354</v>
      </c>
      <c r="J2077" s="3">
        <v>42353</v>
      </c>
      <c r="K2077" s="3">
        <v>42413</v>
      </c>
      <c r="L2077"/>
      <c r="N2077"/>
      <c r="O2077">
        <v>611.46</v>
      </c>
      <c r="P2077">
        <v>-5</v>
      </c>
      <c r="Q2077" s="4">
        <v>-3057.3</v>
      </c>
      <c r="R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 s="3">
        <v>42562</v>
      </c>
      <c r="AC2077" t="s">
        <v>53</v>
      </c>
      <c r="AD2077" t="s">
        <v>53</v>
      </c>
      <c r="AK2077">
        <v>0</v>
      </c>
      <c r="AU2077" s="3">
        <v>42408</v>
      </c>
      <c r="AV2077" s="3">
        <v>42408</v>
      </c>
      <c r="AW2077" t="s">
        <v>54</v>
      </c>
      <c r="AX2077" t="str">
        <f t="shared" si="271"/>
        <v>FOR</v>
      </c>
      <c r="AY2077" t="s">
        <v>55</v>
      </c>
    </row>
    <row r="2078" spans="1:51">
      <c r="A2078">
        <v>102310</v>
      </c>
      <c r="B2078" t="s">
        <v>313</v>
      </c>
      <c r="C2078" t="str">
        <f t="shared" ref="C2078:D2081" si="273">"00936980622"</f>
        <v>00936980622</v>
      </c>
      <c r="D2078" t="str">
        <f t="shared" si="273"/>
        <v>00936980622</v>
      </c>
      <c r="E2078" t="s">
        <v>52</v>
      </c>
      <c r="F2078">
        <v>2015</v>
      </c>
      <c r="G2078" t="str">
        <f>"                 27E"</f>
        <v xml:space="preserve">                 27E</v>
      </c>
      <c r="H2078" s="3">
        <v>42358</v>
      </c>
      <c r="I2078" s="3">
        <v>42368</v>
      </c>
      <c r="J2078" s="3">
        <v>42368</v>
      </c>
      <c r="K2078" s="3">
        <v>42428</v>
      </c>
      <c r="L2078" s="5">
        <v>3662.64</v>
      </c>
      <c r="M2078">
        <v>92</v>
      </c>
      <c r="N2078" s="5">
        <v>336962.88</v>
      </c>
      <c r="O2078" s="4">
        <v>3662.64</v>
      </c>
      <c r="P2078">
        <v>92</v>
      </c>
      <c r="Q2078" s="4">
        <v>336962.88</v>
      </c>
      <c r="R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 s="3">
        <v>42562</v>
      </c>
      <c r="AC2078" t="s">
        <v>53</v>
      </c>
      <c r="AD2078" t="s">
        <v>53</v>
      </c>
      <c r="AK2078">
        <v>0</v>
      </c>
      <c r="AU2078" s="3">
        <v>42520</v>
      </c>
      <c r="AV2078" s="3">
        <v>42520</v>
      </c>
      <c r="AW2078" t="s">
        <v>54</v>
      </c>
      <c r="AX2078" t="str">
        <f t="shared" si="271"/>
        <v>FOR</v>
      </c>
      <c r="AY2078" t="s">
        <v>55</v>
      </c>
    </row>
    <row r="2079" spans="1:51">
      <c r="A2079">
        <v>102310</v>
      </c>
      <c r="B2079" t="s">
        <v>313</v>
      </c>
      <c r="C2079" t="str">
        <f t="shared" si="273"/>
        <v>00936980622</v>
      </c>
      <c r="D2079" t="str">
        <f t="shared" si="273"/>
        <v>00936980622</v>
      </c>
      <c r="E2079" t="s">
        <v>52</v>
      </c>
      <c r="F2079">
        <v>2015</v>
      </c>
      <c r="G2079" t="str">
        <f>"                 28E"</f>
        <v xml:space="preserve">                 28E</v>
      </c>
      <c r="H2079" s="3">
        <v>42358</v>
      </c>
      <c r="I2079" s="3">
        <v>42368</v>
      </c>
      <c r="J2079" s="3">
        <v>42368</v>
      </c>
      <c r="K2079" s="3">
        <v>42428</v>
      </c>
      <c r="L2079" s="5">
        <v>3662.64</v>
      </c>
      <c r="M2079">
        <v>92</v>
      </c>
      <c r="N2079" s="5">
        <v>336962.88</v>
      </c>
      <c r="O2079" s="4">
        <v>3662.64</v>
      </c>
      <c r="P2079">
        <v>92</v>
      </c>
      <c r="Q2079" s="4">
        <v>336962.88</v>
      </c>
      <c r="R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 s="3">
        <v>42562</v>
      </c>
      <c r="AC2079" t="s">
        <v>53</v>
      </c>
      <c r="AD2079" t="s">
        <v>53</v>
      </c>
      <c r="AK2079">
        <v>0</v>
      </c>
      <c r="AU2079" s="3">
        <v>42520</v>
      </c>
      <c r="AV2079" s="3">
        <v>42520</v>
      </c>
      <c r="AW2079" t="s">
        <v>54</v>
      </c>
      <c r="AX2079" t="str">
        <f t="shared" si="271"/>
        <v>FOR</v>
      </c>
      <c r="AY2079" t="s">
        <v>55</v>
      </c>
    </row>
    <row r="2080" spans="1:51">
      <c r="A2080">
        <v>102310</v>
      </c>
      <c r="B2080" t="s">
        <v>313</v>
      </c>
      <c r="C2080" t="str">
        <f t="shared" si="273"/>
        <v>00936980622</v>
      </c>
      <c r="D2080" t="str">
        <f t="shared" si="273"/>
        <v>00936980622</v>
      </c>
      <c r="E2080" t="s">
        <v>52</v>
      </c>
      <c r="F2080">
        <v>2015</v>
      </c>
      <c r="G2080" t="str">
        <f>"                 29E"</f>
        <v xml:space="preserve">                 29E</v>
      </c>
      <c r="H2080" s="3">
        <v>42358</v>
      </c>
      <c r="I2080" s="3">
        <v>42368</v>
      </c>
      <c r="J2080" s="3">
        <v>42368</v>
      </c>
      <c r="K2080" s="3">
        <v>42428</v>
      </c>
      <c r="L2080" s="5">
        <v>3968.05</v>
      </c>
      <c r="M2080">
        <v>92</v>
      </c>
      <c r="N2080" s="5">
        <v>365060.6</v>
      </c>
      <c r="O2080" s="4">
        <v>3968.05</v>
      </c>
      <c r="P2080">
        <v>92</v>
      </c>
      <c r="Q2080" s="4">
        <v>365060.6</v>
      </c>
      <c r="R2080">
        <v>0</v>
      </c>
      <c r="V2080">
        <v>0</v>
      </c>
      <c r="W2080">
        <v>0</v>
      </c>
      <c r="X2080">
        <v>0</v>
      </c>
      <c r="Y2080">
        <v>0</v>
      </c>
      <c r="Z2080">
        <v>0</v>
      </c>
      <c r="AA2080">
        <v>0</v>
      </c>
      <c r="AB2080" s="3">
        <v>42562</v>
      </c>
      <c r="AC2080" t="s">
        <v>53</v>
      </c>
      <c r="AD2080" t="s">
        <v>53</v>
      </c>
      <c r="AK2080">
        <v>0</v>
      </c>
      <c r="AU2080" s="3">
        <v>42520</v>
      </c>
      <c r="AV2080" s="3">
        <v>42520</v>
      </c>
      <c r="AW2080" t="s">
        <v>54</v>
      </c>
      <c r="AX2080" t="str">
        <f t="shared" si="271"/>
        <v>FOR</v>
      </c>
      <c r="AY2080" t="s">
        <v>55</v>
      </c>
    </row>
    <row r="2081" spans="1:51">
      <c r="A2081">
        <v>102310</v>
      </c>
      <c r="B2081" t="s">
        <v>313</v>
      </c>
      <c r="C2081" t="str">
        <f t="shared" si="273"/>
        <v>00936980622</v>
      </c>
      <c r="D2081" t="str">
        <f t="shared" si="273"/>
        <v>00936980622</v>
      </c>
      <c r="E2081" t="s">
        <v>52</v>
      </c>
      <c r="F2081">
        <v>2015</v>
      </c>
      <c r="G2081" t="str">
        <f>"                 30E"</f>
        <v xml:space="preserve">                 30E</v>
      </c>
      <c r="H2081" s="3">
        <v>42358</v>
      </c>
      <c r="I2081" s="3">
        <v>42368</v>
      </c>
      <c r="J2081" s="3">
        <v>42368</v>
      </c>
      <c r="K2081" s="3">
        <v>42428</v>
      </c>
      <c r="L2081" s="5">
        <v>4073.89</v>
      </c>
      <c r="M2081">
        <v>92</v>
      </c>
      <c r="N2081" s="5">
        <v>374797.88</v>
      </c>
      <c r="O2081" s="4">
        <v>4073.89</v>
      </c>
      <c r="P2081">
        <v>92</v>
      </c>
      <c r="Q2081" s="4">
        <v>374797.88</v>
      </c>
      <c r="R2081">
        <v>0</v>
      </c>
      <c r="V2081">
        <v>0</v>
      </c>
      <c r="W2081">
        <v>0</v>
      </c>
      <c r="X2081">
        <v>0</v>
      </c>
      <c r="Y2081">
        <v>0</v>
      </c>
      <c r="Z2081">
        <v>0</v>
      </c>
      <c r="AA2081">
        <v>0</v>
      </c>
      <c r="AB2081" s="3">
        <v>42562</v>
      </c>
      <c r="AC2081" t="s">
        <v>53</v>
      </c>
      <c r="AD2081" t="s">
        <v>53</v>
      </c>
      <c r="AK2081">
        <v>0</v>
      </c>
      <c r="AU2081" s="3">
        <v>42520</v>
      </c>
      <c r="AV2081" s="3">
        <v>42520</v>
      </c>
      <c r="AW2081" t="s">
        <v>54</v>
      </c>
      <c r="AX2081" t="str">
        <f t="shared" si="271"/>
        <v>FOR</v>
      </c>
      <c r="AY2081" t="s">
        <v>55</v>
      </c>
    </row>
    <row r="2082" spans="1:51" hidden="1">
      <c r="A2082">
        <v>102393</v>
      </c>
      <c r="B2082" t="s">
        <v>314</v>
      </c>
      <c r="C2082" t="str">
        <f>"03433791211"</f>
        <v>03433791211</v>
      </c>
      <c r="D2082" t="str">
        <f>"VNTTLI66P59F839K"</f>
        <v>VNTTLI66P59F839K</v>
      </c>
      <c r="E2082" t="s">
        <v>52</v>
      </c>
      <c r="F2082">
        <v>2016</v>
      </c>
      <c r="G2082" t="str">
        <f>"                   3"</f>
        <v xml:space="preserve">                   3</v>
      </c>
      <c r="H2082" s="3">
        <v>42391</v>
      </c>
      <c r="I2082" s="3">
        <v>42391</v>
      </c>
      <c r="J2082" s="3">
        <v>42391</v>
      </c>
      <c r="K2082" s="3">
        <v>42449</v>
      </c>
      <c r="L2082"/>
      <c r="N2082"/>
      <c r="O2082" s="4">
        <v>1600</v>
      </c>
      <c r="P2082">
        <v>-58</v>
      </c>
      <c r="Q2082" s="4">
        <v>-92800</v>
      </c>
      <c r="R2082">
        <v>0</v>
      </c>
      <c r="V2082">
        <v>0</v>
      </c>
      <c r="W2082">
        <v>0</v>
      </c>
      <c r="X2082">
        <v>0</v>
      </c>
      <c r="Y2082" s="4">
        <v>1600</v>
      </c>
      <c r="Z2082" s="4">
        <v>1600</v>
      </c>
      <c r="AA2082" s="4">
        <v>1600</v>
      </c>
      <c r="AB2082" s="3">
        <v>42562</v>
      </c>
      <c r="AC2082" t="s">
        <v>53</v>
      </c>
      <c r="AD2082" t="s">
        <v>53</v>
      </c>
      <c r="AK2082">
        <v>0</v>
      </c>
      <c r="AU2082" s="3">
        <v>42391</v>
      </c>
      <c r="AV2082" s="3">
        <v>42391</v>
      </c>
      <c r="AW2082" t="s">
        <v>54</v>
      </c>
      <c r="AX2082" t="str">
        <f>"ALT"</f>
        <v>ALT</v>
      </c>
      <c r="AY2082" t="s">
        <v>72</v>
      </c>
    </row>
    <row r="2083" spans="1:51" hidden="1">
      <c r="A2083">
        <v>102629</v>
      </c>
      <c r="B2083" t="s">
        <v>315</v>
      </c>
      <c r="C2083" t="str">
        <f t="shared" ref="C2083:D2114" si="274">"01128810650"</f>
        <v>01128810650</v>
      </c>
      <c r="D2083" t="str">
        <f t="shared" si="274"/>
        <v>01128810650</v>
      </c>
      <c r="E2083" t="s">
        <v>52</v>
      </c>
      <c r="F2083">
        <v>2015</v>
      </c>
      <c r="G2083" t="str">
        <f>"                 5/E"</f>
        <v xml:space="preserve">                 5/E</v>
      </c>
      <c r="H2083" s="3">
        <v>42104</v>
      </c>
      <c r="I2083" s="3">
        <v>42116</v>
      </c>
      <c r="J2083" s="3">
        <v>42115</v>
      </c>
      <c r="K2083" s="3">
        <v>42175</v>
      </c>
      <c r="L2083"/>
      <c r="N2083"/>
      <c r="O2083">
        <v>995</v>
      </c>
      <c r="P2083">
        <v>255</v>
      </c>
      <c r="Q2083" s="4">
        <v>253725</v>
      </c>
      <c r="R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 s="3">
        <v>42562</v>
      </c>
      <c r="AC2083" t="s">
        <v>53</v>
      </c>
      <c r="AD2083" t="s">
        <v>53</v>
      </c>
      <c r="AK2083">
        <v>0</v>
      </c>
      <c r="AU2083" s="3">
        <v>42430</v>
      </c>
      <c r="AV2083" s="3">
        <v>42430</v>
      </c>
      <c r="AW2083" t="s">
        <v>54</v>
      </c>
      <c r="AX2083" t="str">
        <f t="shared" ref="AX2083:AX2114" si="275">"FOR"</f>
        <v>FOR</v>
      </c>
      <c r="AY2083" t="s">
        <v>55</v>
      </c>
    </row>
    <row r="2084" spans="1:51" hidden="1">
      <c r="A2084">
        <v>102629</v>
      </c>
      <c r="B2084" t="s">
        <v>315</v>
      </c>
      <c r="C2084" t="str">
        <f t="shared" si="274"/>
        <v>01128810650</v>
      </c>
      <c r="D2084" t="str">
        <f t="shared" si="274"/>
        <v>01128810650</v>
      </c>
      <c r="E2084" t="s">
        <v>52</v>
      </c>
      <c r="F2084">
        <v>2015</v>
      </c>
      <c r="G2084" t="str">
        <f>"                 7/E"</f>
        <v xml:space="preserve">                 7/E</v>
      </c>
      <c r="H2084" s="3">
        <v>42111</v>
      </c>
      <c r="I2084" s="3">
        <v>42142</v>
      </c>
      <c r="J2084" s="3">
        <v>42137</v>
      </c>
      <c r="K2084" s="3">
        <v>42197</v>
      </c>
      <c r="L2084"/>
      <c r="N2084"/>
      <c r="O2084">
        <v>129.19999999999999</v>
      </c>
      <c r="P2084">
        <v>233</v>
      </c>
      <c r="Q2084" s="4">
        <v>30103.599999999999</v>
      </c>
      <c r="R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 s="3">
        <v>42562</v>
      </c>
      <c r="AC2084" t="s">
        <v>53</v>
      </c>
      <c r="AD2084" t="s">
        <v>53</v>
      </c>
      <c r="AK2084">
        <v>0</v>
      </c>
      <c r="AU2084" s="3">
        <v>42430</v>
      </c>
      <c r="AV2084" s="3">
        <v>42430</v>
      </c>
      <c r="AW2084" t="s">
        <v>54</v>
      </c>
      <c r="AX2084" t="str">
        <f t="shared" si="275"/>
        <v>FOR</v>
      </c>
      <c r="AY2084" t="s">
        <v>55</v>
      </c>
    </row>
    <row r="2085" spans="1:51" hidden="1">
      <c r="A2085">
        <v>102629</v>
      </c>
      <c r="B2085" t="s">
        <v>315</v>
      </c>
      <c r="C2085" t="str">
        <f t="shared" si="274"/>
        <v>01128810650</v>
      </c>
      <c r="D2085" t="str">
        <f t="shared" si="274"/>
        <v>01128810650</v>
      </c>
      <c r="E2085" t="s">
        <v>52</v>
      </c>
      <c r="F2085">
        <v>2015</v>
      </c>
      <c r="G2085" t="str">
        <f>"                 9/E"</f>
        <v xml:space="preserve">                 9/E</v>
      </c>
      <c r="H2085" s="3">
        <v>42111</v>
      </c>
      <c r="I2085" s="3">
        <v>42128</v>
      </c>
      <c r="J2085" s="3">
        <v>42124</v>
      </c>
      <c r="K2085" s="3">
        <v>42184</v>
      </c>
      <c r="L2085"/>
      <c r="N2085"/>
      <c r="O2085">
        <v>56</v>
      </c>
      <c r="P2085">
        <v>246</v>
      </c>
      <c r="Q2085" s="4">
        <v>13776</v>
      </c>
      <c r="R2085">
        <v>0</v>
      </c>
      <c r="V2085">
        <v>0</v>
      </c>
      <c r="W2085">
        <v>0</v>
      </c>
      <c r="X2085">
        <v>0</v>
      </c>
      <c r="Y2085">
        <v>0</v>
      </c>
      <c r="Z2085">
        <v>0</v>
      </c>
      <c r="AA2085">
        <v>0</v>
      </c>
      <c r="AB2085" s="3">
        <v>42562</v>
      </c>
      <c r="AC2085" t="s">
        <v>53</v>
      </c>
      <c r="AD2085" t="s">
        <v>53</v>
      </c>
      <c r="AK2085">
        <v>0</v>
      </c>
      <c r="AU2085" s="3">
        <v>42430</v>
      </c>
      <c r="AV2085" s="3">
        <v>42430</v>
      </c>
      <c r="AW2085" t="s">
        <v>54</v>
      </c>
      <c r="AX2085" t="str">
        <f t="shared" si="275"/>
        <v>FOR</v>
      </c>
      <c r="AY2085" t="s">
        <v>55</v>
      </c>
    </row>
    <row r="2086" spans="1:51" hidden="1">
      <c r="A2086">
        <v>102629</v>
      </c>
      <c r="B2086" t="s">
        <v>315</v>
      </c>
      <c r="C2086" t="str">
        <f t="shared" si="274"/>
        <v>01128810650</v>
      </c>
      <c r="D2086" t="str">
        <f t="shared" si="274"/>
        <v>01128810650</v>
      </c>
      <c r="E2086" t="s">
        <v>52</v>
      </c>
      <c r="F2086">
        <v>2015</v>
      </c>
      <c r="G2086" t="str">
        <f>"                23/E"</f>
        <v xml:space="preserve">                23/E</v>
      </c>
      <c r="H2086" s="3">
        <v>42118</v>
      </c>
      <c r="I2086" s="3">
        <v>42174</v>
      </c>
      <c r="J2086" s="3">
        <v>42138</v>
      </c>
      <c r="K2086" s="3">
        <v>42198</v>
      </c>
      <c r="L2086"/>
      <c r="N2086"/>
      <c r="O2086">
        <v>931</v>
      </c>
      <c r="P2086">
        <v>232</v>
      </c>
      <c r="Q2086" s="4">
        <v>215992</v>
      </c>
      <c r="R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 s="3">
        <v>42562</v>
      </c>
      <c r="AC2086" t="s">
        <v>53</v>
      </c>
      <c r="AD2086" t="s">
        <v>53</v>
      </c>
      <c r="AK2086">
        <v>0</v>
      </c>
      <c r="AU2086" s="3">
        <v>42430</v>
      </c>
      <c r="AV2086" s="3">
        <v>42430</v>
      </c>
      <c r="AW2086" t="s">
        <v>54</v>
      </c>
      <c r="AX2086" t="str">
        <f t="shared" si="275"/>
        <v>FOR</v>
      </c>
      <c r="AY2086" t="s">
        <v>55</v>
      </c>
    </row>
    <row r="2087" spans="1:51" hidden="1">
      <c r="A2087">
        <v>102629</v>
      </c>
      <c r="B2087" t="s">
        <v>315</v>
      </c>
      <c r="C2087" t="str">
        <f t="shared" si="274"/>
        <v>01128810650</v>
      </c>
      <c r="D2087" t="str">
        <f t="shared" si="274"/>
        <v>01128810650</v>
      </c>
      <c r="E2087" t="s">
        <v>52</v>
      </c>
      <c r="F2087">
        <v>2015</v>
      </c>
      <c r="G2087" t="str">
        <f>"                34/P"</f>
        <v xml:space="preserve">                34/P</v>
      </c>
      <c r="H2087" s="3">
        <v>42041</v>
      </c>
      <c r="I2087" s="3">
        <v>42054</v>
      </c>
      <c r="J2087" s="3">
        <v>42054</v>
      </c>
      <c r="K2087" s="3">
        <v>42114</v>
      </c>
      <c r="L2087"/>
      <c r="N2087"/>
      <c r="O2087">
        <v>170</v>
      </c>
      <c r="P2087">
        <v>289</v>
      </c>
      <c r="Q2087" s="4">
        <v>49130</v>
      </c>
      <c r="R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 s="3">
        <v>42562</v>
      </c>
      <c r="AC2087" t="s">
        <v>53</v>
      </c>
      <c r="AD2087" t="s">
        <v>53</v>
      </c>
      <c r="AK2087">
        <v>0</v>
      </c>
      <c r="AU2087" s="3">
        <v>42403</v>
      </c>
      <c r="AV2087" s="3">
        <v>42403</v>
      </c>
      <c r="AW2087" t="s">
        <v>54</v>
      </c>
      <c r="AX2087" t="str">
        <f t="shared" si="275"/>
        <v>FOR</v>
      </c>
      <c r="AY2087" t="s">
        <v>55</v>
      </c>
    </row>
    <row r="2088" spans="1:51" hidden="1">
      <c r="A2088">
        <v>102629</v>
      </c>
      <c r="B2088" t="s">
        <v>315</v>
      </c>
      <c r="C2088" t="str">
        <f t="shared" si="274"/>
        <v>01128810650</v>
      </c>
      <c r="D2088" t="str">
        <f t="shared" si="274"/>
        <v>01128810650</v>
      </c>
      <c r="E2088" t="s">
        <v>52</v>
      </c>
      <c r="F2088">
        <v>2015</v>
      </c>
      <c r="G2088" t="str">
        <f>"                47/E"</f>
        <v xml:space="preserve">                47/E</v>
      </c>
      <c r="H2088" s="3">
        <v>42149</v>
      </c>
      <c r="I2088" s="3">
        <v>42160</v>
      </c>
      <c r="J2088" s="3">
        <v>42151</v>
      </c>
      <c r="K2088" s="3">
        <v>42211</v>
      </c>
      <c r="L2088"/>
      <c r="N2088"/>
      <c r="O2088" s="4">
        <v>3562.5</v>
      </c>
      <c r="P2088">
        <v>241</v>
      </c>
      <c r="Q2088" s="4">
        <v>858562.5</v>
      </c>
      <c r="R2088">
        <v>0</v>
      </c>
      <c r="V2088">
        <v>0</v>
      </c>
      <c r="W2088">
        <v>0</v>
      </c>
      <c r="X2088">
        <v>0</v>
      </c>
      <c r="Y2088">
        <v>0</v>
      </c>
      <c r="Z2088">
        <v>0</v>
      </c>
      <c r="AA2088">
        <v>0</v>
      </c>
      <c r="AB2088" s="3">
        <v>42562</v>
      </c>
      <c r="AC2088" t="s">
        <v>53</v>
      </c>
      <c r="AD2088" t="s">
        <v>53</v>
      </c>
      <c r="AK2088">
        <v>0</v>
      </c>
      <c r="AU2088" s="3">
        <v>42452</v>
      </c>
      <c r="AV2088" s="3">
        <v>42452</v>
      </c>
      <c r="AW2088" t="s">
        <v>54</v>
      </c>
      <c r="AX2088" t="str">
        <f t="shared" si="275"/>
        <v>FOR</v>
      </c>
      <c r="AY2088" t="s">
        <v>55</v>
      </c>
    </row>
    <row r="2089" spans="1:51" hidden="1">
      <c r="A2089">
        <v>102629</v>
      </c>
      <c r="B2089" t="s">
        <v>315</v>
      </c>
      <c r="C2089" t="str">
        <f t="shared" si="274"/>
        <v>01128810650</v>
      </c>
      <c r="D2089" t="str">
        <f t="shared" si="274"/>
        <v>01128810650</v>
      </c>
      <c r="E2089" t="s">
        <v>52</v>
      </c>
      <c r="F2089">
        <v>2015</v>
      </c>
      <c r="G2089" t="str">
        <f>"                49/E"</f>
        <v xml:space="preserve">                49/E</v>
      </c>
      <c r="H2089" s="3">
        <v>42149</v>
      </c>
      <c r="I2089" s="3">
        <v>42160</v>
      </c>
      <c r="J2089" s="3">
        <v>42151</v>
      </c>
      <c r="K2089" s="3">
        <v>42211</v>
      </c>
      <c r="L2089"/>
      <c r="N2089"/>
      <c r="O2089" s="4">
        <v>3145</v>
      </c>
      <c r="P2089">
        <v>241</v>
      </c>
      <c r="Q2089" s="4">
        <v>757945</v>
      </c>
      <c r="R2089">
        <v>0</v>
      </c>
      <c r="V2089">
        <v>0</v>
      </c>
      <c r="W2089">
        <v>0</v>
      </c>
      <c r="X2089">
        <v>0</v>
      </c>
      <c r="Y2089">
        <v>0</v>
      </c>
      <c r="Z2089">
        <v>0</v>
      </c>
      <c r="AA2089">
        <v>0</v>
      </c>
      <c r="AB2089" s="3">
        <v>42562</v>
      </c>
      <c r="AC2089" t="s">
        <v>53</v>
      </c>
      <c r="AD2089" t="s">
        <v>53</v>
      </c>
      <c r="AK2089">
        <v>0</v>
      </c>
      <c r="AU2089" s="3">
        <v>42452</v>
      </c>
      <c r="AV2089" s="3">
        <v>42452</v>
      </c>
      <c r="AW2089" t="s">
        <v>54</v>
      </c>
      <c r="AX2089" t="str">
        <f t="shared" si="275"/>
        <v>FOR</v>
      </c>
      <c r="AY2089" t="s">
        <v>55</v>
      </c>
    </row>
    <row r="2090" spans="1:51" hidden="1">
      <c r="A2090">
        <v>102629</v>
      </c>
      <c r="B2090" t="s">
        <v>315</v>
      </c>
      <c r="C2090" t="str">
        <f t="shared" si="274"/>
        <v>01128810650</v>
      </c>
      <c r="D2090" t="str">
        <f t="shared" si="274"/>
        <v>01128810650</v>
      </c>
      <c r="E2090" t="s">
        <v>52</v>
      </c>
      <c r="F2090">
        <v>2015</v>
      </c>
      <c r="G2090" t="str">
        <f>"                50/P"</f>
        <v xml:space="preserve">                50/P</v>
      </c>
      <c r="H2090" s="3">
        <v>42062</v>
      </c>
      <c r="I2090" s="3">
        <v>42073</v>
      </c>
      <c r="J2090" s="3">
        <v>42073</v>
      </c>
      <c r="K2090" s="3">
        <v>42133</v>
      </c>
      <c r="L2090"/>
      <c r="N2090"/>
      <c r="O2090" s="4">
        <v>1013.9</v>
      </c>
      <c r="P2090">
        <v>270</v>
      </c>
      <c r="Q2090" s="4">
        <v>273753</v>
      </c>
      <c r="R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 s="3">
        <v>42562</v>
      </c>
      <c r="AC2090" t="s">
        <v>53</v>
      </c>
      <c r="AD2090" t="s">
        <v>53</v>
      </c>
      <c r="AK2090">
        <v>0</v>
      </c>
      <c r="AU2090" s="3">
        <v>42403</v>
      </c>
      <c r="AV2090" s="3">
        <v>42403</v>
      </c>
      <c r="AW2090" t="s">
        <v>54</v>
      </c>
      <c r="AX2090" t="str">
        <f t="shared" si="275"/>
        <v>FOR</v>
      </c>
      <c r="AY2090" t="s">
        <v>55</v>
      </c>
    </row>
    <row r="2091" spans="1:51" hidden="1">
      <c r="A2091">
        <v>102629</v>
      </c>
      <c r="B2091" t="s">
        <v>315</v>
      </c>
      <c r="C2091" t="str">
        <f t="shared" si="274"/>
        <v>01128810650</v>
      </c>
      <c r="D2091" t="str">
        <f t="shared" si="274"/>
        <v>01128810650</v>
      </c>
      <c r="E2091" t="s">
        <v>52</v>
      </c>
      <c r="F2091">
        <v>2015</v>
      </c>
      <c r="G2091" t="str">
        <f>"                51/P"</f>
        <v xml:space="preserve">                51/P</v>
      </c>
      <c r="H2091" s="3">
        <v>42062</v>
      </c>
      <c r="I2091" s="3">
        <v>42115</v>
      </c>
      <c r="J2091" s="3">
        <v>42115</v>
      </c>
      <c r="K2091" s="3">
        <v>42175</v>
      </c>
      <c r="L2091"/>
      <c r="N2091"/>
      <c r="O2091" s="4">
        <v>1771</v>
      </c>
      <c r="P2091">
        <v>228</v>
      </c>
      <c r="Q2091" s="4">
        <v>403788</v>
      </c>
      <c r="R2091">
        <v>0</v>
      </c>
      <c r="V2091">
        <v>0</v>
      </c>
      <c r="W2091">
        <v>0</v>
      </c>
      <c r="X2091">
        <v>0</v>
      </c>
      <c r="Y2091">
        <v>0</v>
      </c>
      <c r="Z2091">
        <v>0</v>
      </c>
      <c r="AA2091">
        <v>0</v>
      </c>
      <c r="AB2091" s="3">
        <v>42562</v>
      </c>
      <c r="AC2091" t="s">
        <v>53</v>
      </c>
      <c r="AD2091" t="s">
        <v>53</v>
      </c>
      <c r="AK2091">
        <v>0</v>
      </c>
      <c r="AU2091" s="3">
        <v>42403</v>
      </c>
      <c r="AV2091" s="3">
        <v>42403</v>
      </c>
      <c r="AW2091" t="s">
        <v>54</v>
      </c>
      <c r="AX2091" t="str">
        <f t="shared" si="275"/>
        <v>FOR</v>
      </c>
      <c r="AY2091" t="s">
        <v>55</v>
      </c>
    </row>
    <row r="2092" spans="1:51" hidden="1">
      <c r="A2092">
        <v>102629</v>
      </c>
      <c r="B2092" t="s">
        <v>315</v>
      </c>
      <c r="C2092" t="str">
        <f t="shared" si="274"/>
        <v>01128810650</v>
      </c>
      <c r="D2092" t="str">
        <f t="shared" si="274"/>
        <v>01128810650</v>
      </c>
      <c r="E2092" t="s">
        <v>52</v>
      </c>
      <c r="F2092">
        <v>2015</v>
      </c>
      <c r="G2092" t="str">
        <f>"                52/P"</f>
        <v xml:space="preserve">                52/P</v>
      </c>
      <c r="H2092" s="3">
        <v>42062</v>
      </c>
      <c r="I2092" s="3">
        <v>42073</v>
      </c>
      <c r="J2092" s="3">
        <v>42073</v>
      </c>
      <c r="K2092" s="3">
        <v>42133</v>
      </c>
      <c r="L2092"/>
      <c r="N2092"/>
      <c r="O2092">
        <v>957.9</v>
      </c>
      <c r="P2092">
        <v>270</v>
      </c>
      <c r="Q2092" s="4">
        <v>258633</v>
      </c>
      <c r="R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 s="3">
        <v>42562</v>
      </c>
      <c r="AC2092" t="s">
        <v>53</v>
      </c>
      <c r="AD2092" t="s">
        <v>53</v>
      </c>
      <c r="AK2092">
        <v>0</v>
      </c>
      <c r="AU2092" s="3">
        <v>42403</v>
      </c>
      <c r="AV2092" s="3">
        <v>42403</v>
      </c>
      <c r="AW2092" t="s">
        <v>54</v>
      </c>
      <c r="AX2092" t="str">
        <f t="shared" si="275"/>
        <v>FOR</v>
      </c>
      <c r="AY2092" t="s">
        <v>55</v>
      </c>
    </row>
    <row r="2093" spans="1:51" hidden="1">
      <c r="A2093">
        <v>102629</v>
      </c>
      <c r="B2093" t="s">
        <v>315</v>
      </c>
      <c r="C2093" t="str">
        <f t="shared" si="274"/>
        <v>01128810650</v>
      </c>
      <c r="D2093" t="str">
        <f t="shared" si="274"/>
        <v>01128810650</v>
      </c>
      <c r="E2093" t="s">
        <v>52</v>
      </c>
      <c r="F2093">
        <v>2015</v>
      </c>
      <c r="G2093" t="str">
        <f>"                56/P"</f>
        <v xml:space="preserve">                56/P</v>
      </c>
      <c r="H2093" s="3">
        <v>42062</v>
      </c>
      <c r="I2093" s="3">
        <v>42073</v>
      </c>
      <c r="J2093" s="3">
        <v>42073</v>
      </c>
      <c r="K2093" s="3">
        <v>42133</v>
      </c>
      <c r="L2093"/>
      <c r="N2093"/>
      <c r="O2093">
        <v>453</v>
      </c>
      <c r="P2093">
        <v>270</v>
      </c>
      <c r="Q2093" s="4">
        <v>122310</v>
      </c>
      <c r="R2093">
        <v>0</v>
      </c>
      <c r="V2093">
        <v>0</v>
      </c>
      <c r="W2093">
        <v>0</v>
      </c>
      <c r="X2093">
        <v>0</v>
      </c>
      <c r="Y2093">
        <v>0</v>
      </c>
      <c r="Z2093">
        <v>0</v>
      </c>
      <c r="AA2093">
        <v>0</v>
      </c>
      <c r="AB2093" s="3">
        <v>42562</v>
      </c>
      <c r="AC2093" t="s">
        <v>53</v>
      </c>
      <c r="AD2093" t="s">
        <v>53</v>
      </c>
      <c r="AK2093">
        <v>0</v>
      </c>
      <c r="AU2093" s="3">
        <v>42403</v>
      </c>
      <c r="AV2093" s="3">
        <v>42403</v>
      </c>
      <c r="AW2093" t="s">
        <v>54</v>
      </c>
      <c r="AX2093" t="str">
        <f t="shared" si="275"/>
        <v>FOR</v>
      </c>
      <c r="AY2093" t="s">
        <v>55</v>
      </c>
    </row>
    <row r="2094" spans="1:51" hidden="1">
      <c r="A2094">
        <v>102629</v>
      </c>
      <c r="B2094" t="s">
        <v>315</v>
      </c>
      <c r="C2094" t="str">
        <f t="shared" si="274"/>
        <v>01128810650</v>
      </c>
      <c r="D2094" t="str">
        <f t="shared" si="274"/>
        <v>01128810650</v>
      </c>
      <c r="E2094" t="s">
        <v>52</v>
      </c>
      <c r="F2094">
        <v>2015</v>
      </c>
      <c r="G2094" t="str">
        <f>"                57/P"</f>
        <v xml:space="preserve">                57/P</v>
      </c>
      <c r="H2094" s="3">
        <v>42062</v>
      </c>
      <c r="I2094" s="3">
        <v>42073</v>
      </c>
      <c r="J2094" s="3">
        <v>42073</v>
      </c>
      <c r="K2094" s="3">
        <v>42133</v>
      </c>
      <c r="L2094"/>
      <c r="N2094"/>
      <c r="O2094" s="4">
        <v>1117.9000000000001</v>
      </c>
      <c r="P2094">
        <v>270</v>
      </c>
      <c r="Q2094" s="4">
        <v>301833</v>
      </c>
      <c r="R2094">
        <v>0</v>
      </c>
      <c r="V2094">
        <v>0</v>
      </c>
      <c r="W2094">
        <v>0</v>
      </c>
      <c r="X2094">
        <v>0</v>
      </c>
      <c r="Y2094">
        <v>0</v>
      </c>
      <c r="Z2094">
        <v>0</v>
      </c>
      <c r="AA2094">
        <v>0</v>
      </c>
      <c r="AB2094" s="3">
        <v>42562</v>
      </c>
      <c r="AC2094" t="s">
        <v>53</v>
      </c>
      <c r="AD2094" t="s">
        <v>53</v>
      </c>
      <c r="AK2094">
        <v>0</v>
      </c>
      <c r="AU2094" s="3">
        <v>42403</v>
      </c>
      <c r="AV2094" s="3">
        <v>42403</v>
      </c>
      <c r="AW2094" t="s">
        <v>54</v>
      </c>
      <c r="AX2094" t="str">
        <f t="shared" si="275"/>
        <v>FOR</v>
      </c>
      <c r="AY2094" t="s">
        <v>55</v>
      </c>
    </row>
    <row r="2095" spans="1:51" hidden="1">
      <c r="A2095">
        <v>102629</v>
      </c>
      <c r="B2095" t="s">
        <v>315</v>
      </c>
      <c r="C2095" t="str">
        <f t="shared" si="274"/>
        <v>01128810650</v>
      </c>
      <c r="D2095" t="str">
        <f t="shared" si="274"/>
        <v>01128810650</v>
      </c>
      <c r="E2095" t="s">
        <v>52</v>
      </c>
      <c r="F2095">
        <v>2015</v>
      </c>
      <c r="G2095" t="str">
        <f>"                58/P"</f>
        <v xml:space="preserve">                58/P</v>
      </c>
      <c r="H2095" s="3">
        <v>42062</v>
      </c>
      <c r="I2095" s="3">
        <v>42073</v>
      </c>
      <c r="J2095" s="3">
        <v>42073</v>
      </c>
      <c r="K2095" s="3">
        <v>42133</v>
      </c>
      <c r="L2095"/>
      <c r="N2095"/>
      <c r="O2095">
        <v>25.8</v>
      </c>
      <c r="P2095">
        <v>270</v>
      </c>
      <c r="Q2095" s="4">
        <v>6966</v>
      </c>
      <c r="R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 s="3">
        <v>42562</v>
      </c>
      <c r="AC2095" t="s">
        <v>53</v>
      </c>
      <c r="AD2095" t="s">
        <v>53</v>
      </c>
      <c r="AK2095">
        <v>0</v>
      </c>
      <c r="AU2095" s="3">
        <v>42403</v>
      </c>
      <c r="AV2095" s="3">
        <v>42403</v>
      </c>
      <c r="AW2095" t="s">
        <v>54</v>
      </c>
      <c r="AX2095" t="str">
        <f t="shared" si="275"/>
        <v>FOR</v>
      </c>
      <c r="AY2095" t="s">
        <v>55</v>
      </c>
    </row>
    <row r="2096" spans="1:51" hidden="1">
      <c r="A2096">
        <v>102629</v>
      </c>
      <c r="B2096" t="s">
        <v>315</v>
      </c>
      <c r="C2096" t="str">
        <f t="shared" si="274"/>
        <v>01128810650</v>
      </c>
      <c r="D2096" t="str">
        <f t="shared" si="274"/>
        <v>01128810650</v>
      </c>
      <c r="E2096" t="s">
        <v>52</v>
      </c>
      <c r="F2096">
        <v>2015</v>
      </c>
      <c r="G2096" t="str">
        <f>"                59/P"</f>
        <v xml:space="preserve">                59/P</v>
      </c>
      <c r="H2096" s="3">
        <v>42062</v>
      </c>
      <c r="I2096" s="3">
        <v>42073</v>
      </c>
      <c r="J2096" s="3">
        <v>42073</v>
      </c>
      <c r="K2096" s="3">
        <v>42133</v>
      </c>
      <c r="L2096"/>
      <c r="N2096"/>
      <c r="O2096">
        <v>646.20000000000005</v>
      </c>
      <c r="P2096">
        <v>270</v>
      </c>
      <c r="Q2096" s="4">
        <v>174474</v>
      </c>
      <c r="R2096">
        <v>0</v>
      </c>
      <c r="V2096">
        <v>0</v>
      </c>
      <c r="W2096">
        <v>0</v>
      </c>
      <c r="X2096">
        <v>0</v>
      </c>
      <c r="Y2096">
        <v>0</v>
      </c>
      <c r="Z2096">
        <v>0</v>
      </c>
      <c r="AA2096">
        <v>0</v>
      </c>
      <c r="AB2096" s="3">
        <v>42562</v>
      </c>
      <c r="AC2096" t="s">
        <v>53</v>
      </c>
      <c r="AD2096" t="s">
        <v>53</v>
      </c>
      <c r="AK2096">
        <v>0</v>
      </c>
      <c r="AU2096" s="3">
        <v>42403</v>
      </c>
      <c r="AV2096" s="3">
        <v>42403</v>
      </c>
      <c r="AW2096" t="s">
        <v>54</v>
      </c>
      <c r="AX2096" t="str">
        <f t="shared" si="275"/>
        <v>FOR</v>
      </c>
      <c r="AY2096" t="s">
        <v>55</v>
      </c>
    </row>
    <row r="2097" spans="1:51" hidden="1">
      <c r="A2097">
        <v>102629</v>
      </c>
      <c r="B2097" t="s">
        <v>315</v>
      </c>
      <c r="C2097" t="str">
        <f t="shared" si="274"/>
        <v>01128810650</v>
      </c>
      <c r="D2097" t="str">
        <f t="shared" si="274"/>
        <v>01128810650</v>
      </c>
      <c r="E2097" t="s">
        <v>52</v>
      </c>
      <c r="F2097">
        <v>2015</v>
      </c>
      <c r="G2097" t="str">
        <f>"                60/P"</f>
        <v xml:space="preserve">                60/P</v>
      </c>
      <c r="H2097" s="3">
        <v>42062</v>
      </c>
      <c r="I2097" s="3">
        <v>42073</v>
      </c>
      <c r="J2097" s="3">
        <v>42073</v>
      </c>
      <c r="K2097" s="3">
        <v>42133</v>
      </c>
      <c r="L2097"/>
      <c r="N2097"/>
      <c r="O2097">
        <v>547</v>
      </c>
      <c r="P2097">
        <v>270</v>
      </c>
      <c r="Q2097" s="4">
        <v>147690</v>
      </c>
      <c r="R2097">
        <v>0</v>
      </c>
      <c r="V2097">
        <v>0</v>
      </c>
      <c r="W2097">
        <v>0</v>
      </c>
      <c r="X2097">
        <v>0</v>
      </c>
      <c r="Y2097">
        <v>0</v>
      </c>
      <c r="Z2097">
        <v>0</v>
      </c>
      <c r="AA2097">
        <v>0</v>
      </c>
      <c r="AB2097" s="3">
        <v>42562</v>
      </c>
      <c r="AC2097" t="s">
        <v>53</v>
      </c>
      <c r="AD2097" t="s">
        <v>53</v>
      </c>
      <c r="AK2097">
        <v>0</v>
      </c>
      <c r="AU2097" s="3">
        <v>42403</v>
      </c>
      <c r="AV2097" s="3">
        <v>42403</v>
      </c>
      <c r="AW2097" t="s">
        <v>54</v>
      </c>
      <c r="AX2097" t="str">
        <f t="shared" si="275"/>
        <v>FOR</v>
      </c>
      <c r="AY2097" t="s">
        <v>55</v>
      </c>
    </row>
    <row r="2098" spans="1:51" hidden="1">
      <c r="A2098">
        <v>102629</v>
      </c>
      <c r="B2098" t="s">
        <v>315</v>
      </c>
      <c r="C2098" t="str">
        <f t="shared" si="274"/>
        <v>01128810650</v>
      </c>
      <c r="D2098" t="str">
        <f t="shared" si="274"/>
        <v>01128810650</v>
      </c>
      <c r="E2098" t="s">
        <v>52</v>
      </c>
      <c r="F2098">
        <v>2015</v>
      </c>
      <c r="G2098" t="str">
        <f>"                61/P"</f>
        <v xml:space="preserve">                61/P</v>
      </c>
      <c r="H2098" s="3">
        <v>42062</v>
      </c>
      <c r="I2098" s="3">
        <v>42073</v>
      </c>
      <c r="J2098" s="3">
        <v>42073</v>
      </c>
      <c r="K2098" s="3">
        <v>42133</v>
      </c>
      <c r="L2098"/>
      <c r="N2098"/>
      <c r="O2098">
        <v>544.20000000000005</v>
      </c>
      <c r="P2098">
        <v>270</v>
      </c>
      <c r="Q2098" s="4">
        <v>146934</v>
      </c>
      <c r="R2098">
        <v>0</v>
      </c>
      <c r="V2098">
        <v>0</v>
      </c>
      <c r="W2098">
        <v>0</v>
      </c>
      <c r="X2098">
        <v>0</v>
      </c>
      <c r="Y2098">
        <v>0</v>
      </c>
      <c r="Z2098">
        <v>0</v>
      </c>
      <c r="AA2098">
        <v>0</v>
      </c>
      <c r="AB2098" s="3">
        <v>42562</v>
      </c>
      <c r="AC2098" t="s">
        <v>53</v>
      </c>
      <c r="AD2098" t="s">
        <v>53</v>
      </c>
      <c r="AK2098">
        <v>0</v>
      </c>
      <c r="AU2098" s="3">
        <v>42403</v>
      </c>
      <c r="AV2098" s="3">
        <v>42403</v>
      </c>
      <c r="AW2098" t="s">
        <v>54</v>
      </c>
      <c r="AX2098" t="str">
        <f t="shared" si="275"/>
        <v>FOR</v>
      </c>
      <c r="AY2098" t="s">
        <v>55</v>
      </c>
    </row>
    <row r="2099" spans="1:51" hidden="1">
      <c r="A2099">
        <v>102629</v>
      </c>
      <c r="B2099" t="s">
        <v>315</v>
      </c>
      <c r="C2099" t="str">
        <f t="shared" si="274"/>
        <v>01128810650</v>
      </c>
      <c r="D2099" t="str">
        <f t="shared" si="274"/>
        <v>01128810650</v>
      </c>
      <c r="E2099" t="s">
        <v>52</v>
      </c>
      <c r="F2099">
        <v>2015</v>
      </c>
      <c r="G2099" t="str">
        <f>"                62/P"</f>
        <v xml:space="preserve">                62/P</v>
      </c>
      <c r="H2099" s="3">
        <v>42062</v>
      </c>
      <c r="I2099" s="3">
        <v>42115</v>
      </c>
      <c r="J2099" s="3">
        <v>42115</v>
      </c>
      <c r="K2099" s="3">
        <v>42175</v>
      </c>
      <c r="L2099"/>
      <c r="N2099"/>
      <c r="O2099">
        <v>176.6</v>
      </c>
      <c r="P2099">
        <v>228</v>
      </c>
      <c r="Q2099" s="4">
        <v>40264.800000000003</v>
      </c>
      <c r="R2099">
        <v>0</v>
      </c>
      <c r="V2099">
        <v>0</v>
      </c>
      <c r="W2099">
        <v>0</v>
      </c>
      <c r="X2099">
        <v>0</v>
      </c>
      <c r="Y2099">
        <v>0</v>
      </c>
      <c r="Z2099">
        <v>0</v>
      </c>
      <c r="AA2099">
        <v>0</v>
      </c>
      <c r="AB2099" s="3">
        <v>42562</v>
      </c>
      <c r="AC2099" t="s">
        <v>53</v>
      </c>
      <c r="AD2099" t="s">
        <v>53</v>
      </c>
      <c r="AK2099">
        <v>0</v>
      </c>
      <c r="AU2099" s="3">
        <v>42403</v>
      </c>
      <c r="AV2099" s="3">
        <v>42403</v>
      </c>
      <c r="AW2099" t="s">
        <v>54</v>
      </c>
      <c r="AX2099" t="str">
        <f t="shared" si="275"/>
        <v>FOR</v>
      </c>
      <c r="AY2099" t="s">
        <v>55</v>
      </c>
    </row>
    <row r="2100" spans="1:51">
      <c r="A2100">
        <v>102629</v>
      </c>
      <c r="B2100" t="s">
        <v>315</v>
      </c>
      <c r="C2100" t="str">
        <f t="shared" si="274"/>
        <v>01128810650</v>
      </c>
      <c r="D2100" t="str">
        <f t="shared" si="274"/>
        <v>01128810650</v>
      </c>
      <c r="E2100" t="s">
        <v>52</v>
      </c>
      <c r="F2100">
        <v>2015</v>
      </c>
      <c r="G2100" t="str">
        <f>"                73/E"</f>
        <v xml:space="preserve">                73/E</v>
      </c>
      <c r="H2100" s="3">
        <v>42170</v>
      </c>
      <c r="I2100" s="3">
        <v>42172</v>
      </c>
      <c r="J2100" s="3">
        <v>42171</v>
      </c>
      <c r="K2100" s="3">
        <v>42231</v>
      </c>
      <c r="L2100" s="1">
        <v>995</v>
      </c>
      <c r="M2100">
        <v>256</v>
      </c>
      <c r="N2100" s="5">
        <v>254720</v>
      </c>
      <c r="O2100">
        <v>995</v>
      </c>
      <c r="P2100">
        <v>256</v>
      </c>
      <c r="Q2100" s="4">
        <v>254720</v>
      </c>
      <c r="R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 s="3">
        <v>42562</v>
      </c>
      <c r="AC2100" t="s">
        <v>53</v>
      </c>
      <c r="AD2100" t="s">
        <v>53</v>
      </c>
      <c r="AK2100">
        <v>0</v>
      </c>
      <c r="AU2100" s="3">
        <v>42487</v>
      </c>
      <c r="AV2100" s="3">
        <v>42487</v>
      </c>
      <c r="AW2100" t="s">
        <v>54</v>
      </c>
      <c r="AX2100" t="str">
        <f t="shared" si="275"/>
        <v>FOR</v>
      </c>
      <c r="AY2100" t="s">
        <v>55</v>
      </c>
    </row>
    <row r="2101" spans="1:51">
      <c r="A2101">
        <v>102629</v>
      </c>
      <c r="B2101" t="s">
        <v>315</v>
      </c>
      <c r="C2101" t="str">
        <f t="shared" si="274"/>
        <v>01128810650</v>
      </c>
      <c r="D2101" t="str">
        <f t="shared" si="274"/>
        <v>01128810650</v>
      </c>
      <c r="E2101" t="s">
        <v>52</v>
      </c>
      <c r="F2101">
        <v>2015</v>
      </c>
      <c r="G2101" t="str">
        <f>"                77/E"</f>
        <v xml:space="preserve">                77/E</v>
      </c>
      <c r="H2101" s="3">
        <v>42170</v>
      </c>
      <c r="I2101" s="3">
        <v>42171</v>
      </c>
      <c r="J2101" s="3">
        <v>42171</v>
      </c>
      <c r="K2101" s="3">
        <v>42231</v>
      </c>
      <c r="L2101" s="5">
        <v>1850</v>
      </c>
      <c r="M2101">
        <v>256</v>
      </c>
      <c r="N2101" s="5">
        <v>473600</v>
      </c>
      <c r="O2101" s="4">
        <v>1850</v>
      </c>
      <c r="P2101">
        <v>256</v>
      </c>
      <c r="Q2101" s="4">
        <v>473600</v>
      </c>
      <c r="R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 s="3">
        <v>42562</v>
      </c>
      <c r="AC2101" t="s">
        <v>53</v>
      </c>
      <c r="AD2101" t="s">
        <v>53</v>
      </c>
      <c r="AK2101">
        <v>0</v>
      </c>
      <c r="AU2101" s="3">
        <v>42487</v>
      </c>
      <c r="AV2101" s="3">
        <v>42487</v>
      </c>
      <c r="AW2101" t="s">
        <v>54</v>
      </c>
      <c r="AX2101" t="str">
        <f t="shared" si="275"/>
        <v>FOR</v>
      </c>
      <c r="AY2101" t="s">
        <v>55</v>
      </c>
    </row>
    <row r="2102" spans="1:51" hidden="1">
      <c r="A2102">
        <v>102629</v>
      </c>
      <c r="B2102" t="s">
        <v>315</v>
      </c>
      <c r="C2102" t="str">
        <f t="shared" si="274"/>
        <v>01128810650</v>
      </c>
      <c r="D2102" t="str">
        <f t="shared" si="274"/>
        <v>01128810650</v>
      </c>
      <c r="E2102" t="s">
        <v>52</v>
      </c>
      <c r="F2102">
        <v>2015</v>
      </c>
      <c r="G2102" t="str">
        <f>"                77/P"</f>
        <v xml:space="preserve">                77/P</v>
      </c>
      <c r="H2102" s="3">
        <v>42076</v>
      </c>
      <c r="I2102" s="3">
        <v>42086</v>
      </c>
      <c r="J2102" s="3">
        <v>42086</v>
      </c>
      <c r="K2102" s="3">
        <v>42146</v>
      </c>
      <c r="L2102"/>
      <c r="N2102"/>
      <c r="O2102" s="4">
        <v>5661</v>
      </c>
      <c r="P2102">
        <v>270</v>
      </c>
      <c r="Q2102" s="4">
        <v>1528470</v>
      </c>
      <c r="R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 s="3">
        <v>42562</v>
      </c>
      <c r="AC2102" t="s">
        <v>53</v>
      </c>
      <c r="AD2102" t="s">
        <v>53</v>
      </c>
      <c r="AK2102">
        <v>0</v>
      </c>
      <c r="AU2102" s="3">
        <v>42416</v>
      </c>
      <c r="AV2102" s="3">
        <v>42416</v>
      </c>
      <c r="AW2102" t="s">
        <v>54</v>
      </c>
      <c r="AX2102" t="str">
        <f t="shared" si="275"/>
        <v>FOR</v>
      </c>
      <c r="AY2102" t="s">
        <v>55</v>
      </c>
    </row>
    <row r="2103" spans="1:51" hidden="1">
      <c r="A2103">
        <v>102629</v>
      </c>
      <c r="B2103" t="s">
        <v>315</v>
      </c>
      <c r="C2103" t="str">
        <f t="shared" si="274"/>
        <v>01128810650</v>
      </c>
      <c r="D2103" t="str">
        <f t="shared" si="274"/>
        <v>01128810650</v>
      </c>
      <c r="E2103" t="s">
        <v>52</v>
      </c>
      <c r="F2103">
        <v>2015</v>
      </c>
      <c r="G2103" t="str">
        <f>"                82/P"</f>
        <v xml:space="preserve">                82/P</v>
      </c>
      <c r="H2103" s="3">
        <v>42076</v>
      </c>
      <c r="I2103" s="3">
        <v>42086</v>
      </c>
      <c r="J2103" s="3">
        <v>42086</v>
      </c>
      <c r="K2103" s="3">
        <v>42146</v>
      </c>
      <c r="L2103"/>
      <c r="N2103"/>
      <c r="O2103" s="4">
        <v>2516</v>
      </c>
      <c r="P2103">
        <v>270</v>
      </c>
      <c r="Q2103" s="4">
        <v>679320</v>
      </c>
      <c r="R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 s="3">
        <v>42562</v>
      </c>
      <c r="AC2103" t="s">
        <v>53</v>
      </c>
      <c r="AD2103" t="s">
        <v>53</v>
      </c>
      <c r="AK2103">
        <v>0</v>
      </c>
      <c r="AU2103" s="3">
        <v>42416</v>
      </c>
      <c r="AV2103" s="3">
        <v>42416</v>
      </c>
      <c r="AW2103" t="s">
        <v>54</v>
      </c>
      <c r="AX2103" t="str">
        <f t="shared" si="275"/>
        <v>FOR</v>
      </c>
      <c r="AY2103" t="s">
        <v>55</v>
      </c>
    </row>
    <row r="2104" spans="1:51" hidden="1">
      <c r="A2104">
        <v>102629</v>
      </c>
      <c r="B2104" t="s">
        <v>315</v>
      </c>
      <c r="C2104" t="str">
        <f t="shared" si="274"/>
        <v>01128810650</v>
      </c>
      <c r="D2104" t="str">
        <f t="shared" si="274"/>
        <v>01128810650</v>
      </c>
      <c r="E2104" t="s">
        <v>52</v>
      </c>
      <c r="F2104">
        <v>2015</v>
      </c>
      <c r="G2104" t="str">
        <f>"                83/P"</f>
        <v xml:space="preserve">                83/P</v>
      </c>
      <c r="H2104" s="3">
        <v>42076</v>
      </c>
      <c r="I2104" s="3">
        <v>42086</v>
      </c>
      <c r="J2104" s="3">
        <v>42086</v>
      </c>
      <c r="K2104" s="3">
        <v>42146</v>
      </c>
      <c r="L2104"/>
      <c r="N2104"/>
      <c r="O2104">
        <v>629</v>
      </c>
      <c r="P2104">
        <v>270</v>
      </c>
      <c r="Q2104" s="4">
        <v>169830</v>
      </c>
      <c r="R2104">
        <v>0</v>
      </c>
      <c r="V2104">
        <v>0</v>
      </c>
      <c r="W2104">
        <v>0</v>
      </c>
      <c r="X2104">
        <v>0</v>
      </c>
      <c r="Y2104">
        <v>0</v>
      </c>
      <c r="Z2104">
        <v>0</v>
      </c>
      <c r="AA2104">
        <v>0</v>
      </c>
      <c r="AB2104" s="3">
        <v>42562</v>
      </c>
      <c r="AC2104" t="s">
        <v>53</v>
      </c>
      <c r="AD2104" t="s">
        <v>53</v>
      </c>
      <c r="AK2104">
        <v>0</v>
      </c>
      <c r="AU2104" s="3">
        <v>42416</v>
      </c>
      <c r="AV2104" s="3">
        <v>42416</v>
      </c>
      <c r="AW2104" t="s">
        <v>54</v>
      </c>
      <c r="AX2104" t="str">
        <f t="shared" si="275"/>
        <v>FOR</v>
      </c>
      <c r="AY2104" t="s">
        <v>55</v>
      </c>
    </row>
    <row r="2105" spans="1:51">
      <c r="A2105">
        <v>102629</v>
      </c>
      <c r="B2105" t="s">
        <v>315</v>
      </c>
      <c r="C2105" t="str">
        <f t="shared" si="274"/>
        <v>01128810650</v>
      </c>
      <c r="D2105" t="str">
        <f t="shared" si="274"/>
        <v>01128810650</v>
      </c>
      <c r="E2105" t="s">
        <v>52</v>
      </c>
      <c r="F2105">
        <v>2015</v>
      </c>
      <c r="G2105" t="str">
        <f>"                84/E"</f>
        <v xml:space="preserve">                84/E</v>
      </c>
      <c r="H2105" s="3">
        <v>42177</v>
      </c>
      <c r="I2105" s="3">
        <v>42181</v>
      </c>
      <c r="J2105" s="3">
        <v>42178</v>
      </c>
      <c r="K2105" s="3">
        <v>42238</v>
      </c>
      <c r="L2105" s="1">
        <v>129.19999999999999</v>
      </c>
      <c r="M2105">
        <v>249</v>
      </c>
      <c r="N2105" s="5">
        <v>32170.799999999999</v>
      </c>
      <c r="O2105">
        <v>129.19999999999999</v>
      </c>
      <c r="P2105">
        <v>249</v>
      </c>
      <c r="Q2105" s="4">
        <v>32170.799999999999</v>
      </c>
      <c r="R2105">
        <v>0</v>
      </c>
      <c r="V2105">
        <v>0</v>
      </c>
      <c r="W2105">
        <v>0</v>
      </c>
      <c r="X2105">
        <v>0</v>
      </c>
      <c r="Y2105">
        <v>0</v>
      </c>
      <c r="Z2105">
        <v>0</v>
      </c>
      <c r="AA2105">
        <v>0</v>
      </c>
      <c r="AB2105" s="3">
        <v>42562</v>
      </c>
      <c r="AC2105" t="s">
        <v>53</v>
      </c>
      <c r="AD2105" t="s">
        <v>53</v>
      </c>
      <c r="AK2105">
        <v>0</v>
      </c>
      <c r="AU2105" s="3">
        <v>42487</v>
      </c>
      <c r="AV2105" s="3">
        <v>42487</v>
      </c>
      <c r="AW2105" t="s">
        <v>54</v>
      </c>
      <c r="AX2105" t="str">
        <f t="shared" si="275"/>
        <v>FOR</v>
      </c>
      <c r="AY2105" t="s">
        <v>55</v>
      </c>
    </row>
    <row r="2106" spans="1:51" hidden="1">
      <c r="A2106">
        <v>102629</v>
      </c>
      <c r="B2106" t="s">
        <v>315</v>
      </c>
      <c r="C2106" t="str">
        <f t="shared" si="274"/>
        <v>01128810650</v>
      </c>
      <c r="D2106" t="str">
        <f t="shared" si="274"/>
        <v>01128810650</v>
      </c>
      <c r="E2106" t="s">
        <v>52</v>
      </c>
      <c r="F2106">
        <v>2015</v>
      </c>
      <c r="G2106" t="str">
        <f>"                88/P"</f>
        <v xml:space="preserve">                88/P</v>
      </c>
      <c r="H2106" s="3">
        <v>42093</v>
      </c>
      <c r="I2106" s="3">
        <v>42095</v>
      </c>
      <c r="J2106" s="3">
        <v>42095</v>
      </c>
      <c r="K2106" s="3">
        <v>42155</v>
      </c>
      <c r="L2106"/>
      <c r="N2106"/>
      <c r="O2106" s="4">
        <v>28297.8</v>
      </c>
      <c r="P2106">
        <v>248</v>
      </c>
      <c r="Q2106" s="4">
        <v>7017854.4000000004</v>
      </c>
      <c r="R2106">
        <v>0</v>
      </c>
      <c r="V2106">
        <v>0</v>
      </c>
      <c r="W2106">
        <v>0</v>
      </c>
      <c r="X2106">
        <v>0</v>
      </c>
      <c r="Y2106">
        <v>0</v>
      </c>
      <c r="Z2106">
        <v>0</v>
      </c>
      <c r="AA2106">
        <v>0</v>
      </c>
      <c r="AB2106" s="3">
        <v>42562</v>
      </c>
      <c r="AC2106" t="s">
        <v>53</v>
      </c>
      <c r="AD2106" t="s">
        <v>53</v>
      </c>
      <c r="AK2106">
        <v>0</v>
      </c>
      <c r="AU2106" s="3">
        <v>42403</v>
      </c>
      <c r="AV2106" s="3">
        <v>42403</v>
      </c>
      <c r="AW2106" t="s">
        <v>54</v>
      </c>
      <c r="AX2106" t="str">
        <f t="shared" si="275"/>
        <v>FOR</v>
      </c>
      <c r="AY2106" t="s">
        <v>55</v>
      </c>
    </row>
    <row r="2107" spans="1:51">
      <c r="A2107">
        <v>102629</v>
      </c>
      <c r="B2107" t="s">
        <v>315</v>
      </c>
      <c r="C2107" t="str">
        <f t="shared" si="274"/>
        <v>01128810650</v>
      </c>
      <c r="D2107" t="str">
        <f t="shared" si="274"/>
        <v>01128810650</v>
      </c>
      <c r="E2107" t="s">
        <v>52</v>
      </c>
      <c r="F2107">
        <v>2015</v>
      </c>
      <c r="G2107" t="str">
        <f>"                94/E"</f>
        <v xml:space="preserve">                94/E</v>
      </c>
      <c r="H2107" s="3">
        <v>42184</v>
      </c>
      <c r="I2107" s="3">
        <v>42191</v>
      </c>
      <c r="J2107" s="3">
        <v>42185</v>
      </c>
      <c r="K2107" s="3">
        <v>42245</v>
      </c>
      <c r="L2107" s="5">
        <v>3774</v>
      </c>
      <c r="M2107">
        <v>242</v>
      </c>
      <c r="N2107" s="5">
        <v>913308</v>
      </c>
      <c r="O2107" s="4">
        <v>3774</v>
      </c>
      <c r="P2107">
        <v>242</v>
      </c>
      <c r="Q2107" s="4">
        <v>913308</v>
      </c>
      <c r="R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 s="3">
        <v>42562</v>
      </c>
      <c r="AC2107" t="s">
        <v>53</v>
      </c>
      <c r="AD2107" t="s">
        <v>53</v>
      </c>
      <c r="AK2107">
        <v>0</v>
      </c>
      <c r="AU2107" s="3">
        <v>42487</v>
      </c>
      <c r="AV2107" s="3">
        <v>42487</v>
      </c>
      <c r="AW2107" t="s">
        <v>54</v>
      </c>
      <c r="AX2107" t="str">
        <f t="shared" si="275"/>
        <v>FOR</v>
      </c>
      <c r="AY2107" t="s">
        <v>55</v>
      </c>
    </row>
    <row r="2108" spans="1:51" hidden="1">
      <c r="A2108">
        <v>102629</v>
      </c>
      <c r="B2108" t="s">
        <v>315</v>
      </c>
      <c r="C2108" t="str">
        <f t="shared" si="274"/>
        <v>01128810650</v>
      </c>
      <c r="D2108" t="str">
        <f t="shared" si="274"/>
        <v>01128810650</v>
      </c>
      <c r="E2108" t="s">
        <v>52</v>
      </c>
      <c r="F2108">
        <v>2015</v>
      </c>
      <c r="G2108" t="str">
        <f>"                98/P"</f>
        <v xml:space="preserve">                98/P</v>
      </c>
      <c r="H2108" s="3">
        <v>42090</v>
      </c>
      <c r="I2108" s="3">
        <v>42117</v>
      </c>
      <c r="J2108" s="3">
        <v>42117</v>
      </c>
      <c r="K2108" s="3">
        <v>42177</v>
      </c>
      <c r="L2108"/>
      <c r="N2108"/>
      <c r="O2108">
        <v>450</v>
      </c>
      <c r="P2108">
        <v>239</v>
      </c>
      <c r="Q2108" s="4">
        <v>107550</v>
      </c>
      <c r="R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 s="3">
        <v>42562</v>
      </c>
      <c r="AC2108" t="s">
        <v>53</v>
      </c>
      <c r="AD2108" t="s">
        <v>53</v>
      </c>
      <c r="AK2108">
        <v>0</v>
      </c>
      <c r="AU2108" s="3">
        <v>42416</v>
      </c>
      <c r="AV2108" s="3">
        <v>42416</v>
      </c>
      <c r="AW2108" t="s">
        <v>54</v>
      </c>
      <c r="AX2108" t="str">
        <f t="shared" si="275"/>
        <v>FOR</v>
      </c>
      <c r="AY2108" t="s">
        <v>55</v>
      </c>
    </row>
    <row r="2109" spans="1:51" hidden="1">
      <c r="A2109">
        <v>102629</v>
      </c>
      <c r="B2109" t="s">
        <v>315</v>
      </c>
      <c r="C2109" t="str">
        <f t="shared" si="274"/>
        <v>01128810650</v>
      </c>
      <c r="D2109" t="str">
        <f t="shared" si="274"/>
        <v>01128810650</v>
      </c>
      <c r="E2109" t="s">
        <v>52</v>
      </c>
      <c r="F2109">
        <v>2015</v>
      </c>
      <c r="G2109" t="str">
        <f>"                99/P"</f>
        <v xml:space="preserve">                99/P</v>
      </c>
      <c r="H2109" s="3">
        <v>42090</v>
      </c>
      <c r="I2109" s="3">
        <v>42102</v>
      </c>
      <c r="J2109" s="3">
        <v>42102</v>
      </c>
      <c r="K2109" s="3">
        <v>42162</v>
      </c>
      <c r="L2109"/>
      <c r="N2109"/>
      <c r="O2109" s="4">
        <v>2375</v>
      </c>
      <c r="P2109">
        <v>254</v>
      </c>
      <c r="Q2109" s="4">
        <v>603250</v>
      </c>
      <c r="R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 s="3">
        <v>42562</v>
      </c>
      <c r="AC2109" t="s">
        <v>53</v>
      </c>
      <c r="AD2109" t="s">
        <v>53</v>
      </c>
      <c r="AK2109">
        <v>0</v>
      </c>
      <c r="AU2109" s="3">
        <v>42416</v>
      </c>
      <c r="AV2109" s="3">
        <v>42416</v>
      </c>
      <c r="AW2109" t="s">
        <v>54</v>
      </c>
      <c r="AX2109" t="str">
        <f t="shared" si="275"/>
        <v>FOR</v>
      </c>
      <c r="AY2109" t="s">
        <v>55</v>
      </c>
    </row>
    <row r="2110" spans="1:51" hidden="1">
      <c r="A2110">
        <v>102629</v>
      </c>
      <c r="B2110" t="s">
        <v>315</v>
      </c>
      <c r="C2110" t="str">
        <f t="shared" si="274"/>
        <v>01128810650</v>
      </c>
      <c r="D2110" t="str">
        <f t="shared" si="274"/>
        <v>01128810650</v>
      </c>
      <c r="E2110" t="s">
        <v>52</v>
      </c>
      <c r="F2110">
        <v>2015</v>
      </c>
      <c r="G2110" t="str">
        <f>"               102/P"</f>
        <v xml:space="preserve">               102/P</v>
      </c>
      <c r="H2110" s="3">
        <v>42090</v>
      </c>
      <c r="I2110" s="3">
        <v>42102</v>
      </c>
      <c r="J2110" s="3">
        <v>42102</v>
      </c>
      <c r="K2110" s="3">
        <v>42162</v>
      </c>
      <c r="L2110"/>
      <c r="N2110"/>
      <c r="O2110">
        <v>112</v>
      </c>
      <c r="P2110">
        <v>254</v>
      </c>
      <c r="Q2110" s="4">
        <v>28448</v>
      </c>
      <c r="R2110">
        <v>0</v>
      </c>
      <c r="V2110">
        <v>0</v>
      </c>
      <c r="W2110">
        <v>0</v>
      </c>
      <c r="X2110">
        <v>0</v>
      </c>
      <c r="Y2110">
        <v>0</v>
      </c>
      <c r="Z2110">
        <v>0</v>
      </c>
      <c r="AA2110">
        <v>0</v>
      </c>
      <c r="AB2110" s="3">
        <v>42562</v>
      </c>
      <c r="AC2110" t="s">
        <v>53</v>
      </c>
      <c r="AD2110" t="s">
        <v>53</v>
      </c>
      <c r="AK2110">
        <v>0</v>
      </c>
      <c r="AU2110" s="3">
        <v>42416</v>
      </c>
      <c r="AV2110" s="3">
        <v>42416</v>
      </c>
      <c r="AW2110" t="s">
        <v>54</v>
      </c>
      <c r="AX2110" t="str">
        <f t="shared" si="275"/>
        <v>FOR</v>
      </c>
      <c r="AY2110" t="s">
        <v>55</v>
      </c>
    </row>
    <row r="2111" spans="1:51">
      <c r="A2111">
        <v>102629</v>
      </c>
      <c r="B2111" t="s">
        <v>315</v>
      </c>
      <c r="C2111" t="str">
        <f t="shared" si="274"/>
        <v>01128810650</v>
      </c>
      <c r="D2111" t="str">
        <f t="shared" si="274"/>
        <v>01128810650</v>
      </c>
      <c r="E2111" t="s">
        <v>52</v>
      </c>
      <c r="F2111">
        <v>2015</v>
      </c>
      <c r="G2111" t="str">
        <f>"               107/E"</f>
        <v xml:space="preserve">               107/E</v>
      </c>
      <c r="H2111" s="3">
        <v>42198</v>
      </c>
      <c r="I2111" s="3">
        <v>42202</v>
      </c>
      <c r="J2111" s="3">
        <v>42199</v>
      </c>
      <c r="K2111" s="3">
        <v>42259</v>
      </c>
      <c r="L2111" s="1">
        <v>640</v>
      </c>
      <c r="M2111">
        <v>268</v>
      </c>
      <c r="N2111" s="5">
        <v>171520</v>
      </c>
      <c r="O2111">
        <v>640</v>
      </c>
      <c r="P2111">
        <v>268</v>
      </c>
      <c r="Q2111" s="4">
        <v>171520</v>
      </c>
      <c r="R2111">
        <v>140.80000000000001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 s="3">
        <v>42562</v>
      </c>
      <c r="AC2111" t="s">
        <v>53</v>
      </c>
      <c r="AD2111" t="s">
        <v>53</v>
      </c>
      <c r="AK2111">
        <v>140.80000000000001</v>
      </c>
      <c r="AU2111" s="3">
        <v>42527</v>
      </c>
      <c r="AV2111" s="3">
        <v>42527</v>
      </c>
      <c r="AW2111" t="s">
        <v>54</v>
      </c>
      <c r="AX2111" t="str">
        <f t="shared" si="275"/>
        <v>FOR</v>
      </c>
      <c r="AY2111" t="s">
        <v>55</v>
      </c>
    </row>
    <row r="2112" spans="1:51">
      <c r="A2112">
        <v>102629</v>
      </c>
      <c r="B2112" t="s">
        <v>315</v>
      </c>
      <c r="C2112" t="str">
        <f t="shared" si="274"/>
        <v>01128810650</v>
      </c>
      <c r="D2112" t="str">
        <f t="shared" si="274"/>
        <v>01128810650</v>
      </c>
      <c r="E2112" t="s">
        <v>52</v>
      </c>
      <c r="F2112">
        <v>2015</v>
      </c>
      <c r="G2112" t="str">
        <f>"               108/E"</f>
        <v xml:space="preserve">               108/E</v>
      </c>
      <c r="H2112" s="3">
        <v>42198</v>
      </c>
      <c r="I2112" s="3">
        <v>42202</v>
      </c>
      <c r="J2112" s="3">
        <v>42199</v>
      </c>
      <c r="K2112" s="3">
        <v>42259</v>
      </c>
      <c r="L2112" s="5">
        <v>3145</v>
      </c>
      <c r="M2112">
        <v>268</v>
      </c>
      <c r="N2112" s="5">
        <v>842860</v>
      </c>
      <c r="O2112" s="4">
        <v>3145</v>
      </c>
      <c r="P2112">
        <v>268</v>
      </c>
      <c r="Q2112" s="4">
        <v>842860</v>
      </c>
      <c r="R2112">
        <v>691.9</v>
      </c>
      <c r="V2112">
        <v>0</v>
      </c>
      <c r="W2112">
        <v>0</v>
      </c>
      <c r="X2112">
        <v>0</v>
      </c>
      <c r="Y2112">
        <v>0</v>
      </c>
      <c r="Z2112">
        <v>0</v>
      </c>
      <c r="AA2112">
        <v>0</v>
      </c>
      <c r="AB2112" s="3">
        <v>42562</v>
      </c>
      <c r="AC2112" t="s">
        <v>53</v>
      </c>
      <c r="AD2112" t="s">
        <v>53</v>
      </c>
      <c r="AK2112">
        <v>691.9</v>
      </c>
      <c r="AU2112" s="3">
        <v>42527</v>
      </c>
      <c r="AV2112" s="3">
        <v>42527</v>
      </c>
      <c r="AW2112" t="s">
        <v>54</v>
      </c>
      <c r="AX2112" t="str">
        <f t="shared" si="275"/>
        <v>FOR</v>
      </c>
      <c r="AY2112" t="s">
        <v>55</v>
      </c>
    </row>
    <row r="2113" spans="1:51">
      <c r="A2113">
        <v>102629</v>
      </c>
      <c r="B2113" t="s">
        <v>315</v>
      </c>
      <c r="C2113" t="str">
        <f t="shared" si="274"/>
        <v>01128810650</v>
      </c>
      <c r="D2113" t="str">
        <f t="shared" si="274"/>
        <v>01128810650</v>
      </c>
      <c r="E2113" t="s">
        <v>52</v>
      </c>
      <c r="F2113">
        <v>2015</v>
      </c>
      <c r="G2113" t="str">
        <f>"               129/E"</f>
        <v xml:space="preserve">               129/E</v>
      </c>
      <c r="H2113" s="3">
        <v>42205</v>
      </c>
      <c r="I2113" s="3">
        <v>42233</v>
      </c>
      <c r="J2113" s="3">
        <v>42207</v>
      </c>
      <c r="K2113" s="3">
        <v>42267</v>
      </c>
      <c r="L2113" s="5">
        <v>1020</v>
      </c>
      <c r="M2113">
        <v>260</v>
      </c>
      <c r="N2113" s="5">
        <v>265200</v>
      </c>
      <c r="O2113" s="4">
        <v>1020</v>
      </c>
      <c r="P2113">
        <v>260</v>
      </c>
      <c r="Q2113" s="4">
        <v>265200</v>
      </c>
      <c r="R2113">
        <v>224.4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 s="3">
        <v>42562</v>
      </c>
      <c r="AC2113" t="s">
        <v>53</v>
      </c>
      <c r="AD2113" t="s">
        <v>53</v>
      </c>
      <c r="AK2113">
        <v>224.4</v>
      </c>
      <c r="AU2113" s="3">
        <v>42527</v>
      </c>
      <c r="AV2113" s="3">
        <v>42527</v>
      </c>
      <c r="AW2113" t="s">
        <v>54</v>
      </c>
      <c r="AX2113" t="str">
        <f t="shared" si="275"/>
        <v>FOR</v>
      </c>
      <c r="AY2113" t="s">
        <v>55</v>
      </c>
    </row>
    <row r="2114" spans="1:51">
      <c r="A2114">
        <v>102629</v>
      </c>
      <c r="B2114" t="s">
        <v>315</v>
      </c>
      <c r="C2114" t="str">
        <f t="shared" si="274"/>
        <v>01128810650</v>
      </c>
      <c r="D2114" t="str">
        <f t="shared" si="274"/>
        <v>01128810650</v>
      </c>
      <c r="E2114" t="s">
        <v>52</v>
      </c>
      <c r="F2114">
        <v>2015</v>
      </c>
      <c r="G2114" t="str">
        <f>"               130/E"</f>
        <v xml:space="preserve">               130/E</v>
      </c>
      <c r="H2114" s="3">
        <v>42205</v>
      </c>
      <c r="I2114" s="3">
        <v>42207</v>
      </c>
      <c r="J2114" s="3">
        <v>42207</v>
      </c>
      <c r="K2114" s="3">
        <v>42267</v>
      </c>
      <c r="L2114" s="5">
        <v>6232.5</v>
      </c>
      <c r="M2114">
        <v>260</v>
      </c>
      <c r="N2114" s="5">
        <v>1620450</v>
      </c>
      <c r="O2114" s="4">
        <v>6232.5</v>
      </c>
      <c r="P2114">
        <v>260</v>
      </c>
      <c r="Q2114" s="4">
        <v>1620450</v>
      </c>
      <c r="R2114" s="4">
        <v>1371.15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 s="3">
        <v>42562</v>
      </c>
      <c r="AC2114" t="s">
        <v>53</v>
      </c>
      <c r="AD2114" t="s">
        <v>53</v>
      </c>
      <c r="AK2114" s="4">
        <v>1371.15</v>
      </c>
      <c r="AU2114" s="3">
        <v>42527</v>
      </c>
      <c r="AV2114" s="3">
        <v>42527</v>
      </c>
      <c r="AW2114" t="s">
        <v>54</v>
      </c>
      <c r="AX2114" t="str">
        <f t="shared" si="275"/>
        <v>FOR</v>
      </c>
      <c r="AY2114" t="s">
        <v>55</v>
      </c>
    </row>
    <row r="2115" spans="1:51" hidden="1">
      <c r="A2115">
        <v>102679</v>
      </c>
      <c r="B2115" t="s">
        <v>316</v>
      </c>
      <c r="C2115" t="str">
        <f t="shared" ref="C2115:D2120" si="276">"04303410726"</f>
        <v>04303410726</v>
      </c>
      <c r="D2115" t="str">
        <f t="shared" si="276"/>
        <v>04303410726</v>
      </c>
      <c r="E2115" t="s">
        <v>52</v>
      </c>
      <c r="F2115">
        <v>2015</v>
      </c>
      <c r="G2115" t="str">
        <f>"           2015-1650"</f>
        <v xml:space="preserve">           2015-1650</v>
      </c>
      <c r="H2115" s="3">
        <v>42073</v>
      </c>
      <c r="I2115" s="3">
        <v>42352</v>
      </c>
      <c r="J2115" s="3">
        <v>42345</v>
      </c>
      <c r="K2115" s="3">
        <v>42405</v>
      </c>
      <c r="L2115"/>
      <c r="N2115"/>
      <c r="O2115" s="4">
        <v>2340</v>
      </c>
      <c r="P2115">
        <v>-1</v>
      </c>
      <c r="Q2115" s="4">
        <v>-2340</v>
      </c>
      <c r="R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 s="3">
        <v>42562</v>
      </c>
      <c r="AC2115" t="s">
        <v>53</v>
      </c>
      <c r="AD2115" t="s">
        <v>53</v>
      </c>
      <c r="AK2115">
        <v>0</v>
      </c>
      <c r="AU2115" s="3">
        <v>42404</v>
      </c>
      <c r="AV2115" s="3">
        <v>42404</v>
      </c>
      <c r="AW2115" t="s">
        <v>54</v>
      </c>
      <c r="AX2115" t="str">
        <f t="shared" ref="AX2115:AX2146" si="277">"FOR"</f>
        <v>FOR</v>
      </c>
      <c r="AY2115" t="s">
        <v>55</v>
      </c>
    </row>
    <row r="2116" spans="1:51" hidden="1">
      <c r="A2116">
        <v>102679</v>
      </c>
      <c r="B2116" t="s">
        <v>316</v>
      </c>
      <c r="C2116" t="str">
        <f t="shared" si="276"/>
        <v>04303410726</v>
      </c>
      <c r="D2116" t="str">
        <f t="shared" si="276"/>
        <v>04303410726</v>
      </c>
      <c r="E2116" t="s">
        <v>52</v>
      </c>
      <c r="F2116">
        <v>2015</v>
      </c>
      <c r="G2116" t="str">
        <f>"           2015-1651"</f>
        <v xml:space="preserve">           2015-1651</v>
      </c>
      <c r="H2116" s="3">
        <v>42073</v>
      </c>
      <c r="I2116" s="3">
        <v>42347</v>
      </c>
      <c r="J2116" s="3">
        <v>42345</v>
      </c>
      <c r="K2116" s="3">
        <v>42405</v>
      </c>
      <c r="L2116"/>
      <c r="N2116"/>
      <c r="O2116" s="4">
        <v>1978.02</v>
      </c>
      <c r="P2116">
        <v>-1</v>
      </c>
      <c r="Q2116" s="4">
        <v>-1978.02</v>
      </c>
      <c r="R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 s="3">
        <v>42562</v>
      </c>
      <c r="AC2116" t="s">
        <v>53</v>
      </c>
      <c r="AD2116" t="s">
        <v>53</v>
      </c>
      <c r="AK2116">
        <v>0</v>
      </c>
      <c r="AU2116" s="3">
        <v>42404</v>
      </c>
      <c r="AV2116" s="3">
        <v>42404</v>
      </c>
      <c r="AW2116" t="s">
        <v>54</v>
      </c>
      <c r="AX2116" t="str">
        <f t="shared" si="277"/>
        <v>FOR</v>
      </c>
      <c r="AY2116" t="s">
        <v>55</v>
      </c>
    </row>
    <row r="2117" spans="1:51" hidden="1">
      <c r="A2117">
        <v>102679</v>
      </c>
      <c r="B2117" t="s">
        <v>316</v>
      </c>
      <c r="C2117" t="str">
        <f t="shared" si="276"/>
        <v>04303410726</v>
      </c>
      <c r="D2117" t="str">
        <f t="shared" si="276"/>
        <v>04303410726</v>
      </c>
      <c r="E2117" t="s">
        <v>52</v>
      </c>
      <c r="F2117">
        <v>2015</v>
      </c>
      <c r="G2117" t="str">
        <f>"       2015 FE-10993"</f>
        <v xml:space="preserve">       2015 FE-10993</v>
      </c>
      <c r="H2117" s="3">
        <v>42145</v>
      </c>
      <c r="I2117" s="3">
        <v>42160</v>
      </c>
      <c r="J2117" s="3">
        <v>42151</v>
      </c>
      <c r="K2117" s="3">
        <v>42211</v>
      </c>
      <c r="L2117"/>
      <c r="N2117"/>
      <c r="O2117" s="4">
        <v>2340</v>
      </c>
      <c r="P2117">
        <v>241</v>
      </c>
      <c r="Q2117" s="4">
        <v>563940</v>
      </c>
      <c r="R2117">
        <v>0</v>
      </c>
      <c r="V2117">
        <v>0</v>
      </c>
      <c r="W2117">
        <v>0</v>
      </c>
      <c r="X2117">
        <v>0</v>
      </c>
      <c r="Y2117">
        <v>0</v>
      </c>
      <c r="Z2117">
        <v>0</v>
      </c>
      <c r="AA2117">
        <v>0</v>
      </c>
      <c r="AB2117" s="3">
        <v>42562</v>
      </c>
      <c r="AC2117" t="s">
        <v>53</v>
      </c>
      <c r="AD2117" t="s">
        <v>53</v>
      </c>
      <c r="AK2117">
        <v>0</v>
      </c>
      <c r="AU2117" s="3">
        <v>42452</v>
      </c>
      <c r="AV2117" s="3">
        <v>42452</v>
      </c>
      <c r="AW2117" t="s">
        <v>54</v>
      </c>
      <c r="AX2117" t="str">
        <f t="shared" si="277"/>
        <v>FOR</v>
      </c>
      <c r="AY2117" t="s">
        <v>55</v>
      </c>
    </row>
    <row r="2118" spans="1:51" hidden="1">
      <c r="A2118">
        <v>102679</v>
      </c>
      <c r="B2118" t="s">
        <v>316</v>
      </c>
      <c r="C2118" t="str">
        <f t="shared" si="276"/>
        <v>04303410726</v>
      </c>
      <c r="D2118" t="str">
        <f t="shared" si="276"/>
        <v>04303410726</v>
      </c>
      <c r="E2118" t="s">
        <v>52</v>
      </c>
      <c r="F2118">
        <v>2015</v>
      </c>
      <c r="G2118" t="str">
        <f>"       2015 FE-10994"</f>
        <v xml:space="preserve">       2015 FE-10994</v>
      </c>
      <c r="H2118" s="3">
        <v>42145</v>
      </c>
      <c r="I2118" s="3">
        <v>42163</v>
      </c>
      <c r="J2118" s="3">
        <v>42151</v>
      </c>
      <c r="K2118" s="3">
        <v>42211</v>
      </c>
      <c r="L2118"/>
      <c r="N2118"/>
      <c r="O2118" s="4">
        <v>1978.02</v>
      </c>
      <c r="P2118">
        <v>242</v>
      </c>
      <c r="Q2118" s="4">
        <v>478680.84</v>
      </c>
      <c r="R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 s="3">
        <v>42562</v>
      </c>
      <c r="AC2118" t="s">
        <v>53</v>
      </c>
      <c r="AD2118" t="s">
        <v>53</v>
      </c>
      <c r="AK2118">
        <v>0</v>
      </c>
      <c r="AU2118" s="3">
        <v>42453</v>
      </c>
      <c r="AV2118" s="3">
        <v>42453</v>
      </c>
      <c r="AW2118" t="s">
        <v>54</v>
      </c>
      <c r="AX2118" t="str">
        <f t="shared" si="277"/>
        <v>FOR</v>
      </c>
      <c r="AY2118" t="s">
        <v>55</v>
      </c>
    </row>
    <row r="2119" spans="1:51">
      <c r="A2119">
        <v>102679</v>
      </c>
      <c r="B2119" t="s">
        <v>316</v>
      </c>
      <c r="C2119" t="str">
        <f t="shared" si="276"/>
        <v>04303410726</v>
      </c>
      <c r="D2119" t="str">
        <f t="shared" si="276"/>
        <v>04303410726</v>
      </c>
      <c r="E2119" t="s">
        <v>52</v>
      </c>
      <c r="F2119">
        <v>2015</v>
      </c>
      <c r="G2119" t="str">
        <f>"       2015 FE-11489"</f>
        <v xml:space="preserve">       2015 FE-11489</v>
      </c>
      <c r="H2119" s="3">
        <v>42171</v>
      </c>
      <c r="I2119" s="3">
        <v>42180</v>
      </c>
      <c r="J2119" s="3">
        <v>42178</v>
      </c>
      <c r="K2119" s="3">
        <v>42238</v>
      </c>
      <c r="L2119" s="5">
        <v>1978.02</v>
      </c>
      <c r="M2119">
        <v>249</v>
      </c>
      <c r="N2119" s="5">
        <v>492526.98</v>
      </c>
      <c r="O2119" s="4">
        <v>1978.02</v>
      </c>
      <c r="P2119">
        <v>249</v>
      </c>
      <c r="Q2119" s="4">
        <v>492526.98</v>
      </c>
      <c r="R2119">
        <v>0</v>
      </c>
      <c r="V2119">
        <v>0</v>
      </c>
      <c r="W2119">
        <v>0</v>
      </c>
      <c r="X2119">
        <v>0</v>
      </c>
      <c r="Y2119">
        <v>0</v>
      </c>
      <c r="Z2119">
        <v>0</v>
      </c>
      <c r="AA2119">
        <v>0</v>
      </c>
      <c r="AB2119" s="3">
        <v>42562</v>
      </c>
      <c r="AC2119" t="s">
        <v>53</v>
      </c>
      <c r="AD2119" t="s">
        <v>53</v>
      </c>
      <c r="AK2119">
        <v>0</v>
      </c>
      <c r="AU2119" s="3">
        <v>42487</v>
      </c>
      <c r="AV2119" s="3">
        <v>42487</v>
      </c>
      <c r="AW2119" t="s">
        <v>54</v>
      </c>
      <c r="AX2119" t="str">
        <f t="shared" si="277"/>
        <v>FOR</v>
      </c>
      <c r="AY2119" t="s">
        <v>55</v>
      </c>
    </row>
    <row r="2120" spans="1:51">
      <c r="A2120">
        <v>102679</v>
      </c>
      <c r="B2120" t="s">
        <v>316</v>
      </c>
      <c r="C2120" t="str">
        <f t="shared" si="276"/>
        <v>04303410726</v>
      </c>
      <c r="D2120" t="str">
        <f t="shared" si="276"/>
        <v>04303410726</v>
      </c>
      <c r="E2120" t="s">
        <v>52</v>
      </c>
      <c r="F2120">
        <v>2015</v>
      </c>
      <c r="G2120" t="str">
        <f>"       2015 FE-11490"</f>
        <v xml:space="preserve">       2015 FE-11490</v>
      </c>
      <c r="H2120" s="3">
        <v>42171</v>
      </c>
      <c r="I2120" s="3">
        <v>42180</v>
      </c>
      <c r="J2120" s="3">
        <v>42178</v>
      </c>
      <c r="K2120" s="3">
        <v>42238</v>
      </c>
      <c r="L2120" s="5">
        <v>2035.8</v>
      </c>
      <c r="M2120">
        <v>249</v>
      </c>
      <c r="N2120" s="5">
        <v>506914.2</v>
      </c>
      <c r="O2120" s="4">
        <v>2035.8</v>
      </c>
      <c r="P2120">
        <v>249</v>
      </c>
      <c r="Q2120" s="4">
        <v>506914.2</v>
      </c>
      <c r="R2120">
        <v>0</v>
      </c>
      <c r="V2120">
        <v>0</v>
      </c>
      <c r="W2120">
        <v>0</v>
      </c>
      <c r="X2120">
        <v>0</v>
      </c>
      <c r="Y2120">
        <v>0</v>
      </c>
      <c r="Z2120">
        <v>0</v>
      </c>
      <c r="AA2120">
        <v>0</v>
      </c>
      <c r="AB2120" s="3">
        <v>42562</v>
      </c>
      <c r="AC2120" t="s">
        <v>53</v>
      </c>
      <c r="AD2120" t="s">
        <v>53</v>
      </c>
      <c r="AK2120">
        <v>0</v>
      </c>
      <c r="AU2120" s="3">
        <v>42487</v>
      </c>
      <c r="AV2120" s="3">
        <v>42487</v>
      </c>
      <c r="AW2120" t="s">
        <v>54</v>
      </c>
      <c r="AX2120" t="str">
        <f t="shared" si="277"/>
        <v>FOR</v>
      </c>
      <c r="AY2120" t="s">
        <v>55</v>
      </c>
    </row>
    <row r="2121" spans="1:51">
      <c r="A2121">
        <v>102685</v>
      </c>
      <c r="B2121" t="s">
        <v>317</v>
      </c>
      <c r="C2121" t="str">
        <f t="shared" ref="C2121:C2143" si="278">"00905811006"</f>
        <v>00905811006</v>
      </c>
      <c r="D2121" t="str">
        <f t="shared" ref="D2121:D2143" si="279">"00484960588"</f>
        <v>00484960588</v>
      </c>
      <c r="E2121" t="s">
        <v>52</v>
      </c>
      <c r="F2121">
        <v>2014</v>
      </c>
      <c r="G2121" t="str">
        <f>"          D140151834"</f>
        <v xml:space="preserve">          D140151834</v>
      </c>
      <c r="H2121" s="3">
        <v>41780</v>
      </c>
      <c r="I2121" s="3">
        <v>41795</v>
      </c>
      <c r="J2121" s="3">
        <v>41795</v>
      </c>
      <c r="K2121" s="3">
        <v>41885</v>
      </c>
      <c r="L2121" s="5">
        <v>70051.679999999993</v>
      </c>
      <c r="M2121">
        <v>645</v>
      </c>
      <c r="N2121" s="5">
        <v>45183333.600000001</v>
      </c>
      <c r="O2121" s="4">
        <v>70051.679999999993</v>
      </c>
      <c r="P2121">
        <v>645</v>
      </c>
      <c r="Q2121" s="4">
        <v>45183333.600000001</v>
      </c>
      <c r="R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 s="3">
        <v>42562</v>
      </c>
      <c r="AC2121" t="s">
        <v>53</v>
      </c>
      <c r="AD2121" t="s">
        <v>53</v>
      </c>
      <c r="AK2121">
        <v>0</v>
      </c>
      <c r="AU2121" s="3">
        <v>42530</v>
      </c>
      <c r="AV2121" s="3">
        <v>42530</v>
      </c>
      <c r="AW2121" t="s">
        <v>54</v>
      </c>
      <c r="AX2121" t="str">
        <f t="shared" si="277"/>
        <v>FOR</v>
      </c>
      <c r="AY2121" t="s">
        <v>55</v>
      </c>
    </row>
    <row r="2122" spans="1:51">
      <c r="A2122">
        <v>102685</v>
      </c>
      <c r="B2122" t="s">
        <v>317</v>
      </c>
      <c r="C2122" t="str">
        <f t="shared" si="278"/>
        <v>00905811006</v>
      </c>
      <c r="D2122" t="str">
        <f t="shared" si="279"/>
        <v>00484960588</v>
      </c>
      <c r="E2122" t="s">
        <v>52</v>
      </c>
      <c r="F2122">
        <v>2014</v>
      </c>
      <c r="G2122" t="str">
        <f>"          D140179982"</f>
        <v xml:space="preserve">          D140179982</v>
      </c>
      <c r="H2122" s="3">
        <v>41810</v>
      </c>
      <c r="I2122" s="3">
        <v>41827</v>
      </c>
      <c r="J2122" s="3">
        <v>41827</v>
      </c>
      <c r="K2122" s="3">
        <v>41917</v>
      </c>
      <c r="L2122" s="1">
        <v>536.48</v>
      </c>
      <c r="M2122">
        <v>613</v>
      </c>
      <c r="N2122" s="5">
        <v>328862.24</v>
      </c>
      <c r="O2122">
        <v>536.48</v>
      </c>
      <c r="P2122">
        <v>613</v>
      </c>
      <c r="Q2122" s="4">
        <v>328862.24</v>
      </c>
      <c r="R2122">
        <v>0</v>
      </c>
      <c r="V2122">
        <v>0</v>
      </c>
      <c r="W2122">
        <v>0</v>
      </c>
      <c r="X2122">
        <v>0</v>
      </c>
      <c r="Y2122">
        <v>0</v>
      </c>
      <c r="Z2122">
        <v>0</v>
      </c>
      <c r="AA2122">
        <v>0</v>
      </c>
      <c r="AB2122" s="3">
        <v>42562</v>
      </c>
      <c r="AC2122" t="s">
        <v>53</v>
      </c>
      <c r="AD2122" t="s">
        <v>53</v>
      </c>
      <c r="AK2122">
        <v>0</v>
      </c>
      <c r="AU2122" s="3">
        <v>42530</v>
      </c>
      <c r="AV2122" s="3">
        <v>42530</v>
      </c>
      <c r="AW2122" t="s">
        <v>54</v>
      </c>
      <c r="AX2122" t="str">
        <f t="shared" si="277"/>
        <v>FOR</v>
      </c>
      <c r="AY2122" t="s">
        <v>55</v>
      </c>
    </row>
    <row r="2123" spans="1:51">
      <c r="A2123">
        <v>102685</v>
      </c>
      <c r="B2123" t="s">
        <v>317</v>
      </c>
      <c r="C2123" t="str">
        <f t="shared" si="278"/>
        <v>00905811006</v>
      </c>
      <c r="D2123" t="str">
        <f t="shared" si="279"/>
        <v>00484960588</v>
      </c>
      <c r="E2123" t="s">
        <v>52</v>
      </c>
      <c r="F2123">
        <v>2014</v>
      </c>
      <c r="G2123" t="str">
        <f>"          D140180127"</f>
        <v xml:space="preserve">          D140180127</v>
      </c>
      <c r="H2123" s="3">
        <v>41810</v>
      </c>
      <c r="I2123" s="3">
        <v>41821</v>
      </c>
      <c r="J2123" s="3">
        <v>41821</v>
      </c>
      <c r="K2123" s="3">
        <v>41911</v>
      </c>
      <c r="L2123" s="5">
        <v>11898.04</v>
      </c>
      <c r="M2123">
        <v>619</v>
      </c>
      <c r="N2123" s="5">
        <v>7364886.7599999998</v>
      </c>
      <c r="O2123" s="4">
        <v>11898.04</v>
      </c>
      <c r="P2123">
        <v>619</v>
      </c>
      <c r="Q2123" s="4">
        <v>7364886.7599999998</v>
      </c>
      <c r="R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 s="3">
        <v>42562</v>
      </c>
      <c r="AC2123" t="s">
        <v>53</v>
      </c>
      <c r="AD2123" t="s">
        <v>53</v>
      </c>
      <c r="AK2123">
        <v>0</v>
      </c>
      <c r="AU2123" s="3">
        <v>42530</v>
      </c>
      <c r="AV2123" s="3">
        <v>42530</v>
      </c>
      <c r="AW2123" t="s">
        <v>54</v>
      </c>
      <c r="AX2123" t="str">
        <f t="shared" si="277"/>
        <v>FOR</v>
      </c>
      <c r="AY2123" t="s">
        <v>55</v>
      </c>
    </row>
    <row r="2124" spans="1:51">
      <c r="A2124">
        <v>102685</v>
      </c>
      <c r="B2124" t="s">
        <v>317</v>
      </c>
      <c r="C2124" t="str">
        <f t="shared" si="278"/>
        <v>00905811006</v>
      </c>
      <c r="D2124" t="str">
        <f t="shared" si="279"/>
        <v>00484960588</v>
      </c>
      <c r="E2124" t="s">
        <v>52</v>
      </c>
      <c r="F2124">
        <v>2014</v>
      </c>
      <c r="G2124" t="str">
        <f>"          D140180174"</f>
        <v xml:space="preserve">          D140180174</v>
      </c>
      <c r="H2124" s="3">
        <v>41810</v>
      </c>
      <c r="I2124" s="3">
        <v>41827</v>
      </c>
      <c r="J2124" s="3">
        <v>41827</v>
      </c>
      <c r="K2124" s="3">
        <v>41917</v>
      </c>
      <c r="L2124" s="5">
        <v>5501.76</v>
      </c>
      <c r="M2124">
        <v>613</v>
      </c>
      <c r="N2124" s="5">
        <v>3372578.88</v>
      </c>
      <c r="O2124" s="4">
        <v>5501.76</v>
      </c>
      <c r="P2124">
        <v>613</v>
      </c>
      <c r="Q2124" s="4">
        <v>3372578.88</v>
      </c>
      <c r="R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 s="3">
        <v>42562</v>
      </c>
      <c r="AC2124" t="s">
        <v>53</v>
      </c>
      <c r="AD2124" t="s">
        <v>53</v>
      </c>
      <c r="AK2124">
        <v>0</v>
      </c>
      <c r="AU2124" s="3">
        <v>42530</v>
      </c>
      <c r="AV2124" s="3">
        <v>42530</v>
      </c>
      <c r="AW2124" t="s">
        <v>54</v>
      </c>
      <c r="AX2124" t="str">
        <f t="shared" si="277"/>
        <v>FOR</v>
      </c>
      <c r="AY2124" t="s">
        <v>55</v>
      </c>
    </row>
    <row r="2125" spans="1:51">
      <c r="A2125">
        <v>102685</v>
      </c>
      <c r="B2125" t="s">
        <v>317</v>
      </c>
      <c r="C2125" t="str">
        <f t="shared" si="278"/>
        <v>00905811006</v>
      </c>
      <c r="D2125" t="str">
        <f t="shared" si="279"/>
        <v>00484960588</v>
      </c>
      <c r="E2125" t="s">
        <v>52</v>
      </c>
      <c r="F2125">
        <v>2014</v>
      </c>
      <c r="G2125" t="str">
        <f>"          D140180175"</f>
        <v xml:space="preserve">          D140180175</v>
      </c>
      <c r="H2125" s="3">
        <v>41810</v>
      </c>
      <c r="I2125" s="3">
        <v>41827</v>
      </c>
      <c r="J2125" s="3">
        <v>41827</v>
      </c>
      <c r="K2125" s="3">
        <v>41917</v>
      </c>
      <c r="L2125" s="5">
        <v>11833.43</v>
      </c>
      <c r="M2125">
        <v>613</v>
      </c>
      <c r="N2125" s="5">
        <v>7253892.5899999999</v>
      </c>
      <c r="O2125" s="4">
        <v>11833.43</v>
      </c>
      <c r="P2125">
        <v>613</v>
      </c>
      <c r="Q2125" s="4">
        <v>7253892.5899999999</v>
      </c>
      <c r="R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 s="3">
        <v>42562</v>
      </c>
      <c r="AC2125" t="s">
        <v>53</v>
      </c>
      <c r="AD2125" t="s">
        <v>53</v>
      </c>
      <c r="AK2125">
        <v>0</v>
      </c>
      <c r="AU2125" s="3">
        <v>42530</v>
      </c>
      <c r="AV2125" s="3">
        <v>42530</v>
      </c>
      <c r="AW2125" t="s">
        <v>54</v>
      </c>
      <c r="AX2125" t="str">
        <f t="shared" si="277"/>
        <v>FOR</v>
      </c>
      <c r="AY2125" t="s">
        <v>55</v>
      </c>
    </row>
    <row r="2126" spans="1:51">
      <c r="A2126">
        <v>102685</v>
      </c>
      <c r="B2126" t="s">
        <v>317</v>
      </c>
      <c r="C2126" t="str">
        <f t="shared" si="278"/>
        <v>00905811006</v>
      </c>
      <c r="D2126" t="str">
        <f t="shared" si="279"/>
        <v>00484960588</v>
      </c>
      <c r="E2126" t="s">
        <v>52</v>
      </c>
      <c r="F2126">
        <v>2014</v>
      </c>
      <c r="G2126" t="str">
        <f>"          D140180176"</f>
        <v xml:space="preserve">          D140180176</v>
      </c>
      <c r="H2126" s="3">
        <v>41810</v>
      </c>
      <c r="I2126" s="3">
        <v>41827</v>
      </c>
      <c r="J2126" s="3">
        <v>41827</v>
      </c>
      <c r="K2126" s="3">
        <v>41917</v>
      </c>
      <c r="L2126" s="1">
        <v>471.38</v>
      </c>
      <c r="M2126">
        <v>613</v>
      </c>
      <c r="N2126" s="5">
        <v>288955.94</v>
      </c>
      <c r="O2126">
        <v>471.38</v>
      </c>
      <c r="P2126">
        <v>613</v>
      </c>
      <c r="Q2126" s="4">
        <v>288955.94</v>
      </c>
      <c r="R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 s="3">
        <v>42562</v>
      </c>
      <c r="AC2126" t="s">
        <v>53</v>
      </c>
      <c r="AD2126" t="s">
        <v>53</v>
      </c>
      <c r="AK2126">
        <v>0</v>
      </c>
      <c r="AU2126" s="3">
        <v>42530</v>
      </c>
      <c r="AV2126" s="3">
        <v>42530</v>
      </c>
      <c r="AW2126" t="s">
        <v>54</v>
      </c>
      <c r="AX2126" t="str">
        <f t="shared" si="277"/>
        <v>FOR</v>
      </c>
      <c r="AY2126" t="s">
        <v>55</v>
      </c>
    </row>
    <row r="2127" spans="1:51">
      <c r="A2127">
        <v>102685</v>
      </c>
      <c r="B2127" t="s">
        <v>317</v>
      </c>
      <c r="C2127" t="str">
        <f t="shared" si="278"/>
        <v>00905811006</v>
      </c>
      <c r="D2127" t="str">
        <f t="shared" si="279"/>
        <v>00484960588</v>
      </c>
      <c r="E2127" t="s">
        <v>52</v>
      </c>
      <c r="F2127">
        <v>2014</v>
      </c>
      <c r="G2127" t="str">
        <f>"          D140191501"</f>
        <v xml:space="preserve">          D140191501</v>
      </c>
      <c r="H2127" s="3">
        <v>41837</v>
      </c>
      <c r="I2127" s="3">
        <v>41848</v>
      </c>
      <c r="J2127" s="3">
        <v>41848</v>
      </c>
      <c r="K2127" s="3">
        <v>41938</v>
      </c>
      <c r="L2127" s="5">
        <v>16494.310000000001</v>
      </c>
      <c r="M2127">
        <v>592</v>
      </c>
      <c r="N2127" s="5">
        <v>9764631.5199999996</v>
      </c>
      <c r="O2127" s="4">
        <v>16494.310000000001</v>
      </c>
      <c r="P2127">
        <v>592</v>
      </c>
      <c r="Q2127" s="4">
        <v>9764631.5199999996</v>
      </c>
      <c r="R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 s="3">
        <v>42562</v>
      </c>
      <c r="AC2127" t="s">
        <v>53</v>
      </c>
      <c r="AD2127" t="s">
        <v>53</v>
      </c>
      <c r="AK2127">
        <v>0</v>
      </c>
      <c r="AU2127" s="3">
        <v>42530</v>
      </c>
      <c r="AV2127" s="3">
        <v>42530</v>
      </c>
      <c r="AW2127" t="s">
        <v>54</v>
      </c>
      <c r="AX2127" t="str">
        <f t="shared" si="277"/>
        <v>FOR</v>
      </c>
      <c r="AY2127" t="s">
        <v>55</v>
      </c>
    </row>
    <row r="2128" spans="1:51">
      <c r="A2128">
        <v>102685</v>
      </c>
      <c r="B2128" t="s">
        <v>317</v>
      </c>
      <c r="C2128" t="str">
        <f t="shared" si="278"/>
        <v>00905811006</v>
      </c>
      <c r="D2128" t="str">
        <f t="shared" si="279"/>
        <v>00484960588</v>
      </c>
      <c r="E2128" t="s">
        <v>52</v>
      </c>
      <c r="F2128">
        <v>2014</v>
      </c>
      <c r="G2128" t="str">
        <f>"          D140191683"</f>
        <v xml:space="preserve">          D140191683</v>
      </c>
      <c r="H2128" s="3">
        <v>41837</v>
      </c>
      <c r="I2128" s="3">
        <v>41848</v>
      </c>
      <c r="J2128" s="3">
        <v>41848</v>
      </c>
      <c r="K2128" s="3">
        <v>41938</v>
      </c>
      <c r="L2128" s="5">
        <v>57560.160000000003</v>
      </c>
      <c r="M2128">
        <v>592</v>
      </c>
      <c r="N2128" s="5">
        <v>34075614.719999999</v>
      </c>
      <c r="O2128" s="4">
        <v>57560.160000000003</v>
      </c>
      <c r="P2128">
        <v>592</v>
      </c>
      <c r="Q2128" s="4">
        <v>34075614.719999999</v>
      </c>
      <c r="R2128">
        <v>0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 s="3">
        <v>42562</v>
      </c>
      <c r="AC2128" t="s">
        <v>53</v>
      </c>
      <c r="AD2128" t="s">
        <v>53</v>
      </c>
      <c r="AK2128">
        <v>0</v>
      </c>
      <c r="AU2128" s="3">
        <v>42530</v>
      </c>
      <c r="AV2128" s="3">
        <v>42530</v>
      </c>
      <c r="AW2128" t="s">
        <v>54</v>
      </c>
      <c r="AX2128" t="str">
        <f t="shared" si="277"/>
        <v>FOR</v>
      </c>
      <c r="AY2128" t="s">
        <v>55</v>
      </c>
    </row>
    <row r="2129" spans="1:51">
      <c r="A2129">
        <v>102685</v>
      </c>
      <c r="B2129" t="s">
        <v>317</v>
      </c>
      <c r="C2129" t="str">
        <f t="shared" si="278"/>
        <v>00905811006</v>
      </c>
      <c r="D2129" t="str">
        <f t="shared" si="279"/>
        <v>00484960588</v>
      </c>
      <c r="E2129" t="s">
        <v>52</v>
      </c>
      <c r="F2129">
        <v>2014</v>
      </c>
      <c r="G2129" t="str">
        <f>"          D140191684"</f>
        <v xml:space="preserve">          D140191684</v>
      </c>
      <c r="H2129" s="3">
        <v>41837</v>
      </c>
      <c r="I2129" s="3">
        <v>41850</v>
      </c>
      <c r="J2129" s="3">
        <v>41850</v>
      </c>
      <c r="K2129" s="3">
        <v>41940</v>
      </c>
      <c r="L2129" s="5">
        <v>9556.64</v>
      </c>
      <c r="M2129">
        <v>590</v>
      </c>
      <c r="N2129" s="5">
        <v>5638417.5999999996</v>
      </c>
      <c r="O2129" s="4">
        <v>9556.64</v>
      </c>
      <c r="P2129">
        <v>590</v>
      </c>
      <c r="Q2129" s="4">
        <v>5638417.5999999996</v>
      </c>
      <c r="R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 s="3">
        <v>42562</v>
      </c>
      <c r="AC2129" t="s">
        <v>53</v>
      </c>
      <c r="AD2129" t="s">
        <v>53</v>
      </c>
      <c r="AK2129">
        <v>0</v>
      </c>
      <c r="AU2129" s="3">
        <v>42530</v>
      </c>
      <c r="AV2129" s="3">
        <v>42530</v>
      </c>
      <c r="AW2129" t="s">
        <v>54</v>
      </c>
      <c r="AX2129" t="str">
        <f t="shared" si="277"/>
        <v>FOR</v>
      </c>
      <c r="AY2129" t="s">
        <v>55</v>
      </c>
    </row>
    <row r="2130" spans="1:51">
      <c r="A2130">
        <v>102685</v>
      </c>
      <c r="B2130" t="s">
        <v>317</v>
      </c>
      <c r="C2130" t="str">
        <f t="shared" si="278"/>
        <v>00905811006</v>
      </c>
      <c r="D2130" t="str">
        <f t="shared" si="279"/>
        <v>00484960588</v>
      </c>
      <c r="E2130" t="s">
        <v>52</v>
      </c>
      <c r="F2130">
        <v>2014</v>
      </c>
      <c r="G2130" t="str">
        <f>"          D140191685"</f>
        <v xml:space="preserve">          D140191685</v>
      </c>
      <c r="H2130" s="3">
        <v>41837</v>
      </c>
      <c r="I2130" s="3">
        <v>41848</v>
      </c>
      <c r="J2130" s="3">
        <v>41848</v>
      </c>
      <c r="K2130" s="3">
        <v>41938</v>
      </c>
      <c r="L2130" s="1">
        <v>381.51</v>
      </c>
      <c r="M2130">
        <v>592</v>
      </c>
      <c r="N2130" s="5">
        <v>225853.92</v>
      </c>
      <c r="O2130">
        <v>381.51</v>
      </c>
      <c r="P2130">
        <v>592</v>
      </c>
      <c r="Q2130" s="4">
        <v>225853.92</v>
      </c>
      <c r="R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 s="3">
        <v>42562</v>
      </c>
      <c r="AC2130" t="s">
        <v>53</v>
      </c>
      <c r="AD2130" t="s">
        <v>53</v>
      </c>
      <c r="AK2130">
        <v>0</v>
      </c>
      <c r="AU2130" s="3">
        <v>42530</v>
      </c>
      <c r="AV2130" s="3">
        <v>42530</v>
      </c>
      <c r="AW2130" t="s">
        <v>54</v>
      </c>
      <c r="AX2130" t="str">
        <f t="shared" si="277"/>
        <v>FOR</v>
      </c>
      <c r="AY2130" t="s">
        <v>55</v>
      </c>
    </row>
    <row r="2131" spans="1:51">
      <c r="A2131">
        <v>102685</v>
      </c>
      <c r="B2131" t="s">
        <v>317</v>
      </c>
      <c r="C2131" t="str">
        <f t="shared" si="278"/>
        <v>00905811006</v>
      </c>
      <c r="D2131" t="str">
        <f t="shared" si="279"/>
        <v>00484960588</v>
      </c>
      <c r="E2131" t="s">
        <v>52</v>
      </c>
      <c r="F2131">
        <v>2014</v>
      </c>
      <c r="G2131" t="str">
        <f>"          D140218798"</f>
        <v xml:space="preserve">          D140218798</v>
      </c>
      <c r="H2131" s="3">
        <v>41871</v>
      </c>
      <c r="I2131" s="3">
        <v>41883</v>
      </c>
      <c r="J2131" s="3">
        <v>41883</v>
      </c>
      <c r="K2131" s="3">
        <v>41973</v>
      </c>
      <c r="L2131" s="1">
        <v>391.36</v>
      </c>
      <c r="M2131">
        <v>557</v>
      </c>
      <c r="N2131" s="5">
        <v>217987.52</v>
      </c>
      <c r="O2131">
        <v>391.36</v>
      </c>
      <c r="P2131">
        <v>557</v>
      </c>
      <c r="Q2131" s="4">
        <v>217987.52</v>
      </c>
      <c r="R2131">
        <v>0</v>
      </c>
      <c r="V2131">
        <v>0</v>
      </c>
      <c r="W2131">
        <v>0</v>
      </c>
      <c r="X2131">
        <v>0</v>
      </c>
      <c r="Y2131">
        <v>0</v>
      </c>
      <c r="Z2131">
        <v>0</v>
      </c>
      <c r="AA2131">
        <v>0</v>
      </c>
      <c r="AB2131" s="3">
        <v>42562</v>
      </c>
      <c r="AC2131" t="s">
        <v>53</v>
      </c>
      <c r="AD2131" t="s">
        <v>53</v>
      </c>
      <c r="AK2131">
        <v>0</v>
      </c>
      <c r="AU2131" s="3">
        <v>42530</v>
      </c>
      <c r="AV2131" s="3">
        <v>42530</v>
      </c>
      <c r="AW2131" t="s">
        <v>54</v>
      </c>
      <c r="AX2131" t="str">
        <f t="shared" si="277"/>
        <v>FOR</v>
      </c>
      <c r="AY2131" t="s">
        <v>55</v>
      </c>
    </row>
    <row r="2132" spans="1:51">
      <c r="A2132">
        <v>102685</v>
      </c>
      <c r="B2132" t="s">
        <v>317</v>
      </c>
      <c r="C2132" t="str">
        <f t="shared" si="278"/>
        <v>00905811006</v>
      </c>
      <c r="D2132" t="str">
        <f t="shared" si="279"/>
        <v>00484960588</v>
      </c>
      <c r="E2132" t="s">
        <v>52</v>
      </c>
      <c r="F2132">
        <v>2014</v>
      </c>
      <c r="G2132" t="str">
        <f>"          D140218975"</f>
        <v xml:space="preserve">          D140218975</v>
      </c>
      <c r="H2132" s="3">
        <v>41871</v>
      </c>
      <c r="I2132" s="3">
        <v>41883</v>
      </c>
      <c r="J2132" s="3">
        <v>41883</v>
      </c>
      <c r="K2132" s="3">
        <v>41973</v>
      </c>
      <c r="L2132" s="1">
        <v>335.78</v>
      </c>
      <c r="M2132">
        <v>557</v>
      </c>
      <c r="N2132" s="5">
        <v>187029.46</v>
      </c>
      <c r="O2132">
        <v>335.78</v>
      </c>
      <c r="P2132">
        <v>557</v>
      </c>
      <c r="Q2132" s="4">
        <v>187029.46</v>
      </c>
      <c r="R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</v>
      </c>
      <c r="AB2132" s="3">
        <v>42562</v>
      </c>
      <c r="AC2132" t="s">
        <v>53</v>
      </c>
      <c r="AD2132" t="s">
        <v>53</v>
      </c>
      <c r="AK2132">
        <v>0</v>
      </c>
      <c r="AU2132" s="3">
        <v>42530</v>
      </c>
      <c r="AV2132" s="3">
        <v>42530</v>
      </c>
      <c r="AW2132" t="s">
        <v>54</v>
      </c>
      <c r="AX2132" t="str">
        <f t="shared" si="277"/>
        <v>FOR</v>
      </c>
      <c r="AY2132" t="s">
        <v>55</v>
      </c>
    </row>
    <row r="2133" spans="1:51">
      <c r="A2133">
        <v>102685</v>
      </c>
      <c r="B2133" t="s">
        <v>317</v>
      </c>
      <c r="C2133" t="str">
        <f t="shared" si="278"/>
        <v>00905811006</v>
      </c>
      <c r="D2133" t="str">
        <f t="shared" si="279"/>
        <v>00484960588</v>
      </c>
      <c r="E2133" t="s">
        <v>52</v>
      </c>
      <c r="F2133">
        <v>2014</v>
      </c>
      <c r="G2133" t="str">
        <f>"          D140262937"</f>
        <v xml:space="preserve">          D140262937</v>
      </c>
      <c r="H2133" s="3">
        <v>41900</v>
      </c>
      <c r="I2133" s="3">
        <v>41911</v>
      </c>
      <c r="J2133" s="3">
        <v>41911</v>
      </c>
      <c r="K2133" s="3">
        <v>42001</v>
      </c>
      <c r="L2133" s="1">
        <v>324.67</v>
      </c>
      <c r="M2133">
        <v>529</v>
      </c>
      <c r="N2133" s="5">
        <v>171750.43</v>
      </c>
      <c r="O2133">
        <v>324.67</v>
      </c>
      <c r="P2133">
        <v>529</v>
      </c>
      <c r="Q2133" s="4">
        <v>171750.43</v>
      </c>
      <c r="R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 s="3">
        <v>42562</v>
      </c>
      <c r="AC2133" t="s">
        <v>53</v>
      </c>
      <c r="AD2133" t="s">
        <v>53</v>
      </c>
      <c r="AK2133">
        <v>0</v>
      </c>
      <c r="AU2133" s="3">
        <v>42530</v>
      </c>
      <c r="AV2133" s="3">
        <v>42530</v>
      </c>
      <c r="AW2133" t="s">
        <v>54</v>
      </c>
      <c r="AX2133" t="str">
        <f t="shared" si="277"/>
        <v>FOR</v>
      </c>
      <c r="AY2133" t="s">
        <v>55</v>
      </c>
    </row>
    <row r="2134" spans="1:51">
      <c r="A2134">
        <v>102685</v>
      </c>
      <c r="B2134" t="s">
        <v>317</v>
      </c>
      <c r="C2134" t="str">
        <f t="shared" si="278"/>
        <v>00905811006</v>
      </c>
      <c r="D2134" t="str">
        <f t="shared" si="279"/>
        <v>00484960588</v>
      </c>
      <c r="E2134" t="s">
        <v>52</v>
      </c>
      <c r="F2134">
        <v>2014</v>
      </c>
      <c r="G2134" t="str">
        <f>"          D140265171"</f>
        <v xml:space="preserve">          D140265171</v>
      </c>
      <c r="H2134" s="3">
        <v>41900</v>
      </c>
      <c r="I2134" s="3">
        <v>41911</v>
      </c>
      <c r="J2134" s="3">
        <v>41911</v>
      </c>
      <c r="K2134" s="3">
        <v>42001</v>
      </c>
      <c r="L2134" s="1">
        <v>366.73</v>
      </c>
      <c r="M2134">
        <v>529</v>
      </c>
      <c r="N2134" s="5">
        <v>194000.17</v>
      </c>
      <c r="O2134">
        <v>366.73</v>
      </c>
      <c r="P2134">
        <v>529</v>
      </c>
      <c r="Q2134" s="4">
        <v>194000.17</v>
      </c>
      <c r="R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 s="3">
        <v>42562</v>
      </c>
      <c r="AC2134" t="s">
        <v>53</v>
      </c>
      <c r="AD2134" t="s">
        <v>53</v>
      </c>
      <c r="AK2134">
        <v>0</v>
      </c>
      <c r="AU2134" s="3">
        <v>42530</v>
      </c>
      <c r="AV2134" s="3">
        <v>42530</v>
      </c>
      <c r="AW2134" t="s">
        <v>54</v>
      </c>
      <c r="AX2134" t="str">
        <f t="shared" si="277"/>
        <v>FOR</v>
      </c>
      <c r="AY2134" t="s">
        <v>55</v>
      </c>
    </row>
    <row r="2135" spans="1:51">
      <c r="A2135">
        <v>102685</v>
      </c>
      <c r="B2135" t="s">
        <v>317</v>
      </c>
      <c r="C2135" t="str">
        <f t="shared" si="278"/>
        <v>00905811006</v>
      </c>
      <c r="D2135" t="str">
        <f t="shared" si="279"/>
        <v>00484960588</v>
      </c>
      <c r="E2135" t="s">
        <v>52</v>
      </c>
      <c r="F2135">
        <v>2014</v>
      </c>
      <c r="G2135" t="str">
        <f>"          D140274793"</f>
        <v xml:space="preserve">          D140274793</v>
      </c>
      <c r="H2135" s="3">
        <v>41929</v>
      </c>
      <c r="I2135" s="3">
        <v>41941</v>
      </c>
      <c r="J2135" s="3">
        <v>41941</v>
      </c>
      <c r="K2135" s="3">
        <v>42001</v>
      </c>
      <c r="L2135" s="5">
        <v>42016.1</v>
      </c>
      <c r="M2135">
        <v>529</v>
      </c>
      <c r="N2135" s="5">
        <v>22226516.899999999</v>
      </c>
      <c r="O2135" s="4">
        <v>42016.1</v>
      </c>
      <c r="P2135">
        <v>529</v>
      </c>
      <c r="Q2135" s="4">
        <v>22226516.899999999</v>
      </c>
      <c r="R2135">
        <v>0</v>
      </c>
      <c r="V2135">
        <v>0</v>
      </c>
      <c r="W2135">
        <v>0</v>
      </c>
      <c r="X2135">
        <v>0</v>
      </c>
      <c r="Y2135">
        <v>0</v>
      </c>
      <c r="Z2135">
        <v>0</v>
      </c>
      <c r="AA2135">
        <v>0</v>
      </c>
      <c r="AB2135" s="3">
        <v>42562</v>
      </c>
      <c r="AC2135" t="s">
        <v>53</v>
      </c>
      <c r="AD2135" t="s">
        <v>53</v>
      </c>
      <c r="AK2135">
        <v>0</v>
      </c>
      <c r="AU2135" s="3">
        <v>42530</v>
      </c>
      <c r="AV2135" s="3">
        <v>42530</v>
      </c>
      <c r="AW2135" t="s">
        <v>54</v>
      </c>
      <c r="AX2135" t="str">
        <f t="shared" si="277"/>
        <v>FOR</v>
      </c>
      <c r="AY2135" t="s">
        <v>55</v>
      </c>
    </row>
    <row r="2136" spans="1:51">
      <c r="A2136">
        <v>102685</v>
      </c>
      <c r="B2136" t="s">
        <v>317</v>
      </c>
      <c r="C2136" t="str">
        <f t="shared" si="278"/>
        <v>00905811006</v>
      </c>
      <c r="D2136" t="str">
        <f t="shared" si="279"/>
        <v>00484960588</v>
      </c>
      <c r="E2136" t="s">
        <v>52</v>
      </c>
      <c r="F2136">
        <v>2014</v>
      </c>
      <c r="G2136" t="str">
        <f>"          D140274839"</f>
        <v xml:space="preserve">          D140274839</v>
      </c>
      <c r="H2136" s="3">
        <v>41929</v>
      </c>
      <c r="I2136" s="3">
        <v>41941</v>
      </c>
      <c r="J2136" s="3">
        <v>41941</v>
      </c>
      <c r="K2136" s="3">
        <v>42001</v>
      </c>
      <c r="L2136" s="1">
        <v>423.79</v>
      </c>
      <c r="M2136">
        <v>529</v>
      </c>
      <c r="N2136" s="5">
        <v>224184.91</v>
      </c>
      <c r="O2136">
        <v>423.79</v>
      </c>
      <c r="P2136">
        <v>529</v>
      </c>
      <c r="Q2136" s="4">
        <v>224184.91</v>
      </c>
      <c r="R2136">
        <v>0</v>
      </c>
      <c r="V2136">
        <v>0</v>
      </c>
      <c r="W2136">
        <v>0</v>
      </c>
      <c r="X2136">
        <v>0</v>
      </c>
      <c r="Y2136">
        <v>0</v>
      </c>
      <c r="Z2136">
        <v>0</v>
      </c>
      <c r="AA2136">
        <v>0</v>
      </c>
      <c r="AB2136" s="3">
        <v>42562</v>
      </c>
      <c r="AC2136" t="s">
        <v>53</v>
      </c>
      <c r="AD2136" t="s">
        <v>53</v>
      </c>
      <c r="AK2136">
        <v>0</v>
      </c>
      <c r="AU2136" s="3">
        <v>42530</v>
      </c>
      <c r="AV2136" s="3">
        <v>42530</v>
      </c>
      <c r="AW2136" t="s">
        <v>54</v>
      </c>
      <c r="AX2136" t="str">
        <f t="shared" si="277"/>
        <v>FOR</v>
      </c>
      <c r="AY2136" t="s">
        <v>55</v>
      </c>
    </row>
    <row r="2137" spans="1:51">
      <c r="A2137">
        <v>102685</v>
      </c>
      <c r="B2137" t="s">
        <v>317</v>
      </c>
      <c r="C2137" t="str">
        <f t="shared" si="278"/>
        <v>00905811006</v>
      </c>
      <c r="D2137" t="str">
        <f t="shared" si="279"/>
        <v>00484960588</v>
      </c>
      <c r="E2137" t="s">
        <v>52</v>
      </c>
      <c r="F2137">
        <v>2014</v>
      </c>
      <c r="G2137" t="str">
        <f>"          D140276471"</f>
        <v xml:space="preserve">          D140276471</v>
      </c>
      <c r="H2137" s="3">
        <v>41929</v>
      </c>
      <c r="I2137" s="3">
        <v>41941</v>
      </c>
      <c r="J2137" s="3">
        <v>41941</v>
      </c>
      <c r="K2137" s="3">
        <v>42001</v>
      </c>
      <c r="L2137" s="5">
        <v>2732.53</v>
      </c>
      <c r="M2137">
        <v>529</v>
      </c>
      <c r="N2137" s="5">
        <v>1445508.37</v>
      </c>
      <c r="O2137" s="4">
        <v>2732.53</v>
      </c>
      <c r="P2137">
        <v>529</v>
      </c>
      <c r="Q2137" s="4">
        <v>1445508.37</v>
      </c>
      <c r="R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 s="3">
        <v>42562</v>
      </c>
      <c r="AC2137" t="s">
        <v>53</v>
      </c>
      <c r="AD2137" t="s">
        <v>53</v>
      </c>
      <c r="AK2137">
        <v>0</v>
      </c>
      <c r="AU2137" s="3">
        <v>42530</v>
      </c>
      <c r="AV2137" s="3">
        <v>42530</v>
      </c>
      <c r="AW2137" t="s">
        <v>54</v>
      </c>
      <c r="AX2137" t="str">
        <f t="shared" si="277"/>
        <v>FOR</v>
      </c>
      <c r="AY2137" t="s">
        <v>55</v>
      </c>
    </row>
    <row r="2138" spans="1:51">
      <c r="A2138">
        <v>102685</v>
      </c>
      <c r="B2138" t="s">
        <v>317</v>
      </c>
      <c r="C2138" t="str">
        <f t="shared" si="278"/>
        <v>00905811006</v>
      </c>
      <c r="D2138" t="str">
        <f t="shared" si="279"/>
        <v>00484960588</v>
      </c>
      <c r="E2138" t="s">
        <v>52</v>
      </c>
      <c r="F2138">
        <v>2014</v>
      </c>
      <c r="G2138" t="str">
        <f>"          D140300364"</f>
        <v xml:space="preserve">          D140300364</v>
      </c>
      <c r="H2138" s="3">
        <v>41960</v>
      </c>
      <c r="I2138" s="3">
        <v>41970</v>
      </c>
      <c r="J2138" s="3">
        <v>41970</v>
      </c>
      <c r="K2138" s="3">
        <v>42030</v>
      </c>
      <c r="L2138" s="1">
        <v>349.98</v>
      </c>
      <c r="M2138">
        <v>500</v>
      </c>
      <c r="N2138" s="5">
        <v>174990</v>
      </c>
      <c r="O2138">
        <v>349.98</v>
      </c>
      <c r="P2138">
        <v>500</v>
      </c>
      <c r="Q2138" s="4">
        <v>174990</v>
      </c>
      <c r="R2138">
        <v>0</v>
      </c>
      <c r="V2138">
        <v>0</v>
      </c>
      <c r="W2138">
        <v>0</v>
      </c>
      <c r="X2138">
        <v>0</v>
      </c>
      <c r="Y2138">
        <v>0</v>
      </c>
      <c r="Z2138">
        <v>0</v>
      </c>
      <c r="AA2138">
        <v>0</v>
      </c>
      <c r="AB2138" s="3">
        <v>42562</v>
      </c>
      <c r="AC2138" t="s">
        <v>53</v>
      </c>
      <c r="AD2138" t="s">
        <v>53</v>
      </c>
      <c r="AK2138">
        <v>0</v>
      </c>
      <c r="AU2138" s="3">
        <v>42530</v>
      </c>
      <c r="AV2138" s="3">
        <v>42530</v>
      </c>
      <c r="AW2138" t="s">
        <v>54</v>
      </c>
      <c r="AX2138" t="str">
        <f t="shared" si="277"/>
        <v>FOR</v>
      </c>
      <c r="AY2138" t="s">
        <v>55</v>
      </c>
    </row>
    <row r="2139" spans="1:51">
      <c r="A2139">
        <v>102685</v>
      </c>
      <c r="B2139" t="s">
        <v>317</v>
      </c>
      <c r="C2139" t="str">
        <f t="shared" si="278"/>
        <v>00905811006</v>
      </c>
      <c r="D2139" t="str">
        <f t="shared" si="279"/>
        <v>00484960588</v>
      </c>
      <c r="E2139" t="s">
        <v>52</v>
      </c>
      <c r="F2139">
        <v>2014</v>
      </c>
      <c r="G2139" t="str">
        <f>"          D140300452"</f>
        <v xml:space="preserve">          D140300452</v>
      </c>
      <c r="H2139" s="3">
        <v>41960</v>
      </c>
      <c r="I2139" s="3">
        <v>41970</v>
      </c>
      <c r="J2139" s="3">
        <v>41970</v>
      </c>
      <c r="K2139" s="3">
        <v>42030</v>
      </c>
      <c r="L2139" s="5">
        <v>11359.05</v>
      </c>
      <c r="M2139">
        <v>500</v>
      </c>
      <c r="N2139" s="5">
        <v>5679525</v>
      </c>
      <c r="O2139" s="4">
        <v>11359.05</v>
      </c>
      <c r="P2139">
        <v>500</v>
      </c>
      <c r="Q2139" s="4">
        <v>5679525</v>
      </c>
      <c r="R2139">
        <v>0</v>
      </c>
      <c r="V2139">
        <v>0</v>
      </c>
      <c r="W2139">
        <v>0</v>
      </c>
      <c r="X2139">
        <v>0</v>
      </c>
      <c r="Y2139">
        <v>0</v>
      </c>
      <c r="Z2139">
        <v>0</v>
      </c>
      <c r="AA2139">
        <v>0</v>
      </c>
      <c r="AB2139" s="3">
        <v>42562</v>
      </c>
      <c r="AC2139" t="s">
        <v>53</v>
      </c>
      <c r="AD2139" t="s">
        <v>53</v>
      </c>
      <c r="AK2139">
        <v>0</v>
      </c>
      <c r="AU2139" s="3">
        <v>42530</v>
      </c>
      <c r="AV2139" s="3">
        <v>42530</v>
      </c>
      <c r="AW2139" t="s">
        <v>54</v>
      </c>
      <c r="AX2139" t="str">
        <f t="shared" si="277"/>
        <v>FOR</v>
      </c>
      <c r="AY2139" t="s">
        <v>55</v>
      </c>
    </row>
    <row r="2140" spans="1:51">
      <c r="A2140">
        <v>102685</v>
      </c>
      <c r="B2140" t="s">
        <v>317</v>
      </c>
      <c r="C2140" t="str">
        <f t="shared" si="278"/>
        <v>00905811006</v>
      </c>
      <c r="D2140" t="str">
        <f t="shared" si="279"/>
        <v>00484960588</v>
      </c>
      <c r="E2140" t="s">
        <v>52</v>
      </c>
      <c r="F2140">
        <v>2014</v>
      </c>
      <c r="G2140" t="str">
        <f>"          D140300491"</f>
        <v xml:space="preserve">          D140300491</v>
      </c>
      <c r="H2140" s="3">
        <v>41960</v>
      </c>
      <c r="I2140" s="3">
        <v>41974</v>
      </c>
      <c r="J2140" s="3">
        <v>41974</v>
      </c>
      <c r="K2140" s="3">
        <v>42034</v>
      </c>
      <c r="L2140" s="5">
        <v>5384.75</v>
      </c>
      <c r="M2140">
        <v>496</v>
      </c>
      <c r="N2140" s="5">
        <v>2670836</v>
      </c>
      <c r="O2140" s="4">
        <v>5384.75</v>
      </c>
      <c r="P2140">
        <v>496</v>
      </c>
      <c r="Q2140" s="4">
        <v>2670836</v>
      </c>
      <c r="R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 s="3">
        <v>42562</v>
      </c>
      <c r="AC2140" t="s">
        <v>53</v>
      </c>
      <c r="AD2140" t="s">
        <v>53</v>
      </c>
      <c r="AK2140">
        <v>0</v>
      </c>
      <c r="AU2140" s="3">
        <v>42530</v>
      </c>
      <c r="AV2140" s="3">
        <v>42530</v>
      </c>
      <c r="AW2140" t="s">
        <v>54</v>
      </c>
      <c r="AX2140" t="str">
        <f t="shared" si="277"/>
        <v>FOR</v>
      </c>
      <c r="AY2140" t="s">
        <v>55</v>
      </c>
    </row>
    <row r="2141" spans="1:51">
      <c r="A2141">
        <v>102685</v>
      </c>
      <c r="B2141" t="s">
        <v>317</v>
      </c>
      <c r="C2141" t="str">
        <f t="shared" si="278"/>
        <v>00905811006</v>
      </c>
      <c r="D2141" t="str">
        <f t="shared" si="279"/>
        <v>00484960588</v>
      </c>
      <c r="E2141" t="s">
        <v>52</v>
      </c>
      <c r="F2141">
        <v>2014</v>
      </c>
      <c r="G2141" t="str">
        <f>"          D140300492"</f>
        <v xml:space="preserve">          D140300492</v>
      </c>
      <c r="H2141" s="3">
        <v>41960</v>
      </c>
      <c r="I2141" s="3">
        <v>41970</v>
      </c>
      <c r="J2141" s="3">
        <v>41970</v>
      </c>
      <c r="K2141" s="3">
        <v>42030</v>
      </c>
      <c r="L2141" s="5">
        <v>11840.41</v>
      </c>
      <c r="M2141">
        <v>500</v>
      </c>
      <c r="N2141" s="5">
        <v>5920205</v>
      </c>
      <c r="O2141" s="4">
        <v>11840.41</v>
      </c>
      <c r="P2141">
        <v>500</v>
      </c>
      <c r="Q2141" s="4">
        <v>5920205</v>
      </c>
      <c r="R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 s="3">
        <v>42562</v>
      </c>
      <c r="AC2141" t="s">
        <v>53</v>
      </c>
      <c r="AD2141" t="s">
        <v>53</v>
      </c>
      <c r="AK2141">
        <v>0</v>
      </c>
      <c r="AU2141" s="3">
        <v>42530</v>
      </c>
      <c r="AV2141" s="3">
        <v>42530</v>
      </c>
      <c r="AW2141" t="s">
        <v>54</v>
      </c>
      <c r="AX2141" t="str">
        <f t="shared" si="277"/>
        <v>FOR</v>
      </c>
      <c r="AY2141" t="s">
        <v>55</v>
      </c>
    </row>
    <row r="2142" spans="1:51">
      <c r="A2142">
        <v>102685</v>
      </c>
      <c r="B2142" t="s">
        <v>317</v>
      </c>
      <c r="C2142" t="str">
        <f t="shared" si="278"/>
        <v>00905811006</v>
      </c>
      <c r="D2142" t="str">
        <f t="shared" si="279"/>
        <v>00484960588</v>
      </c>
      <c r="E2142" t="s">
        <v>52</v>
      </c>
      <c r="F2142">
        <v>2014</v>
      </c>
      <c r="G2142" t="str">
        <f>"          D140300493"</f>
        <v xml:space="preserve">          D140300493</v>
      </c>
      <c r="H2142" s="3">
        <v>41960</v>
      </c>
      <c r="I2142" s="3">
        <v>41970</v>
      </c>
      <c r="J2142" s="3">
        <v>41970</v>
      </c>
      <c r="K2142" s="3">
        <v>42030</v>
      </c>
      <c r="L2142" s="1">
        <v>472.01</v>
      </c>
      <c r="M2142">
        <v>500</v>
      </c>
      <c r="N2142" s="5">
        <v>236005</v>
      </c>
      <c r="O2142">
        <v>472.01</v>
      </c>
      <c r="P2142">
        <v>500</v>
      </c>
      <c r="Q2142" s="4">
        <v>236005</v>
      </c>
      <c r="R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 s="3">
        <v>42562</v>
      </c>
      <c r="AC2142" t="s">
        <v>53</v>
      </c>
      <c r="AD2142" t="s">
        <v>53</v>
      </c>
      <c r="AK2142">
        <v>0</v>
      </c>
      <c r="AU2142" s="3">
        <v>42530</v>
      </c>
      <c r="AV2142" s="3">
        <v>42530</v>
      </c>
      <c r="AW2142" t="s">
        <v>54</v>
      </c>
      <c r="AX2142" t="str">
        <f t="shared" si="277"/>
        <v>FOR</v>
      </c>
      <c r="AY2142" t="s">
        <v>55</v>
      </c>
    </row>
    <row r="2143" spans="1:51">
      <c r="A2143">
        <v>102685</v>
      </c>
      <c r="B2143" t="s">
        <v>317</v>
      </c>
      <c r="C2143" t="str">
        <f t="shared" si="278"/>
        <v>00905811006</v>
      </c>
      <c r="D2143" t="str">
        <f t="shared" si="279"/>
        <v>00484960588</v>
      </c>
      <c r="E2143" t="s">
        <v>52</v>
      </c>
      <c r="F2143">
        <v>2016</v>
      </c>
      <c r="G2143" t="str">
        <f>"          P160008139"</f>
        <v xml:space="preserve">          P160008139</v>
      </c>
      <c r="H2143" s="3">
        <v>42416</v>
      </c>
      <c r="I2143" s="3">
        <v>42430</v>
      </c>
      <c r="J2143" s="3">
        <v>42419</v>
      </c>
      <c r="K2143" s="3">
        <v>42479</v>
      </c>
      <c r="L2143" s="5">
        <v>242405.86</v>
      </c>
      <c r="M2143">
        <v>48</v>
      </c>
      <c r="N2143" s="5">
        <v>11635481.279999999</v>
      </c>
      <c r="O2143" s="4">
        <v>242405.86</v>
      </c>
      <c r="P2143">
        <v>48</v>
      </c>
      <c r="Q2143" s="4">
        <v>11635481.279999999</v>
      </c>
      <c r="R2143">
        <v>0</v>
      </c>
      <c r="V2143" s="4">
        <v>5505.56</v>
      </c>
      <c r="W2143" s="4">
        <v>5505.56</v>
      </c>
      <c r="X2143" s="4">
        <v>5505.56</v>
      </c>
      <c r="Y2143" s="4">
        <v>-45243.83</v>
      </c>
      <c r="Z2143" s="4">
        <v>242405.86</v>
      </c>
      <c r="AA2143" s="4">
        <v>242405.86</v>
      </c>
      <c r="AB2143" s="3">
        <v>42562</v>
      </c>
      <c r="AC2143" t="s">
        <v>53</v>
      </c>
      <c r="AD2143" t="s">
        <v>53</v>
      </c>
      <c r="AK2143">
        <v>0</v>
      </c>
      <c r="AU2143" s="3">
        <v>42527</v>
      </c>
      <c r="AV2143" s="3">
        <v>42527</v>
      </c>
      <c r="AW2143" t="s">
        <v>54</v>
      </c>
      <c r="AX2143" t="str">
        <f t="shared" si="277"/>
        <v>FOR</v>
      </c>
      <c r="AY2143" t="s">
        <v>55</v>
      </c>
    </row>
    <row r="2144" spans="1:51" hidden="1">
      <c r="A2144">
        <v>102698</v>
      </c>
      <c r="B2144" t="s">
        <v>318</v>
      </c>
      <c r="C2144" t="str">
        <f t="shared" ref="C2144:D2163" si="280">"01409770631"</f>
        <v>01409770631</v>
      </c>
      <c r="D2144" t="str">
        <f t="shared" si="280"/>
        <v>01409770631</v>
      </c>
      <c r="E2144" t="s">
        <v>52</v>
      </c>
      <c r="F2144">
        <v>2015</v>
      </c>
      <c r="G2144" t="str">
        <f>"                9/80"</f>
        <v xml:space="preserve">                9/80</v>
      </c>
      <c r="H2144" s="3">
        <v>42109</v>
      </c>
      <c r="I2144" s="3">
        <v>42181</v>
      </c>
      <c r="J2144" s="3">
        <v>42178</v>
      </c>
      <c r="K2144" s="3">
        <v>42238</v>
      </c>
      <c r="L2144"/>
      <c r="N2144"/>
      <c r="O2144">
        <v>915.95</v>
      </c>
      <c r="P2144">
        <v>163</v>
      </c>
      <c r="Q2144" s="4">
        <v>149299.85</v>
      </c>
      <c r="R2144">
        <v>0</v>
      </c>
      <c r="V2144">
        <v>0</v>
      </c>
      <c r="W2144">
        <v>0</v>
      </c>
      <c r="X2144">
        <v>0</v>
      </c>
      <c r="Y2144">
        <v>0</v>
      </c>
      <c r="Z2144">
        <v>0</v>
      </c>
      <c r="AA2144">
        <v>0</v>
      </c>
      <c r="AB2144" s="3">
        <v>42562</v>
      </c>
      <c r="AC2144" t="s">
        <v>53</v>
      </c>
      <c r="AD2144" t="s">
        <v>53</v>
      </c>
      <c r="AK2144">
        <v>0</v>
      </c>
      <c r="AU2144" s="3">
        <v>42401</v>
      </c>
      <c r="AV2144" s="3">
        <v>42401</v>
      </c>
      <c r="AW2144" t="s">
        <v>54</v>
      </c>
      <c r="AX2144" t="str">
        <f t="shared" si="277"/>
        <v>FOR</v>
      </c>
      <c r="AY2144" t="s">
        <v>55</v>
      </c>
    </row>
    <row r="2145" spans="1:51" hidden="1">
      <c r="A2145">
        <v>102698</v>
      </c>
      <c r="B2145" t="s">
        <v>318</v>
      </c>
      <c r="C2145" t="str">
        <f t="shared" si="280"/>
        <v>01409770631</v>
      </c>
      <c r="D2145" t="str">
        <f t="shared" si="280"/>
        <v>01409770631</v>
      </c>
      <c r="E2145" t="s">
        <v>52</v>
      </c>
      <c r="F2145">
        <v>2015</v>
      </c>
      <c r="G2145" t="str">
        <f>"                9/81"</f>
        <v xml:space="preserve">                9/81</v>
      </c>
      <c r="H2145" s="3">
        <v>42109</v>
      </c>
      <c r="I2145" s="3">
        <v>42181</v>
      </c>
      <c r="J2145" s="3">
        <v>42178</v>
      </c>
      <c r="K2145" s="3">
        <v>42238</v>
      </c>
      <c r="L2145"/>
      <c r="N2145"/>
      <c r="O2145" s="4">
        <v>2848</v>
      </c>
      <c r="P2145">
        <v>163</v>
      </c>
      <c r="Q2145" s="4">
        <v>464224</v>
      </c>
      <c r="R2145">
        <v>0</v>
      </c>
      <c r="V2145">
        <v>0</v>
      </c>
      <c r="W2145">
        <v>0</v>
      </c>
      <c r="X2145">
        <v>0</v>
      </c>
      <c r="Y2145">
        <v>0</v>
      </c>
      <c r="Z2145">
        <v>0</v>
      </c>
      <c r="AA2145">
        <v>0</v>
      </c>
      <c r="AB2145" s="3">
        <v>42562</v>
      </c>
      <c r="AC2145" t="s">
        <v>53</v>
      </c>
      <c r="AD2145" t="s">
        <v>53</v>
      </c>
      <c r="AK2145">
        <v>0</v>
      </c>
      <c r="AU2145" s="3">
        <v>42401</v>
      </c>
      <c r="AV2145" s="3">
        <v>42401</v>
      </c>
      <c r="AW2145" t="s">
        <v>54</v>
      </c>
      <c r="AX2145" t="str">
        <f t="shared" si="277"/>
        <v>FOR</v>
      </c>
      <c r="AY2145" t="s">
        <v>55</v>
      </c>
    </row>
    <row r="2146" spans="1:51" hidden="1">
      <c r="A2146">
        <v>102698</v>
      </c>
      <c r="B2146" t="s">
        <v>318</v>
      </c>
      <c r="C2146" t="str">
        <f t="shared" si="280"/>
        <v>01409770631</v>
      </c>
      <c r="D2146" t="str">
        <f t="shared" si="280"/>
        <v>01409770631</v>
      </c>
      <c r="E2146" t="s">
        <v>52</v>
      </c>
      <c r="F2146">
        <v>2015</v>
      </c>
      <c r="G2146" t="str">
        <f>"                9/82"</f>
        <v xml:space="preserve">                9/82</v>
      </c>
      <c r="H2146" s="3">
        <v>42109</v>
      </c>
      <c r="I2146" s="3">
        <v>42180</v>
      </c>
      <c r="J2146" s="3">
        <v>42178</v>
      </c>
      <c r="K2146" s="3">
        <v>42238</v>
      </c>
      <c r="L2146"/>
      <c r="N2146"/>
      <c r="O2146">
        <v>252.85</v>
      </c>
      <c r="P2146">
        <v>178</v>
      </c>
      <c r="Q2146" s="4">
        <v>45007.3</v>
      </c>
      <c r="R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 s="3">
        <v>42562</v>
      </c>
      <c r="AC2146" t="s">
        <v>53</v>
      </c>
      <c r="AD2146" t="s">
        <v>53</v>
      </c>
      <c r="AK2146">
        <v>0</v>
      </c>
      <c r="AU2146" s="3">
        <v>42416</v>
      </c>
      <c r="AV2146" s="3">
        <v>42416</v>
      </c>
      <c r="AW2146" t="s">
        <v>54</v>
      </c>
      <c r="AX2146" t="str">
        <f t="shared" si="277"/>
        <v>FOR</v>
      </c>
      <c r="AY2146" t="s">
        <v>55</v>
      </c>
    </row>
    <row r="2147" spans="1:51" hidden="1">
      <c r="A2147">
        <v>102698</v>
      </c>
      <c r="B2147" t="s">
        <v>318</v>
      </c>
      <c r="C2147" t="str">
        <f t="shared" si="280"/>
        <v>01409770631</v>
      </c>
      <c r="D2147" t="str">
        <f t="shared" si="280"/>
        <v>01409770631</v>
      </c>
      <c r="E2147" t="s">
        <v>52</v>
      </c>
      <c r="F2147">
        <v>2015</v>
      </c>
      <c r="G2147" t="str">
        <f>"               9/199"</f>
        <v xml:space="preserve">               9/199</v>
      </c>
      <c r="H2147" s="3">
        <v>42124</v>
      </c>
      <c r="I2147" s="3">
        <v>42181</v>
      </c>
      <c r="J2147" s="3">
        <v>42178</v>
      </c>
      <c r="K2147" s="3">
        <v>42238</v>
      </c>
      <c r="L2147"/>
      <c r="N2147"/>
      <c r="O2147" s="4">
        <v>5287</v>
      </c>
      <c r="P2147">
        <v>163</v>
      </c>
      <c r="Q2147" s="4">
        <v>861781</v>
      </c>
      <c r="R2147">
        <v>0</v>
      </c>
      <c r="V2147">
        <v>0</v>
      </c>
      <c r="W2147">
        <v>0</v>
      </c>
      <c r="X2147">
        <v>0</v>
      </c>
      <c r="Y2147">
        <v>0</v>
      </c>
      <c r="Z2147">
        <v>0</v>
      </c>
      <c r="AA2147">
        <v>0</v>
      </c>
      <c r="AB2147" s="3">
        <v>42562</v>
      </c>
      <c r="AC2147" t="s">
        <v>53</v>
      </c>
      <c r="AD2147" t="s">
        <v>53</v>
      </c>
      <c r="AK2147">
        <v>0</v>
      </c>
      <c r="AU2147" s="3">
        <v>42401</v>
      </c>
      <c r="AV2147" s="3">
        <v>42401</v>
      </c>
      <c r="AW2147" t="s">
        <v>54</v>
      </c>
      <c r="AX2147" t="str">
        <f t="shared" ref="AX2147:AX2178" si="281">"FOR"</f>
        <v>FOR</v>
      </c>
      <c r="AY2147" t="s">
        <v>55</v>
      </c>
    </row>
    <row r="2148" spans="1:51" hidden="1">
      <c r="A2148">
        <v>102698</v>
      </c>
      <c r="B2148" t="s">
        <v>318</v>
      </c>
      <c r="C2148" t="str">
        <f t="shared" si="280"/>
        <v>01409770631</v>
      </c>
      <c r="D2148" t="str">
        <f t="shared" si="280"/>
        <v>01409770631</v>
      </c>
      <c r="E2148" t="s">
        <v>52</v>
      </c>
      <c r="F2148">
        <v>2015</v>
      </c>
      <c r="G2148" t="str">
        <f>"               9/200"</f>
        <v xml:space="preserve">               9/200</v>
      </c>
      <c r="H2148" s="3">
        <v>42124</v>
      </c>
      <c r="I2148" s="3">
        <v>42181</v>
      </c>
      <c r="J2148" s="3">
        <v>42178</v>
      </c>
      <c r="K2148" s="3">
        <v>42238</v>
      </c>
      <c r="L2148"/>
      <c r="N2148"/>
      <c r="O2148" s="4">
        <v>2848</v>
      </c>
      <c r="P2148">
        <v>163</v>
      </c>
      <c r="Q2148" s="4">
        <v>464224</v>
      </c>
      <c r="R2148">
        <v>0</v>
      </c>
      <c r="V2148">
        <v>0</v>
      </c>
      <c r="W2148">
        <v>0</v>
      </c>
      <c r="X2148">
        <v>0</v>
      </c>
      <c r="Y2148">
        <v>0</v>
      </c>
      <c r="Z2148">
        <v>0</v>
      </c>
      <c r="AA2148">
        <v>0</v>
      </c>
      <c r="AB2148" s="3">
        <v>42562</v>
      </c>
      <c r="AC2148" t="s">
        <v>53</v>
      </c>
      <c r="AD2148" t="s">
        <v>53</v>
      </c>
      <c r="AK2148">
        <v>0</v>
      </c>
      <c r="AU2148" s="3">
        <v>42401</v>
      </c>
      <c r="AV2148" s="3">
        <v>42401</v>
      </c>
      <c r="AW2148" t="s">
        <v>54</v>
      </c>
      <c r="AX2148" t="str">
        <f t="shared" si="281"/>
        <v>FOR</v>
      </c>
      <c r="AY2148" t="s">
        <v>55</v>
      </c>
    </row>
    <row r="2149" spans="1:51" hidden="1">
      <c r="A2149">
        <v>102698</v>
      </c>
      <c r="B2149" t="s">
        <v>318</v>
      </c>
      <c r="C2149" t="str">
        <f t="shared" si="280"/>
        <v>01409770631</v>
      </c>
      <c r="D2149" t="str">
        <f t="shared" si="280"/>
        <v>01409770631</v>
      </c>
      <c r="E2149" t="s">
        <v>52</v>
      </c>
      <c r="F2149">
        <v>2015</v>
      </c>
      <c r="G2149" t="str">
        <f>"               9/201"</f>
        <v xml:space="preserve">               9/201</v>
      </c>
      <c r="H2149" s="3">
        <v>42124</v>
      </c>
      <c r="I2149" s="3">
        <v>42181</v>
      </c>
      <c r="J2149" s="3">
        <v>42178</v>
      </c>
      <c r="K2149" s="3">
        <v>42238</v>
      </c>
      <c r="L2149"/>
      <c r="N2149"/>
      <c r="O2149" s="4">
        <v>3961.5</v>
      </c>
      <c r="P2149">
        <v>163</v>
      </c>
      <c r="Q2149" s="4">
        <v>645724.5</v>
      </c>
      <c r="R2149">
        <v>0</v>
      </c>
      <c r="V2149">
        <v>0</v>
      </c>
      <c r="W2149">
        <v>0</v>
      </c>
      <c r="X2149">
        <v>0</v>
      </c>
      <c r="Y2149">
        <v>0</v>
      </c>
      <c r="Z2149">
        <v>0</v>
      </c>
      <c r="AA2149">
        <v>0</v>
      </c>
      <c r="AB2149" s="3">
        <v>42562</v>
      </c>
      <c r="AC2149" t="s">
        <v>53</v>
      </c>
      <c r="AD2149" t="s">
        <v>53</v>
      </c>
      <c r="AK2149">
        <v>0</v>
      </c>
      <c r="AU2149" s="3">
        <v>42401</v>
      </c>
      <c r="AV2149" s="3">
        <v>42401</v>
      </c>
      <c r="AW2149" t="s">
        <v>54</v>
      </c>
      <c r="AX2149" t="str">
        <f t="shared" si="281"/>
        <v>FOR</v>
      </c>
      <c r="AY2149" t="s">
        <v>55</v>
      </c>
    </row>
    <row r="2150" spans="1:51" hidden="1">
      <c r="A2150">
        <v>102698</v>
      </c>
      <c r="B2150" t="s">
        <v>318</v>
      </c>
      <c r="C2150" t="str">
        <f t="shared" si="280"/>
        <v>01409770631</v>
      </c>
      <c r="D2150" t="str">
        <f t="shared" si="280"/>
        <v>01409770631</v>
      </c>
      <c r="E2150" t="s">
        <v>52</v>
      </c>
      <c r="F2150">
        <v>2015</v>
      </c>
      <c r="G2150" t="str">
        <f>"               9/202"</f>
        <v xml:space="preserve">               9/202</v>
      </c>
      <c r="H2150" s="3">
        <v>42124</v>
      </c>
      <c r="I2150" s="3">
        <v>42181</v>
      </c>
      <c r="J2150" s="3">
        <v>42178</v>
      </c>
      <c r="K2150" s="3">
        <v>42238</v>
      </c>
      <c r="L2150"/>
      <c r="N2150"/>
      <c r="O2150">
        <v>792.3</v>
      </c>
      <c r="P2150">
        <v>163</v>
      </c>
      <c r="Q2150" s="4">
        <v>129144.9</v>
      </c>
      <c r="R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 s="3">
        <v>42562</v>
      </c>
      <c r="AC2150" t="s">
        <v>53</v>
      </c>
      <c r="AD2150" t="s">
        <v>53</v>
      </c>
      <c r="AK2150">
        <v>0</v>
      </c>
      <c r="AU2150" s="3">
        <v>42401</v>
      </c>
      <c r="AV2150" s="3">
        <v>42401</v>
      </c>
      <c r="AW2150" t="s">
        <v>54</v>
      </c>
      <c r="AX2150" t="str">
        <f t="shared" si="281"/>
        <v>FOR</v>
      </c>
      <c r="AY2150" t="s">
        <v>55</v>
      </c>
    </row>
    <row r="2151" spans="1:51" hidden="1">
      <c r="A2151">
        <v>102698</v>
      </c>
      <c r="B2151" t="s">
        <v>318</v>
      </c>
      <c r="C2151" t="str">
        <f t="shared" si="280"/>
        <v>01409770631</v>
      </c>
      <c r="D2151" t="str">
        <f t="shared" si="280"/>
        <v>01409770631</v>
      </c>
      <c r="E2151" t="s">
        <v>52</v>
      </c>
      <c r="F2151">
        <v>2015</v>
      </c>
      <c r="G2151" t="str">
        <f>"               9/437"</f>
        <v xml:space="preserve">               9/437</v>
      </c>
      <c r="H2151" s="3">
        <v>42154</v>
      </c>
      <c r="I2151" s="3">
        <v>42191</v>
      </c>
      <c r="J2151" s="3">
        <v>42187</v>
      </c>
      <c r="K2151" s="3">
        <v>42247</v>
      </c>
      <c r="L2151"/>
      <c r="N2151"/>
      <c r="O2151">
        <v>548.79999999999995</v>
      </c>
      <c r="P2151">
        <v>205</v>
      </c>
      <c r="Q2151" s="4">
        <v>112504</v>
      </c>
      <c r="R2151">
        <v>0</v>
      </c>
      <c r="V2151">
        <v>0</v>
      </c>
      <c r="W2151">
        <v>0</v>
      </c>
      <c r="X2151">
        <v>0</v>
      </c>
      <c r="Y2151">
        <v>0</v>
      </c>
      <c r="Z2151">
        <v>0</v>
      </c>
      <c r="AA2151">
        <v>0</v>
      </c>
      <c r="AB2151" s="3">
        <v>42562</v>
      </c>
      <c r="AC2151" t="s">
        <v>53</v>
      </c>
      <c r="AD2151" t="s">
        <v>53</v>
      </c>
      <c r="AK2151">
        <v>0</v>
      </c>
      <c r="AU2151" s="3">
        <v>42452</v>
      </c>
      <c r="AV2151" s="3">
        <v>42452</v>
      </c>
      <c r="AW2151" t="s">
        <v>54</v>
      </c>
      <c r="AX2151" t="str">
        <f t="shared" si="281"/>
        <v>FOR</v>
      </c>
      <c r="AY2151" t="s">
        <v>55</v>
      </c>
    </row>
    <row r="2152" spans="1:51" hidden="1">
      <c r="A2152">
        <v>102698</v>
      </c>
      <c r="B2152" t="s">
        <v>318</v>
      </c>
      <c r="C2152" t="str">
        <f t="shared" si="280"/>
        <v>01409770631</v>
      </c>
      <c r="D2152" t="str">
        <f t="shared" si="280"/>
        <v>01409770631</v>
      </c>
      <c r="E2152" t="s">
        <v>52</v>
      </c>
      <c r="F2152">
        <v>2015</v>
      </c>
      <c r="G2152" t="str">
        <f>"               9/438"</f>
        <v xml:space="preserve">               9/438</v>
      </c>
      <c r="H2152" s="3">
        <v>42154</v>
      </c>
      <c r="I2152" s="3">
        <v>42191</v>
      </c>
      <c r="J2152" s="3">
        <v>42187</v>
      </c>
      <c r="K2152" s="3">
        <v>42247</v>
      </c>
      <c r="L2152"/>
      <c r="N2152"/>
      <c r="O2152" s="4">
        <v>2848</v>
      </c>
      <c r="P2152">
        <v>205</v>
      </c>
      <c r="Q2152" s="4">
        <v>583840</v>
      </c>
      <c r="R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 s="3">
        <v>42562</v>
      </c>
      <c r="AC2152" t="s">
        <v>53</v>
      </c>
      <c r="AD2152" t="s">
        <v>53</v>
      </c>
      <c r="AK2152">
        <v>0</v>
      </c>
      <c r="AU2152" s="3">
        <v>42452</v>
      </c>
      <c r="AV2152" s="3">
        <v>42452</v>
      </c>
      <c r="AW2152" t="s">
        <v>54</v>
      </c>
      <c r="AX2152" t="str">
        <f t="shared" si="281"/>
        <v>FOR</v>
      </c>
      <c r="AY2152" t="s">
        <v>55</v>
      </c>
    </row>
    <row r="2153" spans="1:51">
      <c r="A2153">
        <v>102698</v>
      </c>
      <c r="B2153" t="s">
        <v>318</v>
      </c>
      <c r="C2153" t="str">
        <f t="shared" si="280"/>
        <v>01409770631</v>
      </c>
      <c r="D2153" t="str">
        <f t="shared" si="280"/>
        <v>01409770631</v>
      </c>
      <c r="E2153" t="s">
        <v>52</v>
      </c>
      <c r="F2153">
        <v>2015</v>
      </c>
      <c r="G2153" t="str">
        <f>"               9/501"</f>
        <v xml:space="preserve">               9/501</v>
      </c>
      <c r="H2153" s="3">
        <v>42170</v>
      </c>
      <c r="I2153" s="3">
        <v>42226</v>
      </c>
      <c r="J2153" s="3">
        <v>42223</v>
      </c>
      <c r="K2153" s="3">
        <v>42283</v>
      </c>
      <c r="L2153" s="5">
        <v>5287</v>
      </c>
      <c r="M2153">
        <v>209</v>
      </c>
      <c r="N2153" s="5">
        <v>1104983</v>
      </c>
      <c r="O2153" s="4">
        <v>5287</v>
      </c>
      <c r="P2153">
        <v>209</v>
      </c>
      <c r="Q2153" s="4">
        <v>1104983</v>
      </c>
      <c r="R2153">
        <v>0</v>
      </c>
      <c r="V2153">
        <v>0</v>
      </c>
      <c r="W2153">
        <v>0</v>
      </c>
      <c r="X2153">
        <v>0</v>
      </c>
      <c r="Y2153">
        <v>0</v>
      </c>
      <c r="Z2153">
        <v>0</v>
      </c>
      <c r="AA2153">
        <v>0</v>
      </c>
      <c r="AB2153" s="3">
        <v>42562</v>
      </c>
      <c r="AC2153" t="s">
        <v>53</v>
      </c>
      <c r="AD2153" t="s">
        <v>53</v>
      </c>
      <c r="AK2153">
        <v>0</v>
      </c>
      <c r="AU2153" s="3">
        <v>42492</v>
      </c>
      <c r="AV2153" s="3">
        <v>42492</v>
      </c>
      <c r="AW2153" t="s">
        <v>54</v>
      </c>
      <c r="AX2153" t="str">
        <f t="shared" si="281"/>
        <v>FOR</v>
      </c>
      <c r="AY2153" t="s">
        <v>55</v>
      </c>
    </row>
    <row r="2154" spans="1:51">
      <c r="A2154">
        <v>102698</v>
      </c>
      <c r="B2154" t="s">
        <v>318</v>
      </c>
      <c r="C2154" t="str">
        <f t="shared" si="280"/>
        <v>01409770631</v>
      </c>
      <c r="D2154" t="str">
        <f t="shared" si="280"/>
        <v>01409770631</v>
      </c>
      <c r="E2154" t="s">
        <v>52</v>
      </c>
      <c r="F2154">
        <v>2015</v>
      </c>
      <c r="G2154" t="str">
        <f>"               9/502"</f>
        <v xml:space="preserve">               9/502</v>
      </c>
      <c r="H2154" s="3">
        <v>42170</v>
      </c>
      <c r="I2154" s="3">
        <v>42226</v>
      </c>
      <c r="J2154" s="3">
        <v>42223</v>
      </c>
      <c r="K2154" s="3">
        <v>42283</v>
      </c>
      <c r="L2154" s="5">
        <v>5287</v>
      </c>
      <c r="M2154">
        <v>209</v>
      </c>
      <c r="N2154" s="5">
        <v>1104983</v>
      </c>
      <c r="O2154" s="4">
        <v>5287</v>
      </c>
      <c r="P2154">
        <v>209</v>
      </c>
      <c r="Q2154" s="4">
        <v>1104983</v>
      </c>
      <c r="R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 s="3">
        <v>42562</v>
      </c>
      <c r="AC2154" t="s">
        <v>53</v>
      </c>
      <c r="AD2154" t="s">
        <v>53</v>
      </c>
      <c r="AK2154">
        <v>0</v>
      </c>
      <c r="AU2154" s="3">
        <v>42492</v>
      </c>
      <c r="AV2154" s="3">
        <v>42492</v>
      </c>
      <c r="AW2154" t="s">
        <v>54</v>
      </c>
      <c r="AX2154" t="str">
        <f t="shared" si="281"/>
        <v>FOR</v>
      </c>
      <c r="AY2154" t="s">
        <v>55</v>
      </c>
    </row>
    <row r="2155" spans="1:51">
      <c r="A2155">
        <v>102698</v>
      </c>
      <c r="B2155" t="s">
        <v>318</v>
      </c>
      <c r="C2155" t="str">
        <f t="shared" si="280"/>
        <v>01409770631</v>
      </c>
      <c r="D2155" t="str">
        <f t="shared" si="280"/>
        <v>01409770631</v>
      </c>
      <c r="E2155" t="s">
        <v>52</v>
      </c>
      <c r="F2155">
        <v>2015</v>
      </c>
      <c r="G2155" t="str">
        <f>"               9/503"</f>
        <v xml:space="preserve">               9/503</v>
      </c>
      <c r="H2155" s="3">
        <v>42170</v>
      </c>
      <c r="I2155" s="3">
        <v>42226</v>
      </c>
      <c r="J2155" s="3">
        <v>42223</v>
      </c>
      <c r="K2155" s="3">
        <v>42283</v>
      </c>
      <c r="L2155" s="1">
        <v>367.15</v>
      </c>
      <c r="M2155">
        <v>209</v>
      </c>
      <c r="N2155" s="5">
        <v>76734.350000000006</v>
      </c>
      <c r="O2155">
        <v>367.15</v>
      </c>
      <c r="P2155">
        <v>209</v>
      </c>
      <c r="Q2155" s="4">
        <v>76734.350000000006</v>
      </c>
      <c r="R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 s="3">
        <v>42562</v>
      </c>
      <c r="AC2155" t="s">
        <v>53</v>
      </c>
      <c r="AD2155" t="s">
        <v>53</v>
      </c>
      <c r="AK2155">
        <v>0</v>
      </c>
      <c r="AU2155" s="3">
        <v>42492</v>
      </c>
      <c r="AV2155" s="3">
        <v>42492</v>
      </c>
      <c r="AW2155" t="s">
        <v>54</v>
      </c>
      <c r="AX2155" t="str">
        <f t="shared" si="281"/>
        <v>FOR</v>
      </c>
      <c r="AY2155" t="s">
        <v>55</v>
      </c>
    </row>
    <row r="2156" spans="1:51">
      <c r="A2156">
        <v>102698</v>
      </c>
      <c r="B2156" t="s">
        <v>318</v>
      </c>
      <c r="C2156" t="str">
        <f t="shared" si="280"/>
        <v>01409770631</v>
      </c>
      <c r="D2156" t="str">
        <f t="shared" si="280"/>
        <v>01409770631</v>
      </c>
      <c r="E2156" t="s">
        <v>52</v>
      </c>
      <c r="F2156">
        <v>2015</v>
      </c>
      <c r="G2156" t="str">
        <f>"               9/671"</f>
        <v xml:space="preserve">               9/671</v>
      </c>
      <c r="H2156" s="3">
        <v>42185</v>
      </c>
      <c r="I2156" s="3">
        <v>42229</v>
      </c>
      <c r="J2156" s="3">
        <v>42221</v>
      </c>
      <c r="K2156" s="3">
        <v>42281</v>
      </c>
      <c r="L2156" s="5">
        <v>4304</v>
      </c>
      <c r="M2156">
        <v>211</v>
      </c>
      <c r="N2156" s="5">
        <v>908144</v>
      </c>
      <c r="O2156" s="4">
        <v>4304</v>
      </c>
      <c r="P2156">
        <v>211</v>
      </c>
      <c r="Q2156" s="4">
        <v>908144</v>
      </c>
      <c r="R2156">
        <v>0</v>
      </c>
      <c r="V2156">
        <v>0</v>
      </c>
      <c r="W2156">
        <v>0</v>
      </c>
      <c r="X2156">
        <v>0</v>
      </c>
      <c r="Y2156">
        <v>0</v>
      </c>
      <c r="Z2156">
        <v>0</v>
      </c>
      <c r="AA2156">
        <v>0</v>
      </c>
      <c r="AB2156" s="3">
        <v>42562</v>
      </c>
      <c r="AC2156" t="s">
        <v>53</v>
      </c>
      <c r="AD2156" t="s">
        <v>53</v>
      </c>
      <c r="AK2156">
        <v>0</v>
      </c>
      <c r="AU2156" s="3">
        <v>42492</v>
      </c>
      <c r="AV2156" s="3">
        <v>42492</v>
      </c>
      <c r="AW2156" t="s">
        <v>54</v>
      </c>
      <c r="AX2156" t="str">
        <f t="shared" si="281"/>
        <v>FOR</v>
      </c>
      <c r="AY2156" t="s">
        <v>55</v>
      </c>
    </row>
    <row r="2157" spans="1:51">
      <c r="A2157">
        <v>102698</v>
      </c>
      <c r="B2157" t="s">
        <v>318</v>
      </c>
      <c r="C2157" t="str">
        <f t="shared" si="280"/>
        <v>01409770631</v>
      </c>
      <c r="D2157" t="str">
        <f t="shared" si="280"/>
        <v>01409770631</v>
      </c>
      <c r="E2157" t="s">
        <v>52</v>
      </c>
      <c r="F2157">
        <v>2015</v>
      </c>
      <c r="G2157" t="str">
        <f>"               9/672"</f>
        <v xml:space="preserve">               9/672</v>
      </c>
      <c r="H2157" s="3">
        <v>42185</v>
      </c>
      <c r="I2157" s="3">
        <v>42223</v>
      </c>
      <c r="J2157" s="3">
        <v>42221</v>
      </c>
      <c r="K2157" s="3">
        <v>42281</v>
      </c>
      <c r="L2157" s="5">
        <v>1259.26</v>
      </c>
      <c r="M2157">
        <v>211</v>
      </c>
      <c r="N2157" s="5">
        <v>265703.86</v>
      </c>
      <c r="O2157" s="4">
        <v>1259.26</v>
      </c>
      <c r="P2157">
        <v>211</v>
      </c>
      <c r="Q2157" s="4">
        <v>265703.86</v>
      </c>
      <c r="R2157">
        <v>0</v>
      </c>
      <c r="V2157">
        <v>0</v>
      </c>
      <c r="W2157">
        <v>0</v>
      </c>
      <c r="X2157">
        <v>0</v>
      </c>
      <c r="Y2157">
        <v>0</v>
      </c>
      <c r="Z2157">
        <v>0</v>
      </c>
      <c r="AA2157">
        <v>0</v>
      </c>
      <c r="AB2157" s="3">
        <v>42562</v>
      </c>
      <c r="AC2157" t="s">
        <v>53</v>
      </c>
      <c r="AD2157" t="s">
        <v>53</v>
      </c>
      <c r="AK2157">
        <v>0</v>
      </c>
      <c r="AU2157" s="3">
        <v>42492</v>
      </c>
      <c r="AV2157" s="3">
        <v>42492</v>
      </c>
      <c r="AW2157" t="s">
        <v>54</v>
      </c>
      <c r="AX2157" t="str">
        <f t="shared" si="281"/>
        <v>FOR</v>
      </c>
      <c r="AY2157" t="s">
        <v>55</v>
      </c>
    </row>
    <row r="2158" spans="1:51">
      <c r="A2158">
        <v>102698</v>
      </c>
      <c r="B2158" t="s">
        <v>318</v>
      </c>
      <c r="C2158" t="str">
        <f t="shared" si="280"/>
        <v>01409770631</v>
      </c>
      <c r="D2158" t="str">
        <f t="shared" si="280"/>
        <v>01409770631</v>
      </c>
      <c r="E2158" t="s">
        <v>52</v>
      </c>
      <c r="F2158">
        <v>2015</v>
      </c>
      <c r="G2158" t="str">
        <f>"               9/673"</f>
        <v xml:space="preserve">               9/673</v>
      </c>
      <c r="H2158" s="3">
        <v>42185</v>
      </c>
      <c r="I2158" s="3">
        <v>42229</v>
      </c>
      <c r="J2158" s="3">
        <v>42221</v>
      </c>
      <c r="K2158" s="3">
        <v>42281</v>
      </c>
      <c r="L2158" s="5">
        <v>4984</v>
      </c>
      <c r="M2158">
        <v>211</v>
      </c>
      <c r="N2158" s="5">
        <v>1051624</v>
      </c>
      <c r="O2158" s="4">
        <v>4984</v>
      </c>
      <c r="P2158">
        <v>211</v>
      </c>
      <c r="Q2158" s="4">
        <v>1051624</v>
      </c>
      <c r="R2158">
        <v>0</v>
      </c>
      <c r="V2158">
        <v>0</v>
      </c>
      <c r="W2158">
        <v>0</v>
      </c>
      <c r="X2158">
        <v>0</v>
      </c>
      <c r="Y2158">
        <v>0</v>
      </c>
      <c r="Z2158">
        <v>0</v>
      </c>
      <c r="AA2158">
        <v>0</v>
      </c>
      <c r="AB2158" s="3">
        <v>42562</v>
      </c>
      <c r="AC2158" t="s">
        <v>53</v>
      </c>
      <c r="AD2158" t="s">
        <v>53</v>
      </c>
      <c r="AK2158">
        <v>0</v>
      </c>
      <c r="AU2158" s="3">
        <v>42492</v>
      </c>
      <c r="AV2158" s="3">
        <v>42492</v>
      </c>
      <c r="AW2158" t="s">
        <v>54</v>
      </c>
      <c r="AX2158" t="str">
        <f t="shared" si="281"/>
        <v>FOR</v>
      </c>
      <c r="AY2158" t="s">
        <v>55</v>
      </c>
    </row>
    <row r="2159" spans="1:51">
      <c r="A2159">
        <v>102698</v>
      </c>
      <c r="B2159" t="s">
        <v>318</v>
      </c>
      <c r="C2159" t="str">
        <f t="shared" si="280"/>
        <v>01409770631</v>
      </c>
      <c r="D2159" t="str">
        <f t="shared" si="280"/>
        <v>01409770631</v>
      </c>
      <c r="E2159" t="s">
        <v>52</v>
      </c>
      <c r="F2159">
        <v>2015</v>
      </c>
      <c r="G2159" t="str">
        <f>"               9/674"</f>
        <v xml:space="preserve">               9/674</v>
      </c>
      <c r="H2159" s="3">
        <v>42185</v>
      </c>
      <c r="I2159" s="3">
        <v>42223</v>
      </c>
      <c r="J2159" s="3">
        <v>42221</v>
      </c>
      <c r="K2159" s="3">
        <v>42281</v>
      </c>
      <c r="L2159" s="5">
        <v>5942.25</v>
      </c>
      <c r="M2159">
        <v>211</v>
      </c>
      <c r="N2159" s="5">
        <v>1253814.75</v>
      </c>
      <c r="O2159" s="4">
        <v>5942.25</v>
      </c>
      <c r="P2159">
        <v>211</v>
      </c>
      <c r="Q2159" s="4">
        <v>1253814.75</v>
      </c>
      <c r="R2159">
        <v>0</v>
      </c>
      <c r="V2159">
        <v>0</v>
      </c>
      <c r="W2159">
        <v>0</v>
      </c>
      <c r="X2159">
        <v>0</v>
      </c>
      <c r="Y2159">
        <v>0</v>
      </c>
      <c r="Z2159">
        <v>0</v>
      </c>
      <c r="AA2159">
        <v>0</v>
      </c>
      <c r="AB2159" s="3">
        <v>42562</v>
      </c>
      <c r="AC2159" t="s">
        <v>53</v>
      </c>
      <c r="AD2159" t="s">
        <v>53</v>
      </c>
      <c r="AK2159">
        <v>0</v>
      </c>
      <c r="AU2159" s="3">
        <v>42492</v>
      </c>
      <c r="AV2159" s="3">
        <v>42492</v>
      </c>
      <c r="AW2159" t="s">
        <v>54</v>
      </c>
      <c r="AX2159" t="str">
        <f t="shared" si="281"/>
        <v>FOR</v>
      </c>
      <c r="AY2159" t="s">
        <v>55</v>
      </c>
    </row>
    <row r="2160" spans="1:51">
      <c r="A2160">
        <v>102698</v>
      </c>
      <c r="B2160" t="s">
        <v>318</v>
      </c>
      <c r="C2160" t="str">
        <f t="shared" si="280"/>
        <v>01409770631</v>
      </c>
      <c r="D2160" t="str">
        <f t="shared" si="280"/>
        <v>01409770631</v>
      </c>
      <c r="E2160" t="s">
        <v>52</v>
      </c>
      <c r="F2160">
        <v>2015</v>
      </c>
      <c r="G2160" t="str">
        <f>"               9/675"</f>
        <v xml:space="preserve">               9/675</v>
      </c>
      <c r="H2160" s="3">
        <v>42185</v>
      </c>
      <c r="I2160" s="3">
        <v>42229</v>
      </c>
      <c r="J2160" s="3">
        <v>42221</v>
      </c>
      <c r="K2160" s="3">
        <v>42281</v>
      </c>
      <c r="L2160" s="5">
        <v>3565.35</v>
      </c>
      <c r="M2160">
        <v>211</v>
      </c>
      <c r="N2160" s="5">
        <v>752288.85</v>
      </c>
      <c r="O2160" s="4">
        <v>3565.35</v>
      </c>
      <c r="P2160">
        <v>211</v>
      </c>
      <c r="Q2160" s="4">
        <v>752288.85</v>
      </c>
      <c r="R2160">
        <v>0</v>
      </c>
      <c r="V2160">
        <v>0</v>
      </c>
      <c r="W2160">
        <v>0</v>
      </c>
      <c r="X2160">
        <v>0</v>
      </c>
      <c r="Y2160">
        <v>0</v>
      </c>
      <c r="Z2160">
        <v>0</v>
      </c>
      <c r="AA2160">
        <v>0</v>
      </c>
      <c r="AB2160" s="3">
        <v>42562</v>
      </c>
      <c r="AC2160" t="s">
        <v>53</v>
      </c>
      <c r="AD2160" t="s">
        <v>53</v>
      </c>
      <c r="AK2160">
        <v>0</v>
      </c>
      <c r="AU2160" s="3">
        <v>42492</v>
      </c>
      <c r="AV2160" s="3">
        <v>42492</v>
      </c>
      <c r="AW2160" t="s">
        <v>54</v>
      </c>
      <c r="AX2160" t="str">
        <f t="shared" si="281"/>
        <v>FOR</v>
      </c>
      <c r="AY2160" t="s">
        <v>55</v>
      </c>
    </row>
    <row r="2161" spans="1:51" hidden="1">
      <c r="A2161">
        <v>102698</v>
      </c>
      <c r="B2161" t="s">
        <v>318</v>
      </c>
      <c r="C2161" t="str">
        <f t="shared" si="280"/>
        <v>01409770631</v>
      </c>
      <c r="D2161" t="str">
        <f t="shared" si="280"/>
        <v>01409770631</v>
      </c>
      <c r="E2161" t="s">
        <v>52</v>
      </c>
      <c r="F2161">
        <v>2015</v>
      </c>
      <c r="G2161" t="str">
        <f>"              900192"</f>
        <v xml:space="preserve">              900192</v>
      </c>
      <c r="H2161" s="3">
        <v>42035</v>
      </c>
      <c r="I2161" s="3">
        <v>42369</v>
      </c>
      <c r="J2161" s="3">
        <v>42369</v>
      </c>
      <c r="K2161" s="3">
        <v>42429</v>
      </c>
      <c r="L2161"/>
      <c r="N2161"/>
      <c r="O2161">
        <v>915.95</v>
      </c>
      <c r="P2161">
        <v>1</v>
      </c>
      <c r="Q2161">
        <v>915.95</v>
      </c>
      <c r="R2161">
        <v>0</v>
      </c>
      <c r="V2161">
        <v>0</v>
      </c>
      <c r="W2161">
        <v>0</v>
      </c>
      <c r="X2161">
        <v>0</v>
      </c>
      <c r="Y2161">
        <v>0</v>
      </c>
      <c r="Z2161">
        <v>0</v>
      </c>
      <c r="AA2161">
        <v>0</v>
      </c>
      <c r="AB2161" s="3">
        <v>42562</v>
      </c>
      <c r="AC2161" t="s">
        <v>53</v>
      </c>
      <c r="AD2161" t="s">
        <v>53</v>
      </c>
      <c r="AK2161">
        <v>0</v>
      </c>
      <c r="AU2161" s="3">
        <v>42430</v>
      </c>
      <c r="AV2161" s="3">
        <v>42430</v>
      </c>
      <c r="AW2161" t="s">
        <v>54</v>
      </c>
      <c r="AX2161" t="str">
        <f t="shared" si="281"/>
        <v>FOR</v>
      </c>
      <c r="AY2161" t="s">
        <v>55</v>
      </c>
    </row>
    <row r="2162" spans="1:51" hidden="1">
      <c r="A2162">
        <v>102698</v>
      </c>
      <c r="B2162" t="s">
        <v>318</v>
      </c>
      <c r="C2162" t="str">
        <f t="shared" si="280"/>
        <v>01409770631</v>
      </c>
      <c r="D2162" t="str">
        <f t="shared" si="280"/>
        <v>01409770631</v>
      </c>
      <c r="E2162" t="s">
        <v>52</v>
      </c>
      <c r="F2162">
        <v>2015</v>
      </c>
      <c r="G2162" t="str">
        <f>"              900193"</f>
        <v xml:space="preserve">              900193</v>
      </c>
      <c r="H2162" s="3">
        <v>42035</v>
      </c>
      <c r="I2162" s="3">
        <v>42369</v>
      </c>
      <c r="J2162" s="3">
        <v>42369</v>
      </c>
      <c r="K2162" s="3">
        <v>42429</v>
      </c>
      <c r="L2162"/>
      <c r="N2162"/>
      <c r="O2162" s="4">
        <v>4272</v>
      </c>
      <c r="P2162">
        <v>1</v>
      </c>
      <c r="Q2162" s="4">
        <v>4272</v>
      </c>
      <c r="R2162">
        <v>0</v>
      </c>
      <c r="V2162">
        <v>0</v>
      </c>
      <c r="W2162">
        <v>0</v>
      </c>
      <c r="X2162">
        <v>0</v>
      </c>
      <c r="Y2162">
        <v>0</v>
      </c>
      <c r="Z2162">
        <v>0</v>
      </c>
      <c r="AA2162">
        <v>0</v>
      </c>
      <c r="AB2162" s="3">
        <v>42562</v>
      </c>
      <c r="AC2162" t="s">
        <v>53</v>
      </c>
      <c r="AD2162" t="s">
        <v>53</v>
      </c>
      <c r="AK2162">
        <v>0</v>
      </c>
      <c r="AU2162" s="3">
        <v>42430</v>
      </c>
      <c r="AV2162" s="3">
        <v>42430</v>
      </c>
      <c r="AW2162" t="s">
        <v>54</v>
      </c>
      <c r="AX2162" t="str">
        <f t="shared" si="281"/>
        <v>FOR</v>
      </c>
      <c r="AY2162" t="s">
        <v>55</v>
      </c>
    </row>
    <row r="2163" spans="1:51" hidden="1">
      <c r="A2163">
        <v>102698</v>
      </c>
      <c r="B2163" t="s">
        <v>318</v>
      </c>
      <c r="C2163" t="str">
        <f t="shared" si="280"/>
        <v>01409770631</v>
      </c>
      <c r="D2163" t="str">
        <f t="shared" si="280"/>
        <v>01409770631</v>
      </c>
      <c r="E2163" t="s">
        <v>52</v>
      </c>
      <c r="F2163">
        <v>2015</v>
      </c>
      <c r="G2163" t="str">
        <f>"              900194"</f>
        <v xml:space="preserve">              900194</v>
      </c>
      <c r="H2163" s="3">
        <v>42035</v>
      </c>
      <c r="I2163" s="3">
        <v>42369</v>
      </c>
      <c r="J2163" s="3">
        <v>42369</v>
      </c>
      <c r="K2163" s="3">
        <v>42429</v>
      </c>
      <c r="L2163"/>
      <c r="N2163"/>
      <c r="O2163">
        <v>389</v>
      </c>
      <c r="P2163">
        <v>1</v>
      </c>
      <c r="Q2163">
        <v>389</v>
      </c>
      <c r="R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 s="3">
        <v>42562</v>
      </c>
      <c r="AC2163" t="s">
        <v>53</v>
      </c>
      <c r="AD2163" t="s">
        <v>53</v>
      </c>
      <c r="AK2163">
        <v>0</v>
      </c>
      <c r="AU2163" s="3">
        <v>42430</v>
      </c>
      <c r="AV2163" s="3">
        <v>42430</v>
      </c>
      <c r="AW2163" t="s">
        <v>54</v>
      </c>
      <c r="AX2163" t="str">
        <f t="shared" si="281"/>
        <v>FOR</v>
      </c>
      <c r="AY2163" t="s">
        <v>55</v>
      </c>
    </row>
    <row r="2164" spans="1:51" hidden="1">
      <c r="A2164">
        <v>102698</v>
      </c>
      <c r="B2164" t="s">
        <v>318</v>
      </c>
      <c r="C2164" t="str">
        <f t="shared" ref="C2164:D2179" si="282">"01409770631"</f>
        <v>01409770631</v>
      </c>
      <c r="D2164" t="str">
        <f t="shared" si="282"/>
        <v>01409770631</v>
      </c>
      <c r="E2164" t="s">
        <v>52</v>
      </c>
      <c r="F2164">
        <v>2015</v>
      </c>
      <c r="G2164" t="str">
        <f>"              900195"</f>
        <v xml:space="preserve">              900195</v>
      </c>
      <c r="H2164" s="3">
        <v>42035</v>
      </c>
      <c r="I2164" s="3">
        <v>42369</v>
      </c>
      <c r="J2164" s="3">
        <v>42369</v>
      </c>
      <c r="K2164" s="3">
        <v>42429</v>
      </c>
      <c r="L2164"/>
      <c r="N2164"/>
      <c r="O2164">
        <v>554.62</v>
      </c>
      <c r="P2164">
        <v>1</v>
      </c>
      <c r="Q2164">
        <v>554.62</v>
      </c>
      <c r="R2164">
        <v>0</v>
      </c>
      <c r="V2164">
        <v>0</v>
      </c>
      <c r="W2164">
        <v>0</v>
      </c>
      <c r="X2164">
        <v>0</v>
      </c>
      <c r="Y2164">
        <v>0</v>
      </c>
      <c r="Z2164">
        <v>0</v>
      </c>
      <c r="AA2164">
        <v>0</v>
      </c>
      <c r="AB2164" s="3">
        <v>42562</v>
      </c>
      <c r="AC2164" t="s">
        <v>53</v>
      </c>
      <c r="AD2164" t="s">
        <v>53</v>
      </c>
      <c r="AK2164">
        <v>0</v>
      </c>
      <c r="AU2164" s="3">
        <v>42430</v>
      </c>
      <c r="AV2164" s="3">
        <v>42430</v>
      </c>
      <c r="AW2164" t="s">
        <v>54</v>
      </c>
      <c r="AX2164" t="str">
        <f t="shared" si="281"/>
        <v>FOR</v>
      </c>
      <c r="AY2164" t="s">
        <v>55</v>
      </c>
    </row>
    <row r="2165" spans="1:51" hidden="1">
      <c r="A2165">
        <v>102698</v>
      </c>
      <c r="B2165" t="s">
        <v>318</v>
      </c>
      <c r="C2165" t="str">
        <f t="shared" si="282"/>
        <v>01409770631</v>
      </c>
      <c r="D2165" t="str">
        <f t="shared" si="282"/>
        <v>01409770631</v>
      </c>
      <c r="E2165" t="s">
        <v>52</v>
      </c>
      <c r="F2165">
        <v>2015</v>
      </c>
      <c r="G2165" t="str">
        <f>"              900196"</f>
        <v xml:space="preserve">              900196</v>
      </c>
      <c r="H2165" s="3">
        <v>42035</v>
      </c>
      <c r="I2165" s="3">
        <v>42369</v>
      </c>
      <c r="J2165" s="3">
        <v>42369</v>
      </c>
      <c r="K2165" s="3">
        <v>42429</v>
      </c>
      <c r="L2165"/>
      <c r="N2165"/>
      <c r="O2165" s="4">
        <v>2218.44</v>
      </c>
      <c r="P2165">
        <v>1</v>
      </c>
      <c r="Q2165" s="4">
        <v>2218.44</v>
      </c>
      <c r="R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 s="3">
        <v>42562</v>
      </c>
      <c r="AC2165" t="s">
        <v>53</v>
      </c>
      <c r="AD2165" t="s">
        <v>53</v>
      </c>
      <c r="AK2165">
        <v>0</v>
      </c>
      <c r="AU2165" s="3">
        <v>42430</v>
      </c>
      <c r="AV2165" s="3">
        <v>42430</v>
      </c>
      <c r="AW2165" t="s">
        <v>54</v>
      </c>
      <c r="AX2165" t="str">
        <f t="shared" si="281"/>
        <v>FOR</v>
      </c>
      <c r="AY2165" t="s">
        <v>55</v>
      </c>
    </row>
    <row r="2166" spans="1:51" hidden="1">
      <c r="A2166">
        <v>102698</v>
      </c>
      <c r="B2166" t="s">
        <v>318</v>
      </c>
      <c r="C2166" t="str">
        <f t="shared" si="282"/>
        <v>01409770631</v>
      </c>
      <c r="D2166" t="str">
        <f t="shared" si="282"/>
        <v>01409770631</v>
      </c>
      <c r="E2166" t="s">
        <v>52</v>
      </c>
      <c r="F2166">
        <v>2015</v>
      </c>
      <c r="G2166" t="str">
        <f>"              900197"</f>
        <v xml:space="preserve">              900197</v>
      </c>
      <c r="H2166" s="3">
        <v>42035</v>
      </c>
      <c r="I2166" s="3">
        <v>42369</v>
      </c>
      <c r="J2166" s="3">
        <v>42369</v>
      </c>
      <c r="K2166" s="3">
        <v>42429</v>
      </c>
      <c r="L2166"/>
      <c r="N2166"/>
      <c r="O2166" s="4">
        <v>2337.29</v>
      </c>
      <c r="P2166">
        <v>1</v>
      </c>
      <c r="Q2166" s="4">
        <v>2337.29</v>
      </c>
      <c r="R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 s="3">
        <v>42562</v>
      </c>
      <c r="AC2166" t="s">
        <v>53</v>
      </c>
      <c r="AD2166" t="s">
        <v>53</v>
      </c>
      <c r="AK2166">
        <v>0</v>
      </c>
      <c r="AU2166" s="3">
        <v>42430</v>
      </c>
      <c r="AV2166" s="3">
        <v>42430</v>
      </c>
      <c r="AW2166" t="s">
        <v>54</v>
      </c>
      <c r="AX2166" t="str">
        <f t="shared" si="281"/>
        <v>FOR</v>
      </c>
      <c r="AY2166" t="s">
        <v>55</v>
      </c>
    </row>
    <row r="2167" spans="1:51" hidden="1">
      <c r="A2167">
        <v>102698</v>
      </c>
      <c r="B2167" t="s">
        <v>318</v>
      </c>
      <c r="C2167" t="str">
        <f t="shared" si="282"/>
        <v>01409770631</v>
      </c>
      <c r="D2167" t="str">
        <f t="shared" si="282"/>
        <v>01409770631</v>
      </c>
      <c r="E2167" t="s">
        <v>52</v>
      </c>
      <c r="F2167">
        <v>2015</v>
      </c>
      <c r="G2167" t="str">
        <f>"              900198"</f>
        <v xml:space="preserve">              900198</v>
      </c>
      <c r="H2167" s="3">
        <v>42035</v>
      </c>
      <c r="I2167" s="3">
        <v>42369</v>
      </c>
      <c r="J2167" s="3">
        <v>42369</v>
      </c>
      <c r="K2167" s="3">
        <v>42429</v>
      </c>
      <c r="L2167"/>
      <c r="N2167"/>
      <c r="O2167" s="4">
        <v>1228.07</v>
      </c>
      <c r="P2167">
        <v>1</v>
      </c>
      <c r="Q2167" s="4">
        <v>1228.07</v>
      </c>
      <c r="R2167">
        <v>0</v>
      </c>
      <c r="V2167">
        <v>0</v>
      </c>
      <c r="W2167">
        <v>0</v>
      </c>
      <c r="X2167">
        <v>0</v>
      </c>
      <c r="Y2167">
        <v>0</v>
      </c>
      <c r="Z2167">
        <v>0</v>
      </c>
      <c r="AA2167">
        <v>0</v>
      </c>
      <c r="AB2167" s="3">
        <v>42562</v>
      </c>
      <c r="AC2167" t="s">
        <v>53</v>
      </c>
      <c r="AD2167" t="s">
        <v>53</v>
      </c>
      <c r="AK2167">
        <v>0</v>
      </c>
      <c r="AU2167" s="3">
        <v>42430</v>
      </c>
      <c r="AV2167" s="3">
        <v>42430</v>
      </c>
      <c r="AW2167" t="s">
        <v>54</v>
      </c>
      <c r="AX2167" t="str">
        <f t="shared" si="281"/>
        <v>FOR</v>
      </c>
      <c r="AY2167" t="s">
        <v>55</v>
      </c>
    </row>
    <row r="2168" spans="1:51" hidden="1">
      <c r="A2168">
        <v>102698</v>
      </c>
      <c r="B2168" t="s">
        <v>318</v>
      </c>
      <c r="C2168" t="str">
        <f t="shared" si="282"/>
        <v>01409770631</v>
      </c>
      <c r="D2168" t="str">
        <f t="shared" si="282"/>
        <v>01409770631</v>
      </c>
      <c r="E2168" t="s">
        <v>52</v>
      </c>
      <c r="F2168">
        <v>2015</v>
      </c>
      <c r="G2168" t="str">
        <f>"              900423"</f>
        <v xml:space="preserve">              900423</v>
      </c>
      <c r="H2168" s="3">
        <v>42063</v>
      </c>
      <c r="I2168" s="3">
        <v>42094</v>
      </c>
      <c r="J2168" s="3">
        <v>42094</v>
      </c>
      <c r="K2168" s="3">
        <v>42154</v>
      </c>
      <c r="L2168"/>
      <c r="N2168"/>
      <c r="O2168" s="4">
        <v>1168</v>
      </c>
      <c r="P2168">
        <v>247</v>
      </c>
      <c r="Q2168" s="4">
        <v>288496</v>
      </c>
      <c r="R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 s="3">
        <v>42562</v>
      </c>
      <c r="AC2168" t="s">
        <v>53</v>
      </c>
      <c r="AD2168" t="s">
        <v>53</v>
      </c>
      <c r="AK2168">
        <v>0</v>
      </c>
      <c r="AU2168" s="3">
        <v>42401</v>
      </c>
      <c r="AV2168" s="3">
        <v>42401</v>
      </c>
      <c r="AW2168" t="s">
        <v>54</v>
      </c>
      <c r="AX2168" t="str">
        <f t="shared" si="281"/>
        <v>FOR</v>
      </c>
      <c r="AY2168" t="s">
        <v>55</v>
      </c>
    </row>
    <row r="2169" spans="1:51" hidden="1">
      <c r="A2169">
        <v>102698</v>
      </c>
      <c r="B2169" t="s">
        <v>318</v>
      </c>
      <c r="C2169" t="str">
        <f t="shared" si="282"/>
        <v>01409770631</v>
      </c>
      <c r="D2169" t="str">
        <f t="shared" si="282"/>
        <v>01409770631</v>
      </c>
      <c r="E2169" t="s">
        <v>52</v>
      </c>
      <c r="F2169">
        <v>2015</v>
      </c>
      <c r="G2169" t="str">
        <f>"              900424"</f>
        <v xml:space="preserve">              900424</v>
      </c>
      <c r="H2169" s="3">
        <v>42063</v>
      </c>
      <c r="I2169" s="3">
        <v>42094</v>
      </c>
      <c r="J2169" s="3">
        <v>42094</v>
      </c>
      <c r="K2169" s="3">
        <v>42154</v>
      </c>
      <c r="L2169"/>
      <c r="N2169"/>
      <c r="O2169" s="4">
        <v>4758.3</v>
      </c>
      <c r="P2169">
        <v>247</v>
      </c>
      <c r="Q2169" s="4">
        <v>1175300.1000000001</v>
      </c>
      <c r="R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 s="3">
        <v>42562</v>
      </c>
      <c r="AC2169" t="s">
        <v>53</v>
      </c>
      <c r="AD2169" t="s">
        <v>53</v>
      </c>
      <c r="AK2169">
        <v>0</v>
      </c>
      <c r="AU2169" s="3">
        <v>42401</v>
      </c>
      <c r="AV2169" s="3">
        <v>42401</v>
      </c>
      <c r="AW2169" t="s">
        <v>54</v>
      </c>
      <c r="AX2169" t="str">
        <f t="shared" si="281"/>
        <v>FOR</v>
      </c>
      <c r="AY2169" t="s">
        <v>55</v>
      </c>
    </row>
    <row r="2170" spans="1:51" hidden="1">
      <c r="A2170">
        <v>102698</v>
      </c>
      <c r="B2170" t="s">
        <v>318</v>
      </c>
      <c r="C2170" t="str">
        <f t="shared" si="282"/>
        <v>01409770631</v>
      </c>
      <c r="D2170" t="str">
        <f t="shared" si="282"/>
        <v>01409770631</v>
      </c>
      <c r="E2170" t="s">
        <v>52</v>
      </c>
      <c r="F2170">
        <v>2015</v>
      </c>
      <c r="G2170" t="str">
        <f>"              900425"</f>
        <v xml:space="preserve">              900425</v>
      </c>
      <c r="H2170" s="3">
        <v>42063</v>
      </c>
      <c r="I2170" s="3">
        <v>42094</v>
      </c>
      <c r="J2170" s="3">
        <v>42094</v>
      </c>
      <c r="K2170" s="3">
        <v>42154</v>
      </c>
      <c r="L2170"/>
      <c r="N2170"/>
      <c r="O2170" s="4">
        <v>3172.2</v>
      </c>
      <c r="P2170">
        <v>247</v>
      </c>
      <c r="Q2170" s="4">
        <v>783533.4</v>
      </c>
      <c r="R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 s="3">
        <v>42562</v>
      </c>
      <c r="AC2170" t="s">
        <v>53</v>
      </c>
      <c r="AD2170" t="s">
        <v>53</v>
      </c>
      <c r="AK2170">
        <v>0</v>
      </c>
      <c r="AU2170" s="3">
        <v>42401</v>
      </c>
      <c r="AV2170" s="3">
        <v>42401</v>
      </c>
      <c r="AW2170" t="s">
        <v>54</v>
      </c>
      <c r="AX2170" t="str">
        <f t="shared" si="281"/>
        <v>FOR</v>
      </c>
      <c r="AY2170" t="s">
        <v>55</v>
      </c>
    </row>
    <row r="2171" spans="1:51" hidden="1">
      <c r="A2171">
        <v>102698</v>
      </c>
      <c r="B2171" t="s">
        <v>318</v>
      </c>
      <c r="C2171" t="str">
        <f t="shared" si="282"/>
        <v>01409770631</v>
      </c>
      <c r="D2171" t="str">
        <f t="shared" si="282"/>
        <v>01409770631</v>
      </c>
      <c r="E2171" t="s">
        <v>52</v>
      </c>
      <c r="F2171">
        <v>2015</v>
      </c>
      <c r="G2171" t="str">
        <f>"              900426"</f>
        <v xml:space="preserve">              900426</v>
      </c>
      <c r="H2171" s="3">
        <v>42063</v>
      </c>
      <c r="I2171" s="3">
        <v>42094</v>
      </c>
      <c r="J2171" s="3">
        <v>42094</v>
      </c>
      <c r="K2171" s="3">
        <v>42154</v>
      </c>
      <c r="L2171"/>
      <c r="N2171"/>
      <c r="O2171" s="4">
        <v>4272</v>
      </c>
      <c r="P2171">
        <v>247</v>
      </c>
      <c r="Q2171" s="4">
        <v>1055184</v>
      </c>
      <c r="R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 s="3">
        <v>42562</v>
      </c>
      <c r="AC2171" t="s">
        <v>53</v>
      </c>
      <c r="AD2171" t="s">
        <v>53</v>
      </c>
      <c r="AK2171">
        <v>0</v>
      </c>
      <c r="AU2171" s="3">
        <v>42401</v>
      </c>
      <c r="AV2171" s="3">
        <v>42401</v>
      </c>
      <c r="AW2171" t="s">
        <v>54</v>
      </c>
      <c r="AX2171" t="str">
        <f t="shared" si="281"/>
        <v>FOR</v>
      </c>
      <c r="AY2171" t="s">
        <v>55</v>
      </c>
    </row>
    <row r="2172" spans="1:51" hidden="1">
      <c r="A2172">
        <v>102698</v>
      </c>
      <c r="B2172" t="s">
        <v>318</v>
      </c>
      <c r="C2172" t="str">
        <f t="shared" si="282"/>
        <v>01409770631</v>
      </c>
      <c r="D2172" t="str">
        <f t="shared" si="282"/>
        <v>01409770631</v>
      </c>
      <c r="E2172" t="s">
        <v>52</v>
      </c>
      <c r="F2172">
        <v>2015</v>
      </c>
      <c r="G2172" t="str">
        <f>"              900507"</f>
        <v xml:space="preserve">              900507</v>
      </c>
      <c r="H2172" s="3">
        <v>42079</v>
      </c>
      <c r="I2172" s="3">
        <v>42117</v>
      </c>
      <c r="J2172" s="3">
        <v>42117</v>
      </c>
      <c r="K2172" s="3">
        <v>42177</v>
      </c>
      <c r="L2172"/>
      <c r="N2172"/>
      <c r="O2172">
        <v>168</v>
      </c>
      <c r="P2172">
        <v>224</v>
      </c>
      <c r="Q2172" s="4">
        <v>37632</v>
      </c>
      <c r="R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 s="3">
        <v>42562</v>
      </c>
      <c r="AC2172" t="s">
        <v>53</v>
      </c>
      <c r="AD2172" t="s">
        <v>53</v>
      </c>
      <c r="AK2172">
        <v>0</v>
      </c>
      <c r="AU2172" s="3">
        <v>42401</v>
      </c>
      <c r="AV2172" s="3">
        <v>42401</v>
      </c>
      <c r="AW2172" t="s">
        <v>54</v>
      </c>
      <c r="AX2172" t="str">
        <f t="shared" si="281"/>
        <v>FOR</v>
      </c>
      <c r="AY2172" t="s">
        <v>55</v>
      </c>
    </row>
    <row r="2173" spans="1:51" hidden="1">
      <c r="A2173">
        <v>102698</v>
      </c>
      <c r="B2173" t="s">
        <v>318</v>
      </c>
      <c r="C2173" t="str">
        <f t="shared" si="282"/>
        <v>01409770631</v>
      </c>
      <c r="D2173" t="str">
        <f t="shared" si="282"/>
        <v>01409770631</v>
      </c>
      <c r="E2173" t="s">
        <v>52</v>
      </c>
      <c r="F2173">
        <v>2015</v>
      </c>
      <c r="G2173" t="str">
        <f>"              900508"</f>
        <v xml:space="preserve">              900508</v>
      </c>
      <c r="H2173" s="3">
        <v>42079</v>
      </c>
      <c r="I2173" s="3">
        <v>42117</v>
      </c>
      <c r="J2173" s="3">
        <v>42117</v>
      </c>
      <c r="K2173" s="3">
        <v>42177</v>
      </c>
      <c r="L2173"/>
      <c r="N2173"/>
      <c r="O2173" s="4">
        <v>3882.27</v>
      </c>
      <c r="P2173">
        <v>224</v>
      </c>
      <c r="Q2173" s="4">
        <v>869628.48</v>
      </c>
      <c r="R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 s="3">
        <v>42562</v>
      </c>
      <c r="AC2173" t="s">
        <v>53</v>
      </c>
      <c r="AD2173" t="s">
        <v>53</v>
      </c>
      <c r="AK2173">
        <v>0</v>
      </c>
      <c r="AU2173" s="3">
        <v>42401</v>
      </c>
      <c r="AV2173" s="3">
        <v>42401</v>
      </c>
      <c r="AW2173" t="s">
        <v>54</v>
      </c>
      <c r="AX2173" t="str">
        <f t="shared" si="281"/>
        <v>FOR</v>
      </c>
      <c r="AY2173" t="s">
        <v>55</v>
      </c>
    </row>
    <row r="2174" spans="1:51" hidden="1">
      <c r="A2174">
        <v>102698</v>
      </c>
      <c r="B2174" t="s">
        <v>318</v>
      </c>
      <c r="C2174" t="str">
        <f t="shared" si="282"/>
        <v>01409770631</v>
      </c>
      <c r="D2174" t="str">
        <f t="shared" si="282"/>
        <v>01409770631</v>
      </c>
      <c r="E2174" t="s">
        <v>52</v>
      </c>
      <c r="F2174">
        <v>2015</v>
      </c>
      <c r="G2174" t="str">
        <f>"              900509"</f>
        <v xml:space="preserve">              900509</v>
      </c>
      <c r="H2174" s="3">
        <v>42079</v>
      </c>
      <c r="I2174" s="3">
        <v>42117</v>
      </c>
      <c r="J2174" s="3">
        <v>42117</v>
      </c>
      <c r="K2174" s="3">
        <v>42177</v>
      </c>
      <c r="L2174"/>
      <c r="N2174"/>
      <c r="O2174" s="4">
        <v>2456.13</v>
      </c>
      <c r="P2174">
        <v>224</v>
      </c>
      <c r="Q2174" s="4">
        <v>550173.12</v>
      </c>
      <c r="R2174">
        <v>0</v>
      </c>
      <c r="V2174">
        <v>0</v>
      </c>
      <c r="W2174">
        <v>0</v>
      </c>
      <c r="X2174">
        <v>0</v>
      </c>
      <c r="Y2174">
        <v>0</v>
      </c>
      <c r="Z2174">
        <v>0</v>
      </c>
      <c r="AA2174">
        <v>0</v>
      </c>
      <c r="AB2174" s="3">
        <v>42562</v>
      </c>
      <c r="AC2174" t="s">
        <v>53</v>
      </c>
      <c r="AD2174" t="s">
        <v>53</v>
      </c>
      <c r="AK2174">
        <v>0</v>
      </c>
      <c r="AU2174" s="3">
        <v>42401</v>
      </c>
      <c r="AV2174" s="3">
        <v>42401</v>
      </c>
      <c r="AW2174" t="s">
        <v>54</v>
      </c>
      <c r="AX2174" t="str">
        <f t="shared" si="281"/>
        <v>FOR</v>
      </c>
      <c r="AY2174" t="s">
        <v>55</v>
      </c>
    </row>
    <row r="2175" spans="1:51" hidden="1">
      <c r="A2175">
        <v>102698</v>
      </c>
      <c r="B2175" t="s">
        <v>318</v>
      </c>
      <c r="C2175" t="str">
        <f t="shared" si="282"/>
        <v>01409770631</v>
      </c>
      <c r="D2175" t="str">
        <f t="shared" si="282"/>
        <v>01409770631</v>
      </c>
      <c r="E2175" t="s">
        <v>52</v>
      </c>
      <c r="F2175">
        <v>2015</v>
      </c>
      <c r="G2175" t="str">
        <f>"              900626"</f>
        <v xml:space="preserve">              900626</v>
      </c>
      <c r="H2175" s="3">
        <v>42093</v>
      </c>
      <c r="I2175" s="3">
        <v>42117</v>
      </c>
      <c r="J2175" s="3">
        <v>42117</v>
      </c>
      <c r="K2175" s="3">
        <v>42177</v>
      </c>
      <c r="L2175"/>
      <c r="N2175"/>
      <c r="O2175" s="4">
        <v>5287</v>
      </c>
      <c r="P2175">
        <v>224</v>
      </c>
      <c r="Q2175" s="4">
        <v>1184288</v>
      </c>
      <c r="R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 s="3">
        <v>42562</v>
      </c>
      <c r="AC2175" t="s">
        <v>53</v>
      </c>
      <c r="AD2175" t="s">
        <v>53</v>
      </c>
      <c r="AK2175">
        <v>0</v>
      </c>
      <c r="AU2175" s="3">
        <v>42401</v>
      </c>
      <c r="AV2175" s="3">
        <v>42401</v>
      </c>
      <c r="AW2175" t="s">
        <v>54</v>
      </c>
      <c r="AX2175" t="str">
        <f t="shared" si="281"/>
        <v>FOR</v>
      </c>
      <c r="AY2175" t="s">
        <v>55</v>
      </c>
    </row>
    <row r="2176" spans="1:51" hidden="1">
      <c r="A2176">
        <v>102698</v>
      </c>
      <c r="B2176" t="s">
        <v>318</v>
      </c>
      <c r="C2176" t="str">
        <f t="shared" si="282"/>
        <v>01409770631</v>
      </c>
      <c r="D2176" t="str">
        <f t="shared" si="282"/>
        <v>01409770631</v>
      </c>
      <c r="E2176" t="s">
        <v>52</v>
      </c>
      <c r="F2176">
        <v>2015</v>
      </c>
      <c r="G2176" t="str">
        <f>"              900627"</f>
        <v xml:space="preserve">              900627</v>
      </c>
      <c r="H2176" s="3">
        <v>42093</v>
      </c>
      <c r="I2176" s="3">
        <v>42117</v>
      </c>
      <c r="J2176" s="3">
        <v>42117</v>
      </c>
      <c r="K2176" s="3">
        <v>42177</v>
      </c>
      <c r="L2176"/>
      <c r="N2176"/>
      <c r="O2176">
        <v>583.6</v>
      </c>
      <c r="P2176">
        <v>224</v>
      </c>
      <c r="Q2176" s="4">
        <v>130726.39999999999</v>
      </c>
      <c r="R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 s="3">
        <v>42562</v>
      </c>
      <c r="AC2176" t="s">
        <v>53</v>
      </c>
      <c r="AD2176" t="s">
        <v>53</v>
      </c>
      <c r="AK2176">
        <v>0</v>
      </c>
      <c r="AU2176" s="3">
        <v>42401</v>
      </c>
      <c r="AV2176" s="3">
        <v>42401</v>
      </c>
      <c r="AW2176" t="s">
        <v>54</v>
      </c>
      <c r="AX2176" t="str">
        <f t="shared" si="281"/>
        <v>FOR</v>
      </c>
      <c r="AY2176" t="s">
        <v>55</v>
      </c>
    </row>
    <row r="2177" spans="1:51" hidden="1">
      <c r="A2177">
        <v>102698</v>
      </c>
      <c r="B2177" t="s">
        <v>318</v>
      </c>
      <c r="C2177" t="str">
        <f t="shared" si="282"/>
        <v>01409770631</v>
      </c>
      <c r="D2177" t="str">
        <f t="shared" si="282"/>
        <v>01409770631</v>
      </c>
      <c r="E2177" t="s">
        <v>52</v>
      </c>
      <c r="F2177">
        <v>2015</v>
      </c>
      <c r="G2177" t="str">
        <f>"              900628"</f>
        <v xml:space="preserve">              900628</v>
      </c>
      <c r="H2177" s="3">
        <v>42093</v>
      </c>
      <c r="I2177" s="3">
        <v>42117</v>
      </c>
      <c r="J2177" s="3">
        <v>42117</v>
      </c>
      <c r="K2177" s="3">
        <v>42177</v>
      </c>
      <c r="L2177"/>
      <c r="N2177"/>
      <c r="O2177">
        <v>389.2</v>
      </c>
      <c r="P2177">
        <v>224</v>
      </c>
      <c r="Q2177" s="4">
        <v>87180.800000000003</v>
      </c>
      <c r="R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 s="3">
        <v>42562</v>
      </c>
      <c r="AC2177" t="s">
        <v>53</v>
      </c>
      <c r="AD2177" t="s">
        <v>53</v>
      </c>
      <c r="AK2177">
        <v>0</v>
      </c>
      <c r="AU2177" s="3">
        <v>42401</v>
      </c>
      <c r="AV2177" s="3">
        <v>42401</v>
      </c>
      <c r="AW2177" t="s">
        <v>54</v>
      </c>
      <c r="AX2177" t="str">
        <f t="shared" si="281"/>
        <v>FOR</v>
      </c>
      <c r="AY2177" t="s">
        <v>55</v>
      </c>
    </row>
    <row r="2178" spans="1:51" hidden="1">
      <c r="A2178">
        <v>102698</v>
      </c>
      <c r="B2178" t="s">
        <v>318</v>
      </c>
      <c r="C2178" t="str">
        <f t="shared" si="282"/>
        <v>01409770631</v>
      </c>
      <c r="D2178" t="str">
        <f t="shared" si="282"/>
        <v>01409770631</v>
      </c>
      <c r="E2178" t="s">
        <v>52</v>
      </c>
      <c r="F2178">
        <v>2015</v>
      </c>
      <c r="G2178" t="str">
        <f>"              900629"</f>
        <v xml:space="preserve">              900629</v>
      </c>
      <c r="H2178" s="3">
        <v>42093</v>
      </c>
      <c r="I2178" s="3">
        <v>42117</v>
      </c>
      <c r="J2178" s="3">
        <v>42117</v>
      </c>
      <c r="K2178" s="3">
        <v>42177</v>
      </c>
      <c r="L2178"/>
      <c r="N2178"/>
      <c r="O2178">
        <v>125.1</v>
      </c>
      <c r="P2178">
        <v>224</v>
      </c>
      <c r="Q2178" s="4">
        <v>28022.400000000001</v>
      </c>
      <c r="R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 s="3">
        <v>42562</v>
      </c>
      <c r="AC2178" t="s">
        <v>53</v>
      </c>
      <c r="AD2178" t="s">
        <v>53</v>
      </c>
      <c r="AK2178">
        <v>0</v>
      </c>
      <c r="AU2178" s="3">
        <v>42401</v>
      </c>
      <c r="AV2178" s="3">
        <v>42401</v>
      </c>
      <c r="AW2178" t="s">
        <v>54</v>
      </c>
      <c r="AX2178" t="str">
        <f t="shared" si="281"/>
        <v>FOR</v>
      </c>
      <c r="AY2178" t="s">
        <v>55</v>
      </c>
    </row>
    <row r="2179" spans="1:51" hidden="1">
      <c r="A2179">
        <v>102698</v>
      </c>
      <c r="B2179" t="s">
        <v>318</v>
      </c>
      <c r="C2179" t="str">
        <f t="shared" si="282"/>
        <v>01409770631</v>
      </c>
      <c r="D2179" t="str">
        <f t="shared" si="282"/>
        <v>01409770631</v>
      </c>
      <c r="E2179" t="s">
        <v>52</v>
      </c>
      <c r="F2179">
        <v>2015</v>
      </c>
      <c r="G2179" t="str">
        <f>"              900630"</f>
        <v xml:space="preserve">              900630</v>
      </c>
      <c r="H2179" s="3">
        <v>42093</v>
      </c>
      <c r="I2179" s="3">
        <v>42118</v>
      </c>
      <c r="J2179" s="3">
        <v>42118</v>
      </c>
      <c r="K2179" s="3">
        <v>42178</v>
      </c>
      <c r="L2179"/>
      <c r="N2179"/>
      <c r="O2179" s="4">
        <v>2275.65</v>
      </c>
      <c r="P2179">
        <v>223</v>
      </c>
      <c r="Q2179" s="4">
        <v>507469.95</v>
      </c>
      <c r="R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 s="3">
        <v>42562</v>
      </c>
      <c r="AC2179" t="s">
        <v>53</v>
      </c>
      <c r="AD2179" t="s">
        <v>53</v>
      </c>
      <c r="AK2179">
        <v>0</v>
      </c>
      <c r="AU2179" s="3">
        <v>42401</v>
      </c>
      <c r="AV2179" s="3">
        <v>42401</v>
      </c>
      <c r="AW2179" t="s">
        <v>54</v>
      </c>
      <c r="AX2179" t="str">
        <f t="shared" ref="AX2179:AX2210" si="283">"FOR"</f>
        <v>FOR</v>
      </c>
      <c r="AY2179" t="s">
        <v>55</v>
      </c>
    </row>
    <row r="2180" spans="1:51">
      <c r="A2180">
        <v>102710</v>
      </c>
      <c r="B2180" t="s">
        <v>319</v>
      </c>
      <c r="C2180" t="str">
        <f>"00931170195"</f>
        <v>00931170195</v>
      </c>
      <c r="D2180" t="str">
        <f>"09291850155"</f>
        <v>09291850155</v>
      </c>
      <c r="E2180" t="s">
        <v>52</v>
      </c>
      <c r="F2180">
        <v>2015</v>
      </c>
      <c r="G2180" t="str">
        <f>"          2110323065"</f>
        <v xml:space="preserve">          2110323065</v>
      </c>
      <c r="H2180" s="3">
        <v>42174</v>
      </c>
      <c r="I2180" s="3">
        <v>42191</v>
      </c>
      <c r="J2180" s="3">
        <v>42186</v>
      </c>
      <c r="K2180" s="3">
        <v>42246</v>
      </c>
      <c r="L2180" s="5">
        <v>1419.3</v>
      </c>
      <c r="M2180">
        <v>281</v>
      </c>
      <c r="N2180" s="5">
        <v>398823.3</v>
      </c>
      <c r="O2180" s="4">
        <v>1419.3</v>
      </c>
      <c r="P2180">
        <v>281</v>
      </c>
      <c r="Q2180" s="4">
        <v>398823.3</v>
      </c>
      <c r="R2180">
        <v>56.77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 s="3">
        <v>42562</v>
      </c>
      <c r="AC2180" t="s">
        <v>53</v>
      </c>
      <c r="AD2180" t="s">
        <v>53</v>
      </c>
      <c r="AK2180">
        <v>56.77</v>
      </c>
      <c r="AU2180" s="3">
        <v>42527</v>
      </c>
      <c r="AV2180" s="3">
        <v>42527</v>
      </c>
      <c r="AW2180" t="s">
        <v>54</v>
      </c>
      <c r="AX2180" t="str">
        <f t="shared" si="283"/>
        <v>FOR</v>
      </c>
      <c r="AY2180" t="s">
        <v>55</v>
      </c>
    </row>
    <row r="2181" spans="1:51">
      <c r="A2181">
        <v>102801</v>
      </c>
      <c r="B2181" t="s">
        <v>320</v>
      </c>
      <c r="C2181" t="str">
        <f t="shared" ref="C2181:C2193" si="284">"01282360682"</f>
        <v>01282360682</v>
      </c>
      <c r="D2181" t="str">
        <f t="shared" ref="D2181:D2193" si="285">"01323030690"</f>
        <v>01323030690</v>
      </c>
      <c r="E2181" t="s">
        <v>52</v>
      </c>
      <c r="F2181">
        <v>2015</v>
      </c>
      <c r="G2181" t="str">
        <f>"          2050919520"</f>
        <v xml:space="preserve">          2050919520</v>
      </c>
      <c r="H2181" s="3">
        <v>42206</v>
      </c>
      <c r="I2181" s="3">
        <v>42209</v>
      </c>
      <c r="J2181" s="3">
        <v>42207</v>
      </c>
      <c r="K2181" s="3">
        <v>42267</v>
      </c>
      <c r="L2181" s="5">
        <v>4428</v>
      </c>
      <c r="M2181">
        <v>253</v>
      </c>
      <c r="N2181" s="5">
        <v>1120284</v>
      </c>
      <c r="O2181" s="4">
        <v>4428</v>
      </c>
      <c r="P2181">
        <v>253</v>
      </c>
      <c r="Q2181" s="4">
        <v>1120284</v>
      </c>
      <c r="R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 s="3">
        <v>42562</v>
      </c>
      <c r="AC2181" t="s">
        <v>53</v>
      </c>
      <c r="AD2181" t="s">
        <v>53</v>
      </c>
      <c r="AK2181">
        <v>0</v>
      </c>
      <c r="AU2181" s="3">
        <v>42520</v>
      </c>
      <c r="AV2181" s="3">
        <v>42520</v>
      </c>
      <c r="AW2181" t="s">
        <v>54</v>
      </c>
      <c r="AX2181" t="str">
        <f t="shared" si="283"/>
        <v>FOR</v>
      </c>
      <c r="AY2181" t="s">
        <v>55</v>
      </c>
    </row>
    <row r="2182" spans="1:51">
      <c r="A2182">
        <v>102801</v>
      </c>
      <c r="B2182" t="s">
        <v>320</v>
      </c>
      <c r="C2182" t="str">
        <f t="shared" si="284"/>
        <v>01282360682</v>
      </c>
      <c r="D2182" t="str">
        <f t="shared" si="285"/>
        <v>01323030690</v>
      </c>
      <c r="E2182" t="s">
        <v>52</v>
      </c>
      <c r="F2182">
        <v>2015</v>
      </c>
      <c r="G2182" t="str">
        <f>"          2050919521"</f>
        <v xml:space="preserve">          2050919521</v>
      </c>
      <c r="H2182" s="3">
        <v>42206</v>
      </c>
      <c r="I2182" s="3">
        <v>42209</v>
      </c>
      <c r="J2182" s="3">
        <v>42207</v>
      </c>
      <c r="K2182" s="3">
        <v>42267</v>
      </c>
      <c r="L2182" s="5">
        <v>1394.2</v>
      </c>
      <c r="M2182">
        <v>253</v>
      </c>
      <c r="N2182" s="5">
        <v>352732.6</v>
      </c>
      <c r="O2182" s="4">
        <v>1394.2</v>
      </c>
      <c r="P2182">
        <v>253</v>
      </c>
      <c r="Q2182" s="4">
        <v>352732.6</v>
      </c>
      <c r="R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 s="3">
        <v>42562</v>
      </c>
      <c r="AC2182" t="s">
        <v>53</v>
      </c>
      <c r="AD2182" t="s">
        <v>53</v>
      </c>
      <c r="AK2182">
        <v>0</v>
      </c>
      <c r="AU2182" s="3">
        <v>42520</v>
      </c>
      <c r="AV2182" s="3">
        <v>42520</v>
      </c>
      <c r="AW2182" t="s">
        <v>54</v>
      </c>
      <c r="AX2182" t="str">
        <f t="shared" si="283"/>
        <v>FOR</v>
      </c>
      <c r="AY2182" t="s">
        <v>55</v>
      </c>
    </row>
    <row r="2183" spans="1:51">
      <c r="A2183">
        <v>102801</v>
      </c>
      <c r="B2183" t="s">
        <v>320</v>
      </c>
      <c r="C2183" t="str">
        <f t="shared" si="284"/>
        <v>01282360682</v>
      </c>
      <c r="D2183" t="str">
        <f t="shared" si="285"/>
        <v>01323030690</v>
      </c>
      <c r="E2183" t="s">
        <v>52</v>
      </c>
      <c r="F2183">
        <v>2015</v>
      </c>
      <c r="G2183" t="str">
        <f>"          2050920330"</f>
        <v xml:space="preserve">          2050920330</v>
      </c>
      <c r="H2183" s="3">
        <v>42241</v>
      </c>
      <c r="I2183" s="3">
        <v>42242</v>
      </c>
      <c r="J2183" s="3">
        <v>42242</v>
      </c>
      <c r="K2183" s="3">
        <v>42302</v>
      </c>
      <c r="L2183" s="5">
        <v>4401.6000000000004</v>
      </c>
      <c r="M2183">
        <v>218</v>
      </c>
      <c r="N2183" s="5">
        <v>959548.8</v>
      </c>
      <c r="O2183" s="4">
        <v>4401.6000000000004</v>
      </c>
      <c r="P2183">
        <v>218</v>
      </c>
      <c r="Q2183" s="4">
        <v>959548.8</v>
      </c>
      <c r="R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 s="3">
        <v>42562</v>
      </c>
      <c r="AC2183" t="s">
        <v>53</v>
      </c>
      <c r="AD2183" t="s">
        <v>53</v>
      </c>
      <c r="AK2183">
        <v>0</v>
      </c>
      <c r="AU2183" s="3">
        <v>42520</v>
      </c>
      <c r="AV2183" s="3">
        <v>42520</v>
      </c>
      <c r="AW2183" t="s">
        <v>54</v>
      </c>
      <c r="AX2183" t="str">
        <f t="shared" si="283"/>
        <v>FOR</v>
      </c>
      <c r="AY2183" t="s">
        <v>55</v>
      </c>
    </row>
    <row r="2184" spans="1:51">
      <c r="A2184">
        <v>102801</v>
      </c>
      <c r="B2184" t="s">
        <v>320</v>
      </c>
      <c r="C2184" t="str">
        <f t="shared" si="284"/>
        <v>01282360682</v>
      </c>
      <c r="D2184" t="str">
        <f t="shared" si="285"/>
        <v>01323030690</v>
      </c>
      <c r="E2184" t="s">
        <v>52</v>
      </c>
      <c r="F2184">
        <v>2015</v>
      </c>
      <c r="G2184" t="str">
        <f>"          2050921210"</f>
        <v xml:space="preserve">          2050921210</v>
      </c>
      <c r="H2184" s="3">
        <v>42271</v>
      </c>
      <c r="I2184" s="3">
        <v>42272</v>
      </c>
      <c r="J2184" s="3">
        <v>42272</v>
      </c>
      <c r="K2184" s="3">
        <v>42332</v>
      </c>
      <c r="L2184" s="1">
        <v>979.2</v>
      </c>
      <c r="M2184">
        <v>188</v>
      </c>
      <c r="N2184" s="5">
        <v>184089.60000000001</v>
      </c>
      <c r="O2184">
        <v>979.2</v>
      </c>
      <c r="P2184">
        <v>188</v>
      </c>
      <c r="Q2184" s="4">
        <v>184089.60000000001</v>
      </c>
      <c r="R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 s="3">
        <v>42562</v>
      </c>
      <c r="AC2184" t="s">
        <v>53</v>
      </c>
      <c r="AD2184" t="s">
        <v>53</v>
      </c>
      <c r="AK2184">
        <v>0</v>
      </c>
      <c r="AU2184" s="3">
        <v>42520</v>
      </c>
      <c r="AV2184" s="3">
        <v>42520</v>
      </c>
      <c r="AW2184" t="s">
        <v>54</v>
      </c>
      <c r="AX2184" t="str">
        <f t="shared" si="283"/>
        <v>FOR</v>
      </c>
      <c r="AY2184" t="s">
        <v>55</v>
      </c>
    </row>
    <row r="2185" spans="1:51">
      <c r="A2185">
        <v>102801</v>
      </c>
      <c r="B2185" t="s">
        <v>320</v>
      </c>
      <c r="C2185" t="str">
        <f t="shared" si="284"/>
        <v>01282360682</v>
      </c>
      <c r="D2185" t="str">
        <f t="shared" si="285"/>
        <v>01323030690</v>
      </c>
      <c r="E2185" t="s">
        <v>52</v>
      </c>
      <c r="F2185">
        <v>2015</v>
      </c>
      <c r="G2185" t="str">
        <f>"          2050921341"</f>
        <v xml:space="preserve">          2050921341</v>
      </c>
      <c r="H2185" s="3">
        <v>42277</v>
      </c>
      <c r="I2185" s="3">
        <v>42282</v>
      </c>
      <c r="J2185" s="3">
        <v>42278</v>
      </c>
      <c r="K2185" s="3">
        <v>42338</v>
      </c>
      <c r="L2185" s="5">
        <v>3912</v>
      </c>
      <c r="M2185">
        <v>182</v>
      </c>
      <c r="N2185" s="5">
        <v>711984</v>
      </c>
      <c r="O2185" s="4">
        <v>3912</v>
      </c>
      <c r="P2185">
        <v>182</v>
      </c>
      <c r="Q2185" s="4">
        <v>711984</v>
      </c>
      <c r="R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 s="3">
        <v>42562</v>
      </c>
      <c r="AC2185" t="s">
        <v>53</v>
      </c>
      <c r="AD2185" t="s">
        <v>53</v>
      </c>
      <c r="AK2185">
        <v>0</v>
      </c>
      <c r="AU2185" s="3">
        <v>42520</v>
      </c>
      <c r="AV2185" s="3">
        <v>42520</v>
      </c>
      <c r="AW2185" t="s">
        <v>54</v>
      </c>
      <c r="AX2185" t="str">
        <f t="shared" si="283"/>
        <v>FOR</v>
      </c>
      <c r="AY2185" t="s">
        <v>55</v>
      </c>
    </row>
    <row r="2186" spans="1:51">
      <c r="A2186">
        <v>102801</v>
      </c>
      <c r="B2186" t="s">
        <v>320</v>
      </c>
      <c r="C2186" t="str">
        <f t="shared" si="284"/>
        <v>01282360682</v>
      </c>
      <c r="D2186" t="str">
        <f t="shared" si="285"/>
        <v>01323030690</v>
      </c>
      <c r="E2186" t="s">
        <v>52</v>
      </c>
      <c r="F2186">
        <v>2015</v>
      </c>
      <c r="G2186" t="str">
        <f>"          2050922901"</f>
        <v xml:space="preserve">          2050922901</v>
      </c>
      <c r="H2186" s="3">
        <v>42318</v>
      </c>
      <c r="I2186" s="3">
        <v>42320</v>
      </c>
      <c r="J2186" s="3">
        <v>42319</v>
      </c>
      <c r="K2186" s="3">
        <v>42379</v>
      </c>
      <c r="L2186" s="5">
        <v>3423.6</v>
      </c>
      <c r="M2186">
        <v>150</v>
      </c>
      <c r="N2186" s="5">
        <v>513540</v>
      </c>
      <c r="O2186" s="4">
        <v>3423.6</v>
      </c>
      <c r="P2186">
        <v>150</v>
      </c>
      <c r="Q2186" s="4">
        <v>513540</v>
      </c>
      <c r="R2186">
        <v>753.19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 s="3">
        <v>42562</v>
      </c>
      <c r="AC2186" t="s">
        <v>53</v>
      </c>
      <c r="AD2186" t="s">
        <v>53</v>
      </c>
      <c r="AJ2186">
        <v>753.19</v>
      </c>
      <c r="AK2186">
        <v>0</v>
      </c>
      <c r="AU2186" s="3">
        <v>42529</v>
      </c>
      <c r="AV2186" s="3">
        <v>42529</v>
      </c>
      <c r="AW2186" t="s">
        <v>54</v>
      </c>
      <c r="AX2186" t="str">
        <f t="shared" si="283"/>
        <v>FOR</v>
      </c>
      <c r="AY2186" t="s">
        <v>55</v>
      </c>
    </row>
    <row r="2187" spans="1:51">
      <c r="A2187">
        <v>102801</v>
      </c>
      <c r="B2187" t="s">
        <v>320</v>
      </c>
      <c r="C2187" t="str">
        <f t="shared" si="284"/>
        <v>01282360682</v>
      </c>
      <c r="D2187" t="str">
        <f t="shared" si="285"/>
        <v>01323030690</v>
      </c>
      <c r="E2187" t="s">
        <v>52</v>
      </c>
      <c r="F2187">
        <v>2015</v>
      </c>
      <c r="G2187" t="str">
        <f>"          2050923202"</f>
        <v xml:space="preserve">          2050923202</v>
      </c>
      <c r="H2187" s="3">
        <v>42332</v>
      </c>
      <c r="I2187" s="3">
        <v>42333</v>
      </c>
      <c r="J2187" s="3">
        <v>42333</v>
      </c>
      <c r="K2187" s="3">
        <v>42393</v>
      </c>
      <c r="L2187" s="5">
        <v>1087.2</v>
      </c>
      <c r="M2187">
        <v>136</v>
      </c>
      <c r="N2187" s="5">
        <v>147859.20000000001</v>
      </c>
      <c r="O2187" s="4">
        <v>1087.2</v>
      </c>
      <c r="P2187">
        <v>136</v>
      </c>
      <c r="Q2187" s="4">
        <v>147859.20000000001</v>
      </c>
      <c r="R2187">
        <v>239.18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 s="3">
        <v>42562</v>
      </c>
      <c r="AC2187" t="s">
        <v>53</v>
      </c>
      <c r="AD2187" t="s">
        <v>53</v>
      </c>
      <c r="AJ2187">
        <v>239.18</v>
      </c>
      <c r="AK2187">
        <v>0</v>
      </c>
      <c r="AU2187" s="3">
        <v>42529</v>
      </c>
      <c r="AV2187" s="3">
        <v>42529</v>
      </c>
      <c r="AW2187" t="s">
        <v>54</v>
      </c>
      <c r="AX2187" t="str">
        <f t="shared" si="283"/>
        <v>FOR</v>
      </c>
      <c r="AY2187" t="s">
        <v>55</v>
      </c>
    </row>
    <row r="2188" spans="1:51">
      <c r="A2188">
        <v>102801</v>
      </c>
      <c r="B2188" t="s">
        <v>320</v>
      </c>
      <c r="C2188" t="str">
        <f t="shared" si="284"/>
        <v>01282360682</v>
      </c>
      <c r="D2188" t="str">
        <f t="shared" si="285"/>
        <v>01323030690</v>
      </c>
      <c r="E2188" t="s">
        <v>52</v>
      </c>
      <c r="F2188">
        <v>2015</v>
      </c>
      <c r="G2188" t="str">
        <f>"          2050923896"</f>
        <v xml:space="preserve">          2050923896</v>
      </c>
      <c r="H2188" s="3">
        <v>42348</v>
      </c>
      <c r="I2188" s="3">
        <v>42353</v>
      </c>
      <c r="J2188" s="3">
        <v>42349</v>
      </c>
      <c r="K2188" s="3">
        <v>42409</v>
      </c>
      <c r="L2188" s="5">
        <v>4143.6000000000004</v>
      </c>
      <c r="M2188">
        <v>120</v>
      </c>
      <c r="N2188" s="5">
        <v>497232</v>
      </c>
      <c r="O2188" s="4">
        <v>4143.6000000000004</v>
      </c>
      <c r="P2188">
        <v>120</v>
      </c>
      <c r="Q2188" s="4">
        <v>497232</v>
      </c>
      <c r="R2188">
        <v>911.59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 s="3">
        <v>42562</v>
      </c>
      <c r="AC2188" t="s">
        <v>53</v>
      </c>
      <c r="AD2188" t="s">
        <v>53</v>
      </c>
      <c r="AI2188">
        <v>911.59</v>
      </c>
      <c r="AK2188">
        <v>0</v>
      </c>
      <c r="AU2188" s="3">
        <v>42529</v>
      </c>
      <c r="AV2188" s="3">
        <v>42529</v>
      </c>
      <c r="AW2188" t="s">
        <v>54</v>
      </c>
      <c r="AX2188" t="str">
        <f t="shared" si="283"/>
        <v>FOR</v>
      </c>
      <c r="AY2188" t="s">
        <v>55</v>
      </c>
    </row>
    <row r="2189" spans="1:51">
      <c r="A2189">
        <v>102801</v>
      </c>
      <c r="B2189" t="s">
        <v>320</v>
      </c>
      <c r="C2189" t="str">
        <f t="shared" si="284"/>
        <v>01282360682</v>
      </c>
      <c r="D2189" t="str">
        <f t="shared" si="285"/>
        <v>01323030690</v>
      </c>
      <c r="E2189" t="s">
        <v>52</v>
      </c>
      <c r="F2189">
        <v>2016</v>
      </c>
      <c r="G2189" t="str">
        <f>"          2050925147"</f>
        <v xml:space="preserve">          2050925147</v>
      </c>
      <c r="H2189" s="3">
        <v>42390</v>
      </c>
      <c r="I2189" s="3">
        <v>42395</v>
      </c>
      <c r="J2189" s="3">
        <v>42391</v>
      </c>
      <c r="K2189" s="3">
        <v>42451</v>
      </c>
      <c r="L2189" s="5">
        <v>3423.6</v>
      </c>
      <c r="M2189">
        <v>78</v>
      </c>
      <c r="N2189" s="5">
        <v>267040.8</v>
      </c>
      <c r="O2189" s="4">
        <v>3423.6</v>
      </c>
      <c r="P2189">
        <v>78</v>
      </c>
      <c r="Q2189" s="4">
        <v>267040.8</v>
      </c>
      <c r="R2189">
        <v>753.19</v>
      </c>
      <c r="V2189">
        <v>0</v>
      </c>
      <c r="W2189">
        <v>0</v>
      </c>
      <c r="X2189">
        <v>0</v>
      </c>
      <c r="Y2189" s="4">
        <v>4176.79</v>
      </c>
      <c r="Z2189" s="4">
        <v>4176.79</v>
      </c>
      <c r="AA2189" s="4">
        <v>4176.79</v>
      </c>
      <c r="AB2189" s="3">
        <v>42562</v>
      </c>
      <c r="AC2189" t="s">
        <v>53</v>
      </c>
      <c r="AD2189" t="s">
        <v>53</v>
      </c>
      <c r="AH2189">
        <v>753.19</v>
      </c>
      <c r="AK2189">
        <v>0</v>
      </c>
      <c r="AU2189" s="3">
        <v>42529</v>
      </c>
      <c r="AV2189" s="3">
        <v>42529</v>
      </c>
      <c r="AW2189" t="s">
        <v>54</v>
      </c>
      <c r="AX2189" t="str">
        <f t="shared" si="283"/>
        <v>FOR</v>
      </c>
      <c r="AY2189" t="s">
        <v>55</v>
      </c>
    </row>
    <row r="2190" spans="1:51">
      <c r="A2190">
        <v>102801</v>
      </c>
      <c r="B2190" t="s">
        <v>320</v>
      </c>
      <c r="C2190" t="str">
        <f t="shared" si="284"/>
        <v>01282360682</v>
      </c>
      <c r="D2190" t="str">
        <f t="shared" si="285"/>
        <v>01323030690</v>
      </c>
      <c r="E2190" t="s">
        <v>52</v>
      </c>
      <c r="F2190">
        <v>2016</v>
      </c>
      <c r="G2190" t="str">
        <f>"          2050925263"</f>
        <v xml:space="preserve">          2050925263</v>
      </c>
      <c r="H2190" s="3">
        <v>42395</v>
      </c>
      <c r="I2190" s="3">
        <v>42396</v>
      </c>
      <c r="J2190" s="3">
        <v>42396</v>
      </c>
      <c r="K2190" s="3">
        <v>42456</v>
      </c>
      <c r="L2190" s="1">
        <v>864</v>
      </c>
      <c r="M2190">
        <v>73</v>
      </c>
      <c r="N2190" s="5">
        <v>63072</v>
      </c>
      <c r="O2190">
        <v>864</v>
      </c>
      <c r="P2190">
        <v>73</v>
      </c>
      <c r="Q2190" s="4">
        <v>63072</v>
      </c>
      <c r="R2190">
        <v>190.08</v>
      </c>
      <c r="V2190">
        <v>0</v>
      </c>
      <c r="W2190">
        <v>0</v>
      </c>
      <c r="X2190">
        <v>0</v>
      </c>
      <c r="Y2190" s="4">
        <v>1054.08</v>
      </c>
      <c r="Z2190" s="4">
        <v>1054.08</v>
      </c>
      <c r="AA2190" s="4">
        <v>1054.08</v>
      </c>
      <c r="AB2190" s="3">
        <v>42562</v>
      </c>
      <c r="AC2190" t="s">
        <v>53</v>
      </c>
      <c r="AD2190" t="s">
        <v>53</v>
      </c>
      <c r="AH2190">
        <v>190.08</v>
      </c>
      <c r="AK2190">
        <v>0</v>
      </c>
      <c r="AU2190" s="3">
        <v>42529</v>
      </c>
      <c r="AV2190" s="3">
        <v>42529</v>
      </c>
      <c r="AW2190" t="s">
        <v>54</v>
      </c>
      <c r="AX2190" t="str">
        <f t="shared" si="283"/>
        <v>FOR</v>
      </c>
      <c r="AY2190" t="s">
        <v>55</v>
      </c>
    </row>
    <row r="2191" spans="1:51">
      <c r="A2191">
        <v>102801</v>
      </c>
      <c r="B2191" t="s">
        <v>320</v>
      </c>
      <c r="C2191" t="str">
        <f t="shared" si="284"/>
        <v>01282360682</v>
      </c>
      <c r="D2191" t="str">
        <f t="shared" si="285"/>
        <v>01323030690</v>
      </c>
      <c r="E2191" t="s">
        <v>52</v>
      </c>
      <c r="F2191">
        <v>2016</v>
      </c>
      <c r="G2191" t="str">
        <f>"          2050926169"</f>
        <v xml:space="preserve">          2050926169</v>
      </c>
      <c r="H2191" s="3">
        <v>42416</v>
      </c>
      <c r="I2191" s="3">
        <v>42417</v>
      </c>
      <c r="J2191" s="3">
        <v>42417</v>
      </c>
      <c r="K2191" s="3">
        <v>42477</v>
      </c>
      <c r="L2191" s="5">
        <v>4401.6000000000004</v>
      </c>
      <c r="M2191">
        <v>52</v>
      </c>
      <c r="N2191" s="5">
        <v>228883.20000000001</v>
      </c>
      <c r="O2191" s="4">
        <v>4401.6000000000004</v>
      </c>
      <c r="P2191">
        <v>52</v>
      </c>
      <c r="Q2191" s="4">
        <v>228883.20000000001</v>
      </c>
      <c r="R2191">
        <v>968.35</v>
      </c>
      <c r="V2191">
        <v>0</v>
      </c>
      <c r="W2191">
        <v>0</v>
      </c>
      <c r="X2191">
        <v>0</v>
      </c>
      <c r="Y2191" s="4">
        <v>5369.95</v>
      </c>
      <c r="Z2191" s="4">
        <v>5369.95</v>
      </c>
      <c r="AA2191" s="4">
        <v>5369.95</v>
      </c>
      <c r="AB2191" s="3">
        <v>42562</v>
      </c>
      <c r="AC2191" t="s">
        <v>53</v>
      </c>
      <c r="AD2191" t="s">
        <v>53</v>
      </c>
      <c r="AG2191">
        <v>968.35</v>
      </c>
      <c r="AK2191">
        <v>0</v>
      </c>
      <c r="AU2191" s="3">
        <v>42529</v>
      </c>
      <c r="AV2191" s="3">
        <v>42529</v>
      </c>
      <c r="AW2191" t="s">
        <v>54</v>
      </c>
      <c r="AX2191" t="str">
        <f t="shared" si="283"/>
        <v>FOR</v>
      </c>
      <c r="AY2191" t="s">
        <v>55</v>
      </c>
    </row>
    <row r="2192" spans="1:51">
      <c r="A2192">
        <v>102801</v>
      </c>
      <c r="B2192" t="s">
        <v>320</v>
      </c>
      <c r="C2192" t="str">
        <f t="shared" si="284"/>
        <v>01282360682</v>
      </c>
      <c r="D2192" t="str">
        <f t="shared" si="285"/>
        <v>01323030690</v>
      </c>
      <c r="E2192" t="s">
        <v>52</v>
      </c>
      <c r="F2192">
        <v>2016</v>
      </c>
      <c r="G2192" t="str">
        <f>"          2050927465"</f>
        <v xml:space="preserve">          2050927465</v>
      </c>
      <c r="H2192" s="3">
        <v>42453</v>
      </c>
      <c r="I2192" s="3">
        <v>42454</v>
      </c>
      <c r="J2192" s="3">
        <v>42454</v>
      </c>
      <c r="K2192" s="3">
        <v>42514</v>
      </c>
      <c r="L2192" s="5">
        <v>3905.08</v>
      </c>
      <c r="M2192">
        <v>15</v>
      </c>
      <c r="N2192" s="5">
        <v>58576.2</v>
      </c>
      <c r="O2192" s="4">
        <v>3905.08</v>
      </c>
      <c r="P2192">
        <v>15</v>
      </c>
      <c r="Q2192" s="4">
        <v>58576.2</v>
      </c>
      <c r="R2192">
        <v>859.12</v>
      </c>
      <c r="V2192">
        <v>0</v>
      </c>
      <c r="W2192">
        <v>0</v>
      </c>
      <c r="X2192">
        <v>0</v>
      </c>
      <c r="Y2192" s="4">
        <v>4764.2</v>
      </c>
      <c r="Z2192" s="4">
        <v>4764.2</v>
      </c>
      <c r="AA2192" s="4">
        <v>4764.2</v>
      </c>
      <c r="AB2192" s="3">
        <v>42562</v>
      </c>
      <c r="AC2192" t="s">
        <v>53</v>
      </c>
      <c r="AD2192" t="s">
        <v>53</v>
      </c>
      <c r="AF2192">
        <v>859.12</v>
      </c>
      <c r="AK2192">
        <v>0</v>
      </c>
      <c r="AU2192" s="3">
        <v>42529</v>
      </c>
      <c r="AV2192" s="3">
        <v>42529</v>
      </c>
      <c r="AW2192" t="s">
        <v>54</v>
      </c>
      <c r="AX2192" t="str">
        <f t="shared" si="283"/>
        <v>FOR</v>
      </c>
      <c r="AY2192" t="s">
        <v>55</v>
      </c>
    </row>
    <row r="2193" spans="1:51">
      <c r="A2193">
        <v>102801</v>
      </c>
      <c r="B2193" t="s">
        <v>320</v>
      </c>
      <c r="C2193" t="str">
        <f t="shared" si="284"/>
        <v>01282360682</v>
      </c>
      <c r="D2193" t="str">
        <f t="shared" si="285"/>
        <v>01323030690</v>
      </c>
      <c r="E2193" t="s">
        <v>52</v>
      </c>
      <c r="F2193">
        <v>2016</v>
      </c>
      <c r="G2193" t="str">
        <f>"          2050928454"</f>
        <v xml:space="preserve">          2050928454</v>
      </c>
      <c r="H2193" s="3">
        <v>42480</v>
      </c>
      <c r="I2193" s="3">
        <v>42481</v>
      </c>
      <c r="J2193" s="3">
        <v>42481</v>
      </c>
      <c r="K2193" s="3">
        <v>42541</v>
      </c>
      <c r="L2193" s="5">
        <v>4401.6000000000004</v>
      </c>
      <c r="M2193">
        <v>-12</v>
      </c>
      <c r="N2193" s="5">
        <v>-52819.199999999997</v>
      </c>
      <c r="O2193" s="4">
        <v>4401.6000000000004</v>
      </c>
      <c r="P2193">
        <v>-12</v>
      </c>
      <c r="Q2193" s="4">
        <v>-52819.199999999997</v>
      </c>
      <c r="R2193">
        <v>968.35</v>
      </c>
      <c r="V2193" s="4">
        <v>5369.95</v>
      </c>
      <c r="W2193" s="4">
        <v>5369.95</v>
      </c>
      <c r="X2193" s="4">
        <v>5369.95</v>
      </c>
      <c r="Y2193" s="4">
        <v>5369.95</v>
      </c>
      <c r="Z2193" s="4">
        <v>5369.95</v>
      </c>
      <c r="AA2193" s="4">
        <v>5369.95</v>
      </c>
      <c r="AB2193" s="3">
        <v>42562</v>
      </c>
      <c r="AC2193" t="s">
        <v>53</v>
      </c>
      <c r="AD2193" t="s">
        <v>53</v>
      </c>
      <c r="AE2193">
        <v>968.35</v>
      </c>
      <c r="AK2193">
        <v>0</v>
      </c>
      <c r="AU2193" s="3">
        <v>42529</v>
      </c>
      <c r="AV2193" s="3">
        <v>42529</v>
      </c>
      <c r="AW2193" t="s">
        <v>54</v>
      </c>
      <c r="AX2193" t="str">
        <f t="shared" si="283"/>
        <v>FOR</v>
      </c>
      <c r="AY2193" t="s">
        <v>55</v>
      </c>
    </row>
    <row r="2194" spans="1:51" hidden="1">
      <c r="A2194">
        <v>102802</v>
      </c>
      <c r="B2194" t="s">
        <v>321</v>
      </c>
      <c r="C2194" t="str">
        <f>"01387091216"</f>
        <v>01387091216</v>
      </c>
      <c r="D2194" t="str">
        <f>"05063110638"</f>
        <v>05063110638</v>
      </c>
      <c r="E2194" t="s">
        <v>52</v>
      </c>
      <c r="F2194">
        <v>2015</v>
      </c>
      <c r="G2194" t="str">
        <f>"                 150"</f>
        <v xml:space="preserve">                 150</v>
      </c>
      <c r="H2194" s="3">
        <v>42063</v>
      </c>
      <c r="I2194" s="3">
        <v>42089</v>
      </c>
      <c r="J2194" s="3">
        <v>42089</v>
      </c>
      <c r="K2194" s="3">
        <v>42149</v>
      </c>
      <c r="L2194"/>
      <c r="N2194"/>
      <c r="O2194" s="4">
        <v>2820</v>
      </c>
      <c r="P2194">
        <v>259</v>
      </c>
      <c r="Q2194" s="4">
        <v>730380</v>
      </c>
      <c r="R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 s="3">
        <v>42562</v>
      </c>
      <c r="AC2194" t="s">
        <v>53</v>
      </c>
      <c r="AD2194" t="s">
        <v>53</v>
      </c>
      <c r="AK2194">
        <v>0</v>
      </c>
      <c r="AU2194" s="3">
        <v>42408</v>
      </c>
      <c r="AV2194" s="3">
        <v>42408</v>
      </c>
      <c r="AW2194" t="s">
        <v>54</v>
      </c>
      <c r="AX2194" t="str">
        <f t="shared" si="283"/>
        <v>FOR</v>
      </c>
      <c r="AY2194" t="s">
        <v>55</v>
      </c>
    </row>
    <row r="2195" spans="1:51" hidden="1">
      <c r="A2195">
        <v>102802</v>
      </c>
      <c r="B2195" t="s">
        <v>321</v>
      </c>
      <c r="C2195" t="str">
        <f>"01387091216"</f>
        <v>01387091216</v>
      </c>
      <c r="D2195" t="str">
        <f>"05063110638"</f>
        <v>05063110638</v>
      </c>
      <c r="E2195" t="s">
        <v>52</v>
      </c>
      <c r="F2195">
        <v>2015</v>
      </c>
      <c r="G2195" t="str">
        <f>"               15/04"</f>
        <v xml:space="preserve">               15/04</v>
      </c>
      <c r="H2195" s="3">
        <v>42109</v>
      </c>
      <c r="I2195" s="3">
        <v>42172</v>
      </c>
      <c r="J2195" s="3">
        <v>42138</v>
      </c>
      <c r="K2195" s="3">
        <v>42198</v>
      </c>
      <c r="L2195"/>
      <c r="N2195"/>
      <c r="O2195" s="4">
        <v>1410</v>
      </c>
      <c r="P2195">
        <v>232</v>
      </c>
      <c r="Q2195" s="4">
        <v>327120</v>
      </c>
      <c r="R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 s="3">
        <v>42562</v>
      </c>
      <c r="AC2195" t="s">
        <v>53</v>
      </c>
      <c r="AD2195" t="s">
        <v>53</v>
      </c>
      <c r="AK2195">
        <v>0</v>
      </c>
      <c r="AU2195" s="3">
        <v>42430</v>
      </c>
      <c r="AV2195" s="3">
        <v>42430</v>
      </c>
      <c r="AW2195" t="s">
        <v>54</v>
      </c>
      <c r="AX2195" t="str">
        <f t="shared" si="283"/>
        <v>FOR</v>
      </c>
      <c r="AY2195" t="s">
        <v>55</v>
      </c>
    </row>
    <row r="2196" spans="1:51" hidden="1">
      <c r="A2196">
        <v>102802</v>
      </c>
      <c r="B2196" t="s">
        <v>321</v>
      </c>
      <c r="C2196" t="str">
        <f>"01387091216"</f>
        <v>01387091216</v>
      </c>
      <c r="D2196" t="str">
        <f>"05063110638"</f>
        <v>05063110638</v>
      </c>
      <c r="E2196" t="s">
        <v>52</v>
      </c>
      <c r="F2196">
        <v>2015</v>
      </c>
      <c r="G2196" t="str">
        <f>"               16/04"</f>
        <v xml:space="preserve">               16/04</v>
      </c>
      <c r="H2196" s="3">
        <v>42109</v>
      </c>
      <c r="I2196" s="3">
        <v>42172</v>
      </c>
      <c r="J2196" s="3">
        <v>42138</v>
      </c>
      <c r="K2196" s="3">
        <v>42198</v>
      </c>
      <c r="L2196"/>
      <c r="N2196"/>
      <c r="O2196" s="4">
        <v>4230</v>
      </c>
      <c r="P2196">
        <v>232</v>
      </c>
      <c r="Q2196" s="4">
        <v>981360</v>
      </c>
      <c r="R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 s="3">
        <v>42562</v>
      </c>
      <c r="AC2196" t="s">
        <v>53</v>
      </c>
      <c r="AD2196" t="s">
        <v>53</v>
      </c>
      <c r="AK2196">
        <v>0</v>
      </c>
      <c r="AU2196" s="3">
        <v>42430</v>
      </c>
      <c r="AV2196" s="3">
        <v>42430</v>
      </c>
      <c r="AW2196" t="s">
        <v>54</v>
      </c>
      <c r="AX2196" t="str">
        <f t="shared" si="283"/>
        <v>FOR</v>
      </c>
      <c r="AY2196" t="s">
        <v>55</v>
      </c>
    </row>
    <row r="2197" spans="1:51" hidden="1">
      <c r="A2197">
        <v>102802</v>
      </c>
      <c r="B2197" t="s">
        <v>321</v>
      </c>
      <c r="C2197" t="str">
        <f>"01387091216"</f>
        <v>01387091216</v>
      </c>
      <c r="D2197" t="str">
        <f>"05063110638"</f>
        <v>05063110638</v>
      </c>
      <c r="E2197" t="s">
        <v>52</v>
      </c>
      <c r="F2197">
        <v>2015</v>
      </c>
      <c r="G2197" t="str">
        <f>"               74/04"</f>
        <v xml:space="preserve">               74/04</v>
      </c>
      <c r="H2197" s="3">
        <v>42139</v>
      </c>
      <c r="I2197" s="3">
        <v>42167</v>
      </c>
      <c r="J2197" s="3">
        <v>42165</v>
      </c>
      <c r="K2197" s="3">
        <v>42225</v>
      </c>
      <c r="L2197"/>
      <c r="N2197"/>
      <c r="O2197" s="4">
        <v>4050</v>
      </c>
      <c r="P2197">
        <v>227</v>
      </c>
      <c r="Q2197" s="4">
        <v>919350</v>
      </c>
      <c r="R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 s="3">
        <v>42562</v>
      </c>
      <c r="AC2197" t="s">
        <v>53</v>
      </c>
      <c r="AD2197" t="s">
        <v>53</v>
      </c>
      <c r="AK2197">
        <v>0</v>
      </c>
      <c r="AU2197" s="3">
        <v>42452</v>
      </c>
      <c r="AV2197" s="3">
        <v>42452</v>
      </c>
      <c r="AW2197" t="s">
        <v>54</v>
      </c>
      <c r="AX2197" t="str">
        <f t="shared" si="283"/>
        <v>FOR</v>
      </c>
      <c r="AY2197" t="s">
        <v>55</v>
      </c>
    </row>
    <row r="2198" spans="1:51" hidden="1">
      <c r="A2198">
        <v>102802</v>
      </c>
      <c r="B2198" t="s">
        <v>321</v>
      </c>
      <c r="C2198" t="str">
        <f>"01387091216"</f>
        <v>01387091216</v>
      </c>
      <c r="D2198" t="str">
        <f>"05063110638"</f>
        <v>05063110638</v>
      </c>
      <c r="E2198" t="s">
        <v>52</v>
      </c>
      <c r="F2198">
        <v>2015</v>
      </c>
      <c r="G2198" t="str">
        <f>"              103/04"</f>
        <v xml:space="preserve">              103/04</v>
      </c>
      <c r="H2198" s="3">
        <v>42155</v>
      </c>
      <c r="I2198" s="3">
        <v>42167</v>
      </c>
      <c r="J2198" s="3">
        <v>42165</v>
      </c>
      <c r="K2198" s="3">
        <v>42225</v>
      </c>
      <c r="L2198"/>
      <c r="N2198"/>
      <c r="O2198">
        <v>688</v>
      </c>
      <c r="P2198">
        <v>227</v>
      </c>
      <c r="Q2198" s="4">
        <v>156176</v>
      </c>
      <c r="R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 s="3">
        <v>42562</v>
      </c>
      <c r="AC2198" t="s">
        <v>53</v>
      </c>
      <c r="AD2198" t="s">
        <v>53</v>
      </c>
      <c r="AK2198">
        <v>0</v>
      </c>
      <c r="AU2198" s="3">
        <v>42452</v>
      </c>
      <c r="AV2198" s="3">
        <v>42452</v>
      </c>
      <c r="AW2198" t="s">
        <v>54</v>
      </c>
      <c r="AX2198" t="str">
        <f t="shared" si="283"/>
        <v>FOR</v>
      </c>
      <c r="AY2198" t="s">
        <v>55</v>
      </c>
    </row>
    <row r="2199" spans="1:51">
      <c r="A2199">
        <v>102806</v>
      </c>
      <c r="B2199" t="s">
        <v>322</v>
      </c>
      <c r="C2199" t="str">
        <f>"02067940367"</f>
        <v>02067940367</v>
      </c>
      <c r="D2199" t="str">
        <f>"02067940367"</f>
        <v>02067940367</v>
      </c>
      <c r="E2199" t="s">
        <v>52</v>
      </c>
      <c r="F2199">
        <v>2015</v>
      </c>
      <c r="G2199" t="str">
        <f>"          5304106184"</f>
        <v xml:space="preserve">          5304106184</v>
      </c>
      <c r="H2199" s="3">
        <v>42172</v>
      </c>
      <c r="I2199" s="3">
        <v>42174</v>
      </c>
      <c r="J2199" s="3">
        <v>42173</v>
      </c>
      <c r="K2199" s="3">
        <v>42233</v>
      </c>
      <c r="L2199" s="5">
        <v>1256.4000000000001</v>
      </c>
      <c r="M2199">
        <v>294</v>
      </c>
      <c r="N2199" s="5">
        <v>369381.6</v>
      </c>
      <c r="O2199" s="4">
        <v>1256.4000000000001</v>
      </c>
      <c r="P2199">
        <v>294</v>
      </c>
      <c r="Q2199" s="4">
        <v>369381.6</v>
      </c>
      <c r="R2199">
        <v>50.26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 s="3">
        <v>42562</v>
      </c>
      <c r="AC2199" t="s">
        <v>53</v>
      </c>
      <c r="AD2199" t="s">
        <v>53</v>
      </c>
      <c r="AK2199">
        <v>50.26</v>
      </c>
      <c r="AU2199" s="3">
        <v>42527</v>
      </c>
      <c r="AV2199" s="3">
        <v>42527</v>
      </c>
      <c r="AW2199" t="s">
        <v>54</v>
      </c>
      <c r="AX2199" t="str">
        <f t="shared" si="283"/>
        <v>FOR</v>
      </c>
      <c r="AY2199" t="s">
        <v>55</v>
      </c>
    </row>
    <row r="2200" spans="1:51">
      <c r="A2200">
        <v>102819</v>
      </c>
      <c r="B2200" t="s">
        <v>323</v>
      </c>
      <c r="C2200" t="str">
        <f>"06754140157"</f>
        <v>06754140157</v>
      </c>
      <c r="D2200" t="str">
        <f>"06754140157"</f>
        <v>06754140157</v>
      </c>
      <c r="E2200" t="s">
        <v>52</v>
      </c>
      <c r="F2200">
        <v>2015</v>
      </c>
      <c r="G2200" t="str">
        <f>"               10393"</f>
        <v xml:space="preserve">               10393</v>
      </c>
      <c r="H2200" s="3">
        <v>42278</v>
      </c>
      <c r="I2200" s="3">
        <v>42286</v>
      </c>
      <c r="J2200" s="3">
        <v>42285</v>
      </c>
      <c r="K2200" s="3">
        <v>42345</v>
      </c>
      <c r="L2200" s="1">
        <v>323.39999999999998</v>
      </c>
      <c r="M2200">
        <v>175</v>
      </c>
      <c r="N2200" s="5">
        <v>56595</v>
      </c>
      <c r="O2200">
        <v>323.39999999999998</v>
      </c>
      <c r="P2200">
        <v>175</v>
      </c>
      <c r="Q2200" s="4">
        <v>56595</v>
      </c>
      <c r="R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 s="3">
        <v>42562</v>
      </c>
      <c r="AC2200" t="s">
        <v>53</v>
      </c>
      <c r="AD2200" t="s">
        <v>53</v>
      </c>
      <c r="AK2200">
        <v>0</v>
      </c>
      <c r="AU2200" s="3">
        <v>42520</v>
      </c>
      <c r="AV2200" s="3">
        <v>42520</v>
      </c>
      <c r="AW2200" t="s">
        <v>54</v>
      </c>
      <c r="AX2200" t="str">
        <f t="shared" si="283"/>
        <v>FOR</v>
      </c>
      <c r="AY2200" t="s">
        <v>55</v>
      </c>
    </row>
    <row r="2201" spans="1:51">
      <c r="A2201">
        <v>102819</v>
      </c>
      <c r="B2201" t="s">
        <v>323</v>
      </c>
      <c r="C2201" t="str">
        <f>"06754140157"</f>
        <v>06754140157</v>
      </c>
      <c r="D2201" t="str">
        <f>"06754140157"</f>
        <v>06754140157</v>
      </c>
      <c r="E2201" t="s">
        <v>52</v>
      </c>
      <c r="F2201">
        <v>2015</v>
      </c>
      <c r="G2201" t="str">
        <f>"               11998"</f>
        <v xml:space="preserve">               11998</v>
      </c>
      <c r="H2201" s="3">
        <v>42319</v>
      </c>
      <c r="I2201" s="3">
        <v>42326</v>
      </c>
      <c r="J2201" s="3">
        <v>42324</v>
      </c>
      <c r="K2201" s="3">
        <v>42384</v>
      </c>
      <c r="L2201" s="5">
        <v>1263</v>
      </c>
      <c r="M2201">
        <v>136</v>
      </c>
      <c r="N2201" s="5">
        <v>171768</v>
      </c>
      <c r="O2201" s="4">
        <v>1263</v>
      </c>
      <c r="P2201">
        <v>136</v>
      </c>
      <c r="Q2201" s="4">
        <v>171768</v>
      </c>
      <c r="R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 s="3">
        <v>42562</v>
      </c>
      <c r="AC2201" t="s">
        <v>53</v>
      </c>
      <c r="AD2201" t="s">
        <v>53</v>
      </c>
      <c r="AK2201">
        <v>0</v>
      </c>
      <c r="AU2201" s="3">
        <v>42520</v>
      </c>
      <c r="AV2201" s="3">
        <v>42520</v>
      </c>
      <c r="AW2201" t="s">
        <v>54</v>
      </c>
      <c r="AX2201" t="str">
        <f t="shared" si="283"/>
        <v>FOR</v>
      </c>
      <c r="AY2201" t="s">
        <v>55</v>
      </c>
    </row>
    <row r="2202" spans="1:51" hidden="1">
      <c r="A2202">
        <v>102844</v>
      </c>
      <c r="B2202" t="s">
        <v>324</v>
      </c>
      <c r="C2202" t="str">
        <f t="shared" ref="C2202:D2205" si="286">"10191080158"</f>
        <v>10191080158</v>
      </c>
      <c r="D2202" t="str">
        <f t="shared" si="286"/>
        <v>10191080158</v>
      </c>
      <c r="E2202" t="s">
        <v>52</v>
      </c>
      <c r="F2202">
        <v>2015</v>
      </c>
      <c r="G2202" t="str">
        <f>"              843-PA"</f>
        <v xml:space="preserve">              843-PA</v>
      </c>
      <c r="H2202" s="3">
        <v>42048</v>
      </c>
      <c r="I2202" s="3">
        <v>42086</v>
      </c>
      <c r="J2202" s="3">
        <v>42086</v>
      </c>
      <c r="K2202" s="3">
        <v>42146</v>
      </c>
      <c r="L2202"/>
      <c r="N2202"/>
      <c r="O2202" s="4">
        <v>2720</v>
      </c>
      <c r="P2202">
        <v>262</v>
      </c>
      <c r="Q2202" s="4">
        <v>712640</v>
      </c>
      <c r="R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 s="3">
        <v>42562</v>
      </c>
      <c r="AC2202" t="s">
        <v>53</v>
      </c>
      <c r="AD2202" t="s">
        <v>53</v>
      </c>
      <c r="AK2202">
        <v>0</v>
      </c>
      <c r="AU2202" s="3">
        <v>42408</v>
      </c>
      <c r="AV2202" s="3">
        <v>42408</v>
      </c>
      <c r="AW2202" t="s">
        <v>54</v>
      </c>
      <c r="AX2202" t="str">
        <f t="shared" si="283"/>
        <v>FOR</v>
      </c>
      <c r="AY2202" t="s">
        <v>55</v>
      </c>
    </row>
    <row r="2203" spans="1:51" hidden="1">
      <c r="A2203">
        <v>102844</v>
      </c>
      <c r="B2203" t="s">
        <v>324</v>
      </c>
      <c r="C2203" t="str">
        <f t="shared" si="286"/>
        <v>10191080158</v>
      </c>
      <c r="D2203" t="str">
        <f t="shared" si="286"/>
        <v>10191080158</v>
      </c>
      <c r="E2203" t="s">
        <v>52</v>
      </c>
      <c r="F2203">
        <v>2015</v>
      </c>
      <c r="G2203" t="str">
        <f>"              844-PA"</f>
        <v xml:space="preserve">              844-PA</v>
      </c>
      <c r="H2203" s="3">
        <v>42048</v>
      </c>
      <c r="I2203" s="3">
        <v>42086</v>
      </c>
      <c r="J2203" s="3">
        <v>42086</v>
      </c>
      <c r="K2203" s="3">
        <v>42146</v>
      </c>
      <c r="L2203"/>
      <c r="N2203"/>
      <c r="O2203">
        <v>160</v>
      </c>
      <c r="P2203">
        <v>262</v>
      </c>
      <c r="Q2203" s="4">
        <v>41920</v>
      </c>
      <c r="R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 s="3">
        <v>42562</v>
      </c>
      <c r="AC2203" t="s">
        <v>53</v>
      </c>
      <c r="AD2203" t="s">
        <v>53</v>
      </c>
      <c r="AK2203">
        <v>0</v>
      </c>
      <c r="AU2203" s="3">
        <v>42408</v>
      </c>
      <c r="AV2203" s="3">
        <v>42408</v>
      </c>
      <c r="AW2203" t="s">
        <v>54</v>
      </c>
      <c r="AX2203" t="str">
        <f t="shared" si="283"/>
        <v>FOR</v>
      </c>
      <c r="AY2203" t="s">
        <v>55</v>
      </c>
    </row>
    <row r="2204" spans="1:51" hidden="1">
      <c r="A2204">
        <v>102844</v>
      </c>
      <c r="B2204" t="s">
        <v>324</v>
      </c>
      <c r="C2204" t="str">
        <f t="shared" si="286"/>
        <v>10191080158</v>
      </c>
      <c r="D2204" t="str">
        <f t="shared" si="286"/>
        <v>10191080158</v>
      </c>
      <c r="E2204" t="s">
        <v>52</v>
      </c>
      <c r="F2204">
        <v>2015</v>
      </c>
      <c r="G2204" t="str">
        <f>"             1188-PA"</f>
        <v xml:space="preserve">             1188-PA</v>
      </c>
      <c r="H2204" s="3">
        <v>42063</v>
      </c>
      <c r="I2204" s="3">
        <v>42089</v>
      </c>
      <c r="J2204" s="3">
        <v>42089</v>
      </c>
      <c r="K2204" s="3">
        <v>42149</v>
      </c>
      <c r="L2204"/>
      <c r="N2204"/>
      <c r="O2204">
        <v>427.5</v>
      </c>
      <c r="P2204">
        <v>259</v>
      </c>
      <c r="Q2204" s="4">
        <v>110722.5</v>
      </c>
      <c r="R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 s="3">
        <v>42562</v>
      </c>
      <c r="AC2204" t="s">
        <v>53</v>
      </c>
      <c r="AD2204" t="s">
        <v>53</v>
      </c>
      <c r="AK2204">
        <v>0</v>
      </c>
      <c r="AU2204" s="3">
        <v>42408</v>
      </c>
      <c r="AV2204" s="3">
        <v>42408</v>
      </c>
      <c r="AW2204" t="s">
        <v>54</v>
      </c>
      <c r="AX2204" t="str">
        <f t="shared" si="283"/>
        <v>FOR</v>
      </c>
      <c r="AY2204" t="s">
        <v>55</v>
      </c>
    </row>
    <row r="2205" spans="1:51" hidden="1">
      <c r="A2205">
        <v>102844</v>
      </c>
      <c r="B2205" t="s">
        <v>324</v>
      </c>
      <c r="C2205" t="str">
        <f t="shared" si="286"/>
        <v>10191080158</v>
      </c>
      <c r="D2205" t="str">
        <f t="shared" si="286"/>
        <v>10191080158</v>
      </c>
      <c r="E2205" t="s">
        <v>52</v>
      </c>
      <c r="F2205">
        <v>2015</v>
      </c>
      <c r="G2205" t="str">
        <f>"             1189-PA"</f>
        <v xml:space="preserve">             1189-PA</v>
      </c>
      <c r="H2205" s="3">
        <v>42063</v>
      </c>
      <c r="I2205" s="3">
        <v>42089</v>
      </c>
      <c r="J2205" s="3">
        <v>42089</v>
      </c>
      <c r="K2205" s="3">
        <v>42149</v>
      </c>
      <c r="L2205"/>
      <c r="N2205"/>
      <c r="O2205">
        <v>427.5</v>
      </c>
      <c r="P2205">
        <v>259</v>
      </c>
      <c r="Q2205" s="4">
        <v>110722.5</v>
      </c>
      <c r="R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 s="3">
        <v>42562</v>
      </c>
      <c r="AC2205" t="s">
        <v>53</v>
      </c>
      <c r="AD2205" t="s">
        <v>53</v>
      </c>
      <c r="AK2205">
        <v>0</v>
      </c>
      <c r="AU2205" s="3">
        <v>42408</v>
      </c>
      <c r="AV2205" s="3">
        <v>42408</v>
      </c>
      <c r="AW2205" t="s">
        <v>54</v>
      </c>
      <c r="AX2205" t="str">
        <f t="shared" si="283"/>
        <v>FOR</v>
      </c>
      <c r="AY2205" t="s">
        <v>55</v>
      </c>
    </row>
    <row r="2206" spans="1:51" hidden="1">
      <c r="A2206">
        <v>102845</v>
      </c>
      <c r="B2206" t="s">
        <v>325</v>
      </c>
      <c r="C2206" t="str">
        <f t="shared" ref="C2206:D2210" si="287">"02098650712"</f>
        <v>02098650712</v>
      </c>
      <c r="D2206" t="str">
        <f t="shared" si="287"/>
        <v>02098650712</v>
      </c>
      <c r="E2206" t="s">
        <v>52</v>
      </c>
      <c r="F2206">
        <v>2015</v>
      </c>
      <c r="G2206" t="str">
        <f>"              002204"</f>
        <v xml:space="preserve">              002204</v>
      </c>
      <c r="H2206" s="3">
        <v>42094</v>
      </c>
      <c r="I2206" s="3">
        <v>42132</v>
      </c>
      <c r="J2206" s="3">
        <v>42130</v>
      </c>
      <c r="K2206" s="3">
        <v>42190</v>
      </c>
      <c r="L2206"/>
      <c r="N2206"/>
      <c r="O2206" s="4">
        <v>15259.26</v>
      </c>
      <c r="P2206">
        <v>211</v>
      </c>
      <c r="Q2206" s="4">
        <v>3219703.86</v>
      </c>
      <c r="R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 s="3">
        <v>42562</v>
      </c>
      <c r="AC2206" t="s">
        <v>53</v>
      </c>
      <c r="AD2206" t="s">
        <v>53</v>
      </c>
      <c r="AK2206">
        <v>0</v>
      </c>
      <c r="AU2206" s="3">
        <v>42401</v>
      </c>
      <c r="AV2206" s="3">
        <v>42401</v>
      </c>
      <c r="AW2206" t="s">
        <v>54</v>
      </c>
      <c r="AX2206" t="str">
        <f t="shared" si="283"/>
        <v>FOR</v>
      </c>
      <c r="AY2206" t="s">
        <v>55</v>
      </c>
    </row>
    <row r="2207" spans="1:51" hidden="1">
      <c r="A2207">
        <v>102845</v>
      </c>
      <c r="B2207" t="s">
        <v>325</v>
      </c>
      <c r="C2207" t="str">
        <f t="shared" si="287"/>
        <v>02098650712</v>
      </c>
      <c r="D2207" t="str">
        <f t="shared" si="287"/>
        <v>02098650712</v>
      </c>
      <c r="E2207" t="s">
        <v>52</v>
      </c>
      <c r="F2207">
        <v>2015</v>
      </c>
      <c r="G2207" t="str">
        <f>"              003055"</f>
        <v xml:space="preserve">              003055</v>
      </c>
      <c r="H2207" s="3">
        <v>42124</v>
      </c>
      <c r="I2207" s="3">
        <v>42163</v>
      </c>
      <c r="J2207" s="3">
        <v>42153</v>
      </c>
      <c r="K2207" s="3">
        <v>42213</v>
      </c>
      <c r="L2207"/>
      <c r="N2207"/>
      <c r="O2207" s="4">
        <v>13666.71</v>
      </c>
      <c r="P2207">
        <v>203</v>
      </c>
      <c r="Q2207" s="4">
        <v>2774342.13</v>
      </c>
      <c r="R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 s="3">
        <v>42562</v>
      </c>
      <c r="AC2207" t="s">
        <v>53</v>
      </c>
      <c r="AD2207" t="s">
        <v>53</v>
      </c>
      <c r="AK2207">
        <v>0</v>
      </c>
      <c r="AU2207" s="3">
        <v>42416</v>
      </c>
      <c r="AV2207" s="3">
        <v>42416</v>
      </c>
      <c r="AW2207" t="s">
        <v>54</v>
      </c>
      <c r="AX2207" t="str">
        <f t="shared" si="283"/>
        <v>FOR</v>
      </c>
      <c r="AY2207" t="s">
        <v>55</v>
      </c>
    </row>
    <row r="2208" spans="1:51" hidden="1">
      <c r="A2208">
        <v>102845</v>
      </c>
      <c r="B2208" t="s">
        <v>325</v>
      </c>
      <c r="C2208" t="str">
        <f t="shared" si="287"/>
        <v>02098650712</v>
      </c>
      <c r="D2208" t="str">
        <f t="shared" si="287"/>
        <v>02098650712</v>
      </c>
      <c r="E2208" t="s">
        <v>52</v>
      </c>
      <c r="F2208">
        <v>2015</v>
      </c>
      <c r="G2208" t="str">
        <f>"              003627"</f>
        <v xml:space="preserve">              003627</v>
      </c>
      <c r="H2208" s="3">
        <v>42154</v>
      </c>
      <c r="I2208" s="3">
        <v>42185</v>
      </c>
      <c r="J2208" s="3">
        <v>42181</v>
      </c>
      <c r="K2208" s="3">
        <v>42241</v>
      </c>
      <c r="L2208"/>
      <c r="N2208"/>
      <c r="O2208" s="4">
        <v>14952.82</v>
      </c>
      <c r="P2208">
        <v>189</v>
      </c>
      <c r="Q2208" s="4">
        <v>2826082.98</v>
      </c>
      <c r="R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 s="3">
        <v>42562</v>
      </c>
      <c r="AC2208" t="s">
        <v>53</v>
      </c>
      <c r="AD2208" t="s">
        <v>53</v>
      </c>
      <c r="AK2208">
        <v>0</v>
      </c>
      <c r="AU2208" s="3">
        <v>42430</v>
      </c>
      <c r="AV2208" s="3">
        <v>42430</v>
      </c>
      <c r="AW2208" t="s">
        <v>54</v>
      </c>
      <c r="AX2208" t="str">
        <f t="shared" si="283"/>
        <v>FOR</v>
      </c>
      <c r="AY2208" t="s">
        <v>55</v>
      </c>
    </row>
    <row r="2209" spans="1:51" hidden="1">
      <c r="A2209">
        <v>102845</v>
      </c>
      <c r="B2209" t="s">
        <v>325</v>
      </c>
      <c r="C2209" t="str">
        <f t="shared" si="287"/>
        <v>02098650712</v>
      </c>
      <c r="D2209" t="str">
        <f t="shared" si="287"/>
        <v>02098650712</v>
      </c>
      <c r="E2209" t="s">
        <v>52</v>
      </c>
      <c r="F2209">
        <v>2015</v>
      </c>
      <c r="G2209" t="str">
        <f>"              004369"</f>
        <v xml:space="preserve">              004369</v>
      </c>
      <c r="H2209" s="3">
        <v>42185</v>
      </c>
      <c r="I2209" s="3">
        <v>42202</v>
      </c>
      <c r="J2209" s="3">
        <v>42202</v>
      </c>
      <c r="K2209" s="3">
        <v>42262</v>
      </c>
      <c r="L2209"/>
      <c r="N2209"/>
      <c r="O2209" s="4">
        <v>17090.79</v>
      </c>
      <c r="P2209">
        <v>191</v>
      </c>
      <c r="Q2209" s="4">
        <v>3264340.89</v>
      </c>
      <c r="R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 s="3">
        <v>42562</v>
      </c>
      <c r="AC2209" t="s">
        <v>53</v>
      </c>
      <c r="AD2209" t="s">
        <v>53</v>
      </c>
      <c r="AK2209">
        <v>0</v>
      </c>
      <c r="AU2209" s="3">
        <v>42453</v>
      </c>
      <c r="AV2209" s="3">
        <v>42453</v>
      </c>
      <c r="AW2209" t="s">
        <v>54</v>
      </c>
      <c r="AX2209" t="str">
        <f t="shared" si="283"/>
        <v>FOR</v>
      </c>
      <c r="AY2209" t="s">
        <v>55</v>
      </c>
    </row>
    <row r="2210" spans="1:51">
      <c r="A2210">
        <v>102845</v>
      </c>
      <c r="B2210" t="s">
        <v>325</v>
      </c>
      <c r="C2210" t="str">
        <f t="shared" si="287"/>
        <v>02098650712</v>
      </c>
      <c r="D2210" t="str">
        <f t="shared" si="287"/>
        <v>02098650712</v>
      </c>
      <c r="E2210" t="s">
        <v>52</v>
      </c>
      <c r="F2210">
        <v>2015</v>
      </c>
      <c r="G2210" t="str">
        <f>"              005062"</f>
        <v xml:space="preserve">              005062</v>
      </c>
      <c r="H2210" s="3">
        <v>42216</v>
      </c>
      <c r="I2210" s="3">
        <v>42230</v>
      </c>
      <c r="J2210" s="3">
        <v>42229</v>
      </c>
      <c r="K2210" s="3">
        <v>42289</v>
      </c>
      <c r="L2210" s="5">
        <v>13939.5</v>
      </c>
      <c r="M2210">
        <v>239</v>
      </c>
      <c r="N2210" s="5">
        <v>3331540.5</v>
      </c>
      <c r="O2210" s="4">
        <v>13939.5</v>
      </c>
      <c r="P2210">
        <v>239</v>
      </c>
      <c r="Q2210" s="4">
        <v>3331540.5</v>
      </c>
      <c r="R2210" s="4">
        <v>3066.69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 s="3">
        <v>42562</v>
      </c>
      <c r="AC2210" t="s">
        <v>53</v>
      </c>
      <c r="AD2210" t="s">
        <v>53</v>
      </c>
      <c r="AK2210" s="4">
        <v>3066.69</v>
      </c>
      <c r="AU2210" s="3">
        <v>42528</v>
      </c>
      <c r="AV2210" s="3">
        <v>42528</v>
      </c>
      <c r="AW2210" t="s">
        <v>54</v>
      </c>
      <c r="AX2210" t="str">
        <f t="shared" si="283"/>
        <v>FOR</v>
      </c>
      <c r="AY2210" t="s">
        <v>55</v>
      </c>
    </row>
    <row r="2211" spans="1:51" hidden="1">
      <c r="A2211">
        <v>102885</v>
      </c>
      <c r="B2211" t="s">
        <v>326</v>
      </c>
      <c r="C2211" t="str">
        <f t="shared" ref="C2211:D2227" si="288">"00488410010"</f>
        <v>00488410010</v>
      </c>
      <c r="D2211" t="str">
        <f t="shared" si="288"/>
        <v>00488410010</v>
      </c>
      <c r="E2211" t="s">
        <v>52</v>
      </c>
      <c r="F2211">
        <v>2015</v>
      </c>
      <c r="G2211" t="str">
        <f>"          8A01172207"</f>
        <v xml:space="preserve">          8A01172207</v>
      </c>
      <c r="H2211" s="3">
        <v>42345</v>
      </c>
      <c r="I2211" s="3">
        <v>42359</v>
      </c>
      <c r="J2211" s="3">
        <v>42359</v>
      </c>
      <c r="K2211" s="3">
        <v>42419</v>
      </c>
      <c r="L2211"/>
      <c r="N2211"/>
      <c r="O2211">
        <v>4</v>
      </c>
      <c r="P2211">
        <v>-9</v>
      </c>
      <c r="Q2211">
        <v>-36</v>
      </c>
      <c r="R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 s="3">
        <v>42562</v>
      </c>
      <c r="AC2211" t="s">
        <v>53</v>
      </c>
      <c r="AD2211" t="s">
        <v>53</v>
      </c>
      <c r="AK2211">
        <v>0</v>
      </c>
      <c r="AU2211" s="3">
        <v>42410</v>
      </c>
      <c r="AV2211" s="3">
        <v>42410</v>
      </c>
      <c r="AW2211" t="s">
        <v>54</v>
      </c>
      <c r="AX2211" t="str">
        <f t="shared" ref="AX2211:AX2245" si="289">"FOR"</f>
        <v>FOR</v>
      </c>
      <c r="AY2211" t="s">
        <v>55</v>
      </c>
    </row>
    <row r="2212" spans="1:51" hidden="1">
      <c r="A2212">
        <v>102885</v>
      </c>
      <c r="B2212" t="s">
        <v>326</v>
      </c>
      <c r="C2212" t="str">
        <f t="shared" si="288"/>
        <v>00488410010</v>
      </c>
      <c r="D2212" t="str">
        <f t="shared" si="288"/>
        <v>00488410010</v>
      </c>
      <c r="E2212" t="s">
        <v>52</v>
      </c>
      <c r="F2212">
        <v>2015</v>
      </c>
      <c r="G2212" t="str">
        <f>"          8T00918271"</f>
        <v xml:space="preserve">          8T00918271</v>
      </c>
      <c r="H2212" s="3">
        <v>42345</v>
      </c>
      <c r="I2212" s="3">
        <v>42359</v>
      </c>
      <c r="J2212" s="3">
        <v>42359</v>
      </c>
      <c r="K2212" s="3">
        <v>42419</v>
      </c>
      <c r="L2212"/>
      <c r="N2212"/>
      <c r="O2212">
        <v>43.8</v>
      </c>
      <c r="P2212">
        <v>-9</v>
      </c>
      <c r="Q2212">
        <v>-394.2</v>
      </c>
      <c r="R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 s="3">
        <v>42562</v>
      </c>
      <c r="AC2212" t="s">
        <v>53</v>
      </c>
      <c r="AD2212" t="s">
        <v>53</v>
      </c>
      <c r="AK2212">
        <v>0</v>
      </c>
      <c r="AU2212" s="3">
        <v>42410</v>
      </c>
      <c r="AV2212" s="3">
        <v>42410</v>
      </c>
      <c r="AW2212" t="s">
        <v>54</v>
      </c>
      <c r="AX2212" t="str">
        <f t="shared" si="289"/>
        <v>FOR</v>
      </c>
      <c r="AY2212" t="s">
        <v>55</v>
      </c>
    </row>
    <row r="2213" spans="1:51" hidden="1">
      <c r="A2213">
        <v>102885</v>
      </c>
      <c r="B2213" t="s">
        <v>326</v>
      </c>
      <c r="C2213" t="str">
        <f t="shared" si="288"/>
        <v>00488410010</v>
      </c>
      <c r="D2213" t="str">
        <f t="shared" si="288"/>
        <v>00488410010</v>
      </c>
      <c r="E2213" t="s">
        <v>52</v>
      </c>
      <c r="F2213">
        <v>2015</v>
      </c>
      <c r="G2213" t="str">
        <f>"          8T00918508"</f>
        <v xml:space="preserve">          8T00918508</v>
      </c>
      <c r="H2213" s="3">
        <v>42345</v>
      </c>
      <c r="I2213" s="3">
        <v>42359</v>
      </c>
      <c r="J2213" s="3">
        <v>42359</v>
      </c>
      <c r="K2213" s="3">
        <v>42419</v>
      </c>
      <c r="L2213"/>
      <c r="N2213"/>
      <c r="O2213">
        <v>42.97</v>
      </c>
      <c r="P2213">
        <v>-9</v>
      </c>
      <c r="Q2213">
        <v>-386.73</v>
      </c>
      <c r="R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 s="3">
        <v>42562</v>
      </c>
      <c r="AC2213" t="s">
        <v>53</v>
      </c>
      <c r="AD2213" t="s">
        <v>53</v>
      </c>
      <c r="AK2213">
        <v>0</v>
      </c>
      <c r="AU2213" s="3">
        <v>42410</v>
      </c>
      <c r="AV2213" s="3">
        <v>42410</v>
      </c>
      <c r="AW2213" t="s">
        <v>54</v>
      </c>
      <c r="AX2213" t="str">
        <f t="shared" si="289"/>
        <v>FOR</v>
      </c>
      <c r="AY2213" t="s">
        <v>55</v>
      </c>
    </row>
    <row r="2214" spans="1:51" hidden="1">
      <c r="A2214">
        <v>102885</v>
      </c>
      <c r="B2214" t="s">
        <v>326</v>
      </c>
      <c r="C2214" t="str">
        <f t="shared" si="288"/>
        <v>00488410010</v>
      </c>
      <c r="D2214" t="str">
        <f t="shared" si="288"/>
        <v>00488410010</v>
      </c>
      <c r="E2214" t="s">
        <v>52</v>
      </c>
      <c r="F2214">
        <v>2015</v>
      </c>
      <c r="G2214" t="str">
        <f>"          8T00919054"</f>
        <v xml:space="preserve">          8T00919054</v>
      </c>
      <c r="H2214" s="3">
        <v>42345</v>
      </c>
      <c r="I2214" s="3">
        <v>42359</v>
      </c>
      <c r="J2214" s="3">
        <v>42359</v>
      </c>
      <c r="K2214" s="3">
        <v>42419</v>
      </c>
      <c r="L2214"/>
      <c r="N2214"/>
      <c r="O2214">
        <v>145.74</v>
      </c>
      <c r="P2214">
        <v>-9</v>
      </c>
      <c r="Q2214" s="4">
        <v>-1311.66</v>
      </c>
      <c r="R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 s="3">
        <v>42562</v>
      </c>
      <c r="AC2214" t="s">
        <v>53</v>
      </c>
      <c r="AD2214" t="s">
        <v>53</v>
      </c>
      <c r="AK2214">
        <v>0</v>
      </c>
      <c r="AU2214" s="3">
        <v>42410</v>
      </c>
      <c r="AV2214" s="3">
        <v>42410</v>
      </c>
      <c r="AW2214" t="s">
        <v>54</v>
      </c>
      <c r="AX2214" t="str">
        <f t="shared" si="289"/>
        <v>FOR</v>
      </c>
      <c r="AY2214" t="s">
        <v>55</v>
      </c>
    </row>
    <row r="2215" spans="1:51" hidden="1">
      <c r="A2215">
        <v>102885</v>
      </c>
      <c r="B2215" t="s">
        <v>326</v>
      </c>
      <c r="C2215" t="str">
        <f t="shared" si="288"/>
        <v>00488410010</v>
      </c>
      <c r="D2215" t="str">
        <f t="shared" si="288"/>
        <v>00488410010</v>
      </c>
      <c r="E2215" t="s">
        <v>52</v>
      </c>
      <c r="F2215">
        <v>2015</v>
      </c>
      <c r="G2215" t="str">
        <f>"          8T00920165"</f>
        <v xml:space="preserve">          8T00920165</v>
      </c>
      <c r="H2215" s="3">
        <v>42345</v>
      </c>
      <c r="I2215" s="3">
        <v>42359</v>
      </c>
      <c r="J2215" s="3">
        <v>42359</v>
      </c>
      <c r="K2215" s="3">
        <v>42419</v>
      </c>
      <c r="L2215"/>
      <c r="N2215"/>
      <c r="O2215">
        <v>104.4</v>
      </c>
      <c r="P2215">
        <v>-9</v>
      </c>
      <c r="Q2215">
        <v>-939.6</v>
      </c>
      <c r="R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 s="3">
        <v>42562</v>
      </c>
      <c r="AC2215" t="s">
        <v>53</v>
      </c>
      <c r="AD2215" t="s">
        <v>53</v>
      </c>
      <c r="AK2215">
        <v>0</v>
      </c>
      <c r="AU2215" s="3">
        <v>42410</v>
      </c>
      <c r="AV2215" s="3">
        <v>42410</v>
      </c>
      <c r="AW2215" t="s">
        <v>54</v>
      </c>
      <c r="AX2215" t="str">
        <f t="shared" si="289"/>
        <v>FOR</v>
      </c>
      <c r="AY2215" t="s">
        <v>55</v>
      </c>
    </row>
    <row r="2216" spans="1:51" hidden="1">
      <c r="A2216">
        <v>102885</v>
      </c>
      <c r="B2216" t="s">
        <v>326</v>
      </c>
      <c r="C2216" t="str">
        <f t="shared" si="288"/>
        <v>00488410010</v>
      </c>
      <c r="D2216" t="str">
        <f t="shared" si="288"/>
        <v>00488410010</v>
      </c>
      <c r="E2216" t="s">
        <v>52</v>
      </c>
      <c r="F2216">
        <v>2015</v>
      </c>
      <c r="G2216" t="str">
        <f>"          8T00920424"</f>
        <v xml:space="preserve">          8T00920424</v>
      </c>
      <c r="H2216" s="3">
        <v>42345</v>
      </c>
      <c r="I2216" s="3">
        <v>42359</v>
      </c>
      <c r="J2216" s="3">
        <v>42359</v>
      </c>
      <c r="K2216" s="3">
        <v>42419</v>
      </c>
      <c r="L2216"/>
      <c r="N2216"/>
      <c r="O2216" s="4">
        <v>1300.51</v>
      </c>
      <c r="P2216">
        <v>-9</v>
      </c>
      <c r="Q2216" s="4">
        <v>-11704.59</v>
      </c>
      <c r="R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 s="3">
        <v>42562</v>
      </c>
      <c r="AC2216" t="s">
        <v>53</v>
      </c>
      <c r="AD2216" t="s">
        <v>53</v>
      </c>
      <c r="AK2216">
        <v>0</v>
      </c>
      <c r="AU2216" s="3">
        <v>42410</v>
      </c>
      <c r="AV2216" s="3">
        <v>42410</v>
      </c>
      <c r="AW2216" t="s">
        <v>54</v>
      </c>
      <c r="AX2216" t="str">
        <f t="shared" si="289"/>
        <v>FOR</v>
      </c>
      <c r="AY2216" t="s">
        <v>55</v>
      </c>
    </row>
    <row r="2217" spans="1:51" hidden="1">
      <c r="A2217">
        <v>102885</v>
      </c>
      <c r="B2217" t="s">
        <v>326</v>
      </c>
      <c r="C2217" t="str">
        <f t="shared" si="288"/>
        <v>00488410010</v>
      </c>
      <c r="D2217" t="str">
        <f t="shared" si="288"/>
        <v>00488410010</v>
      </c>
      <c r="E2217" t="s">
        <v>52</v>
      </c>
      <c r="F2217">
        <v>2015</v>
      </c>
      <c r="G2217" t="str">
        <f>"          8T00920998"</f>
        <v xml:space="preserve">          8T00920998</v>
      </c>
      <c r="H2217" s="3">
        <v>42345</v>
      </c>
      <c r="I2217" s="3">
        <v>42359</v>
      </c>
      <c r="J2217" s="3">
        <v>42359</v>
      </c>
      <c r="K2217" s="3">
        <v>42419</v>
      </c>
      <c r="L2217"/>
      <c r="N2217"/>
      <c r="O2217">
        <v>537.11</v>
      </c>
      <c r="P2217">
        <v>-9</v>
      </c>
      <c r="Q2217" s="4">
        <v>-4833.99</v>
      </c>
      <c r="R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 s="3">
        <v>42562</v>
      </c>
      <c r="AC2217" t="s">
        <v>53</v>
      </c>
      <c r="AD2217" t="s">
        <v>53</v>
      </c>
      <c r="AK2217">
        <v>0</v>
      </c>
      <c r="AU2217" s="3">
        <v>42410</v>
      </c>
      <c r="AV2217" s="3">
        <v>42410</v>
      </c>
      <c r="AW2217" t="s">
        <v>54</v>
      </c>
      <c r="AX2217" t="str">
        <f t="shared" si="289"/>
        <v>FOR</v>
      </c>
      <c r="AY2217" t="s">
        <v>55</v>
      </c>
    </row>
    <row r="2218" spans="1:51" hidden="1">
      <c r="A2218">
        <v>102885</v>
      </c>
      <c r="B2218" t="s">
        <v>326</v>
      </c>
      <c r="C2218" t="str">
        <f t="shared" si="288"/>
        <v>00488410010</v>
      </c>
      <c r="D2218" t="str">
        <f t="shared" si="288"/>
        <v>00488410010</v>
      </c>
      <c r="E2218" t="s">
        <v>52</v>
      </c>
      <c r="F2218">
        <v>2015</v>
      </c>
      <c r="G2218" t="str">
        <f>"          8T00921078"</f>
        <v xml:space="preserve">          8T00921078</v>
      </c>
      <c r="H2218" s="3">
        <v>42345</v>
      </c>
      <c r="I2218" s="3">
        <v>42359</v>
      </c>
      <c r="J2218" s="3">
        <v>42359</v>
      </c>
      <c r="K2218" s="3">
        <v>42419</v>
      </c>
      <c r="L2218"/>
      <c r="N2218"/>
      <c r="O2218">
        <v>42.97</v>
      </c>
      <c r="P2218">
        <v>-9</v>
      </c>
      <c r="Q2218">
        <v>-386.73</v>
      </c>
      <c r="R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 s="3">
        <v>42562</v>
      </c>
      <c r="AC2218" t="s">
        <v>53</v>
      </c>
      <c r="AD2218" t="s">
        <v>53</v>
      </c>
      <c r="AK2218">
        <v>0</v>
      </c>
      <c r="AU2218" s="3">
        <v>42410</v>
      </c>
      <c r="AV2218" s="3">
        <v>42410</v>
      </c>
      <c r="AW2218" t="s">
        <v>54</v>
      </c>
      <c r="AX2218" t="str">
        <f t="shared" si="289"/>
        <v>FOR</v>
      </c>
      <c r="AY2218" t="s">
        <v>55</v>
      </c>
    </row>
    <row r="2219" spans="1:51" hidden="1">
      <c r="A2219">
        <v>102885</v>
      </c>
      <c r="B2219" t="s">
        <v>326</v>
      </c>
      <c r="C2219" t="str">
        <f t="shared" si="288"/>
        <v>00488410010</v>
      </c>
      <c r="D2219" t="str">
        <f t="shared" si="288"/>
        <v>00488410010</v>
      </c>
      <c r="E2219" t="s">
        <v>52</v>
      </c>
      <c r="F2219">
        <v>2015</v>
      </c>
      <c r="G2219" t="str">
        <f>"          8T00921419"</f>
        <v xml:space="preserve">          8T00921419</v>
      </c>
      <c r="H2219" s="3">
        <v>42345</v>
      </c>
      <c r="I2219" s="3">
        <v>42359</v>
      </c>
      <c r="J2219" s="3">
        <v>42359</v>
      </c>
      <c r="K2219" s="3">
        <v>42419</v>
      </c>
      <c r="L2219"/>
      <c r="N2219"/>
      <c r="O2219">
        <v>42.97</v>
      </c>
      <c r="P2219">
        <v>-9</v>
      </c>
      <c r="Q2219">
        <v>-386.73</v>
      </c>
      <c r="R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 s="3">
        <v>42562</v>
      </c>
      <c r="AC2219" t="s">
        <v>53</v>
      </c>
      <c r="AD2219" t="s">
        <v>53</v>
      </c>
      <c r="AK2219">
        <v>0</v>
      </c>
      <c r="AU2219" s="3">
        <v>42410</v>
      </c>
      <c r="AV2219" s="3">
        <v>42410</v>
      </c>
      <c r="AW2219" t="s">
        <v>54</v>
      </c>
      <c r="AX2219" t="str">
        <f t="shared" si="289"/>
        <v>FOR</v>
      </c>
      <c r="AY2219" t="s">
        <v>55</v>
      </c>
    </row>
    <row r="2220" spans="1:51" hidden="1">
      <c r="A2220">
        <v>102885</v>
      </c>
      <c r="B2220" t="s">
        <v>326</v>
      </c>
      <c r="C2220" t="str">
        <f t="shared" si="288"/>
        <v>00488410010</v>
      </c>
      <c r="D2220" t="str">
        <f t="shared" si="288"/>
        <v>00488410010</v>
      </c>
      <c r="E2220" t="s">
        <v>52</v>
      </c>
      <c r="F2220">
        <v>2015</v>
      </c>
      <c r="G2220" t="str">
        <f>"          8T00922456"</f>
        <v xml:space="preserve">          8T00922456</v>
      </c>
      <c r="H2220" s="3">
        <v>42345</v>
      </c>
      <c r="I2220" s="3">
        <v>42359</v>
      </c>
      <c r="J2220" s="3">
        <v>42359</v>
      </c>
      <c r="K2220" s="3">
        <v>42419</v>
      </c>
      <c r="L2220"/>
      <c r="N2220"/>
      <c r="O2220" s="4">
        <v>1118.98</v>
      </c>
      <c r="P2220">
        <v>-9</v>
      </c>
      <c r="Q2220" s="4">
        <v>-10070.82</v>
      </c>
      <c r="R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 s="3">
        <v>42562</v>
      </c>
      <c r="AC2220" t="s">
        <v>53</v>
      </c>
      <c r="AD2220" t="s">
        <v>53</v>
      </c>
      <c r="AK2220">
        <v>0</v>
      </c>
      <c r="AU2220" s="3">
        <v>42410</v>
      </c>
      <c r="AV2220" s="3">
        <v>42410</v>
      </c>
      <c r="AW2220" t="s">
        <v>54</v>
      </c>
      <c r="AX2220" t="str">
        <f t="shared" si="289"/>
        <v>FOR</v>
      </c>
      <c r="AY2220" t="s">
        <v>55</v>
      </c>
    </row>
    <row r="2221" spans="1:51" hidden="1">
      <c r="A2221">
        <v>102885</v>
      </c>
      <c r="B2221" t="s">
        <v>326</v>
      </c>
      <c r="C2221" t="str">
        <f t="shared" si="288"/>
        <v>00488410010</v>
      </c>
      <c r="D2221" t="str">
        <f t="shared" si="288"/>
        <v>00488410010</v>
      </c>
      <c r="E2221" t="s">
        <v>52</v>
      </c>
      <c r="F2221">
        <v>2015</v>
      </c>
      <c r="G2221" t="str">
        <f>"     220816800024756"</f>
        <v xml:space="preserve">     220816800024756</v>
      </c>
      <c r="H2221" s="3">
        <v>42345</v>
      </c>
      <c r="I2221" s="3">
        <v>42368</v>
      </c>
      <c r="J2221" s="3">
        <v>42361</v>
      </c>
      <c r="K2221" s="3">
        <v>42421</v>
      </c>
      <c r="L2221"/>
      <c r="N2221"/>
      <c r="O2221" s="4">
        <v>9167.56</v>
      </c>
      <c r="P2221">
        <v>-11</v>
      </c>
      <c r="Q2221" s="4">
        <v>-100843.16</v>
      </c>
      <c r="R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 s="3">
        <v>42562</v>
      </c>
      <c r="AC2221" t="s">
        <v>53</v>
      </c>
      <c r="AD2221" t="s">
        <v>53</v>
      </c>
      <c r="AK2221">
        <v>0</v>
      </c>
      <c r="AU2221" s="3">
        <v>42410</v>
      </c>
      <c r="AV2221" s="3">
        <v>42410</v>
      </c>
      <c r="AW2221" t="s">
        <v>54</v>
      </c>
      <c r="AX2221" t="str">
        <f t="shared" si="289"/>
        <v>FOR</v>
      </c>
      <c r="AY2221" t="s">
        <v>55</v>
      </c>
    </row>
    <row r="2222" spans="1:51" hidden="1">
      <c r="A2222">
        <v>102885</v>
      </c>
      <c r="B2222" t="s">
        <v>326</v>
      </c>
      <c r="C2222" t="str">
        <f t="shared" si="288"/>
        <v>00488410010</v>
      </c>
      <c r="D2222" t="str">
        <f t="shared" si="288"/>
        <v>00488410010</v>
      </c>
      <c r="E2222" t="s">
        <v>52</v>
      </c>
      <c r="F2222">
        <v>2015</v>
      </c>
      <c r="G2222" t="str">
        <f>"     820151114000077"</f>
        <v xml:space="preserve">     820151114000077</v>
      </c>
      <c r="H2222" s="3">
        <v>42314</v>
      </c>
      <c r="I2222" s="3">
        <v>42320</v>
      </c>
      <c r="J2222" s="3">
        <v>42318</v>
      </c>
      <c r="K2222" s="3">
        <v>42378</v>
      </c>
      <c r="L2222"/>
      <c r="N2222"/>
      <c r="O2222">
        <v>46.04</v>
      </c>
      <c r="P2222">
        <v>37</v>
      </c>
      <c r="Q2222" s="4">
        <v>1703.48</v>
      </c>
      <c r="R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 s="3">
        <v>42562</v>
      </c>
      <c r="AC2222" t="s">
        <v>53</v>
      </c>
      <c r="AD2222" t="s">
        <v>53</v>
      </c>
      <c r="AK2222">
        <v>0</v>
      </c>
      <c r="AU2222" s="3">
        <v>42415</v>
      </c>
      <c r="AV2222" s="3">
        <v>42415</v>
      </c>
      <c r="AW2222" t="s">
        <v>54</v>
      </c>
      <c r="AX2222" t="str">
        <f t="shared" si="289"/>
        <v>FOR</v>
      </c>
      <c r="AY2222" t="s">
        <v>55</v>
      </c>
    </row>
    <row r="2223" spans="1:51" hidden="1">
      <c r="A2223">
        <v>102885</v>
      </c>
      <c r="B2223" t="s">
        <v>326</v>
      </c>
      <c r="C2223" t="str">
        <f t="shared" si="288"/>
        <v>00488410010</v>
      </c>
      <c r="D2223" t="str">
        <f t="shared" si="288"/>
        <v>00488410010</v>
      </c>
      <c r="E2223" t="s">
        <v>52</v>
      </c>
      <c r="F2223">
        <v>2015</v>
      </c>
      <c r="G2223" t="str">
        <f>"     820151114000079"</f>
        <v xml:space="preserve">     820151114000079</v>
      </c>
      <c r="H2223" s="3">
        <v>42314</v>
      </c>
      <c r="I2223" s="3">
        <v>42320</v>
      </c>
      <c r="J2223" s="3">
        <v>42318</v>
      </c>
      <c r="K2223" s="3">
        <v>42378</v>
      </c>
      <c r="L2223"/>
      <c r="N2223"/>
      <c r="O2223">
        <v>108.53</v>
      </c>
      <c r="P2223">
        <v>37</v>
      </c>
      <c r="Q2223" s="4">
        <v>4015.61</v>
      </c>
      <c r="R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 s="3">
        <v>42562</v>
      </c>
      <c r="AC2223" t="s">
        <v>53</v>
      </c>
      <c r="AD2223" t="s">
        <v>53</v>
      </c>
      <c r="AK2223">
        <v>0</v>
      </c>
      <c r="AU2223" s="3">
        <v>42415</v>
      </c>
      <c r="AV2223" s="3">
        <v>42415</v>
      </c>
      <c r="AW2223" t="s">
        <v>54</v>
      </c>
      <c r="AX2223" t="str">
        <f t="shared" si="289"/>
        <v>FOR</v>
      </c>
      <c r="AY2223" t="s">
        <v>55</v>
      </c>
    </row>
    <row r="2224" spans="1:51">
      <c r="A2224">
        <v>102885</v>
      </c>
      <c r="B2224" t="s">
        <v>326</v>
      </c>
      <c r="C2224" t="str">
        <f t="shared" si="288"/>
        <v>00488410010</v>
      </c>
      <c r="D2224" t="str">
        <f t="shared" si="288"/>
        <v>00488410010</v>
      </c>
      <c r="E2224" t="s">
        <v>52</v>
      </c>
      <c r="F2224">
        <v>2016</v>
      </c>
      <c r="G2224" t="str">
        <f>"     220816800001980"</f>
        <v xml:space="preserve">     220816800001980</v>
      </c>
      <c r="H2224" s="3">
        <v>42405</v>
      </c>
      <c r="I2224" s="3">
        <v>42419</v>
      </c>
      <c r="J2224" s="3">
        <v>42417</v>
      </c>
      <c r="K2224" s="3">
        <v>42477</v>
      </c>
      <c r="L2224" s="5">
        <v>12004.62</v>
      </c>
      <c r="M2224">
        <v>10</v>
      </c>
      <c r="N2224" s="5">
        <v>120046.2</v>
      </c>
      <c r="O2224" s="4">
        <v>12004.62</v>
      </c>
      <c r="P2224">
        <v>10</v>
      </c>
      <c r="Q2224" s="4">
        <v>120046.2</v>
      </c>
      <c r="R2224">
        <v>0</v>
      </c>
      <c r="V2224">
        <v>0</v>
      </c>
      <c r="W2224">
        <v>0</v>
      </c>
      <c r="X2224">
        <v>0</v>
      </c>
      <c r="Y2224" s="4">
        <v>12004.62</v>
      </c>
      <c r="Z2224" s="4">
        <v>12004.62</v>
      </c>
      <c r="AA2224" s="4">
        <v>12004.62</v>
      </c>
      <c r="AB2224" s="3">
        <v>42562</v>
      </c>
      <c r="AC2224" t="s">
        <v>53</v>
      </c>
      <c r="AD2224" t="s">
        <v>53</v>
      </c>
      <c r="AK2224">
        <v>0</v>
      </c>
      <c r="AU2224" s="3">
        <v>42487</v>
      </c>
      <c r="AV2224" s="3">
        <v>42487</v>
      </c>
      <c r="AW2224" t="s">
        <v>54</v>
      </c>
      <c r="AX2224" t="str">
        <f t="shared" si="289"/>
        <v>FOR</v>
      </c>
      <c r="AY2224" t="s">
        <v>55</v>
      </c>
    </row>
    <row r="2225" spans="1:51" hidden="1">
      <c r="A2225">
        <v>102885</v>
      </c>
      <c r="B2225" t="s">
        <v>326</v>
      </c>
      <c r="C2225" t="str">
        <f t="shared" si="288"/>
        <v>00488410010</v>
      </c>
      <c r="D2225" t="str">
        <f t="shared" si="288"/>
        <v>00488410010</v>
      </c>
      <c r="E2225" t="s">
        <v>52</v>
      </c>
      <c r="F2225">
        <v>2016</v>
      </c>
      <c r="G2225" t="str">
        <f>"     820160114000758"</f>
        <v xml:space="preserve">     820160114000758</v>
      </c>
      <c r="H2225" s="3">
        <v>42382</v>
      </c>
      <c r="I2225" s="3">
        <v>42388</v>
      </c>
      <c r="J2225" s="3">
        <v>42384</v>
      </c>
      <c r="K2225" s="3">
        <v>42444</v>
      </c>
      <c r="L2225"/>
      <c r="N2225"/>
      <c r="O2225" s="4">
        <v>1361.32</v>
      </c>
      <c r="P2225">
        <v>-29</v>
      </c>
      <c r="Q2225" s="4">
        <v>-39478.28</v>
      </c>
      <c r="R2225">
        <v>0</v>
      </c>
      <c r="V2225">
        <v>0</v>
      </c>
      <c r="W2225">
        <v>0</v>
      </c>
      <c r="X2225">
        <v>0</v>
      </c>
      <c r="Y2225">
        <v>-286.18</v>
      </c>
      <c r="Z2225" s="4">
        <v>1361.32</v>
      </c>
      <c r="AA2225" s="4">
        <v>1361.32</v>
      </c>
      <c r="AB2225" s="3">
        <v>42562</v>
      </c>
      <c r="AC2225" t="s">
        <v>53</v>
      </c>
      <c r="AD2225" t="s">
        <v>53</v>
      </c>
      <c r="AK2225">
        <v>0</v>
      </c>
      <c r="AU2225" s="3">
        <v>42415</v>
      </c>
      <c r="AV2225" s="3">
        <v>42415</v>
      </c>
      <c r="AW2225" t="s">
        <v>54</v>
      </c>
      <c r="AX2225" t="str">
        <f t="shared" si="289"/>
        <v>FOR</v>
      </c>
      <c r="AY2225" t="s">
        <v>55</v>
      </c>
    </row>
    <row r="2226" spans="1:51">
      <c r="A2226">
        <v>102885</v>
      </c>
      <c r="B2226" t="s">
        <v>326</v>
      </c>
      <c r="C2226" t="str">
        <f t="shared" si="288"/>
        <v>00488410010</v>
      </c>
      <c r="D2226" t="str">
        <f t="shared" si="288"/>
        <v>00488410010</v>
      </c>
      <c r="E2226" t="s">
        <v>52</v>
      </c>
      <c r="F2226">
        <v>2016</v>
      </c>
      <c r="G2226" t="str">
        <f>"    6820160314000625"</f>
        <v xml:space="preserve">    6820160314000625</v>
      </c>
      <c r="H2226" s="3">
        <v>42453</v>
      </c>
      <c r="I2226" s="3">
        <v>42464</v>
      </c>
      <c r="J2226" s="3">
        <v>42458</v>
      </c>
      <c r="K2226" s="3">
        <v>42518</v>
      </c>
      <c r="L2226" s="5">
        <v>11000.48</v>
      </c>
      <c r="M2226">
        <v>9</v>
      </c>
      <c r="N2226" s="5">
        <v>99004.32</v>
      </c>
      <c r="O2226" s="4">
        <v>11000.48</v>
      </c>
      <c r="P2226">
        <v>9</v>
      </c>
      <c r="Q2226" s="4">
        <v>99004.32</v>
      </c>
      <c r="R2226">
        <v>0</v>
      </c>
      <c r="V2226">
        <v>0</v>
      </c>
      <c r="W2226" s="4">
        <v>11000.48</v>
      </c>
      <c r="X2226">
        <v>0</v>
      </c>
      <c r="Y2226" s="4">
        <v>-2278.52</v>
      </c>
      <c r="Z2226" s="4">
        <v>11000.48</v>
      </c>
      <c r="AA2226" s="4">
        <v>11000.48</v>
      </c>
      <c r="AB2226" s="3">
        <v>42562</v>
      </c>
      <c r="AC2226" t="s">
        <v>53</v>
      </c>
      <c r="AD2226" t="s">
        <v>53</v>
      </c>
      <c r="AK2226">
        <v>0</v>
      </c>
      <c r="AU2226" s="3">
        <v>42527</v>
      </c>
      <c r="AV2226" s="3">
        <v>42527</v>
      </c>
      <c r="AW2226" t="s">
        <v>54</v>
      </c>
      <c r="AX2226" t="str">
        <f t="shared" si="289"/>
        <v>FOR</v>
      </c>
      <c r="AY2226" t="s">
        <v>55</v>
      </c>
    </row>
    <row r="2227" spans="1:51">
      <c r="A2227">
        <v>102885</v>
      </c>
      <c r="B2227" t="s">
        <v>326</v>
      </c>
      <c r="C2227" t="str">
        <f t="shared" si="288"/>
        <v>00488410010</v>
      </c>
      <c r="D2227" t="str">
        <f t="shared" si="288"/>
        <v>00488410010</v>
      </c>
      <c r="E2227" t="s">
        <v>52</v>
      </c>
      <c r="F2227">
        <v>2016</v>
      </c>
      <c r="G2227" t="str">
        <f>"    6820160314000626"</f>
        <v xml:space="preserve">    6820160314000626</v>
      </c>
      <c r="H2227" s="3">
        <v>42453</v>
      </c>
      <c r="I2227" s="3">
        <v>42464</v>
      </c>
      <c r="J2227" s="3">
        <v>42458</v>
      </c>
      <c r="K2227" s="3">
        <v>42518</v>
      </c>
      <c r="L2227" s="5">
        <v>1201.25</v>
      </c>
      <c r="M2227">
        <v>9</v>
      </c>
      <c r="N2227" s="5">
        <v>10811.25</v>
      </c>
      <c r="O2227" s="4">
        <v>1201.25</v>
      </c>
      <c r="P2227">
        <v>9</v>
      </c>
      <c r="Q2227" s="4">
        <v>10811.25</v>
      </c>
      <c r="R2227">
        <v>0</v>
      </c>
      <c r="V2227">
        <v>0</v>
      </c>
      <c r="W2227" s="4">
        <v>1201.25</v>
      </c>
      <c r="X2227">
        <v>0</v>
      </c>
      <c r="Y2227">
        <v>-246.25</v>
      </c>
      <c r="Z2227" s="4">
        <v>1201.25</v>
      </c>
      <c r="AA2227" s="4">
        <v>1201.25</v>
      </c>
      <c r="AB2227" s="3">
        <v>42562</v>
      </c>
      <c r="AC2227" t="s">
        <v>53</v>
      </c>
      <c r="AD2227" t="s">
        <v>53</v>
      </c>
      <c r="AK2227">
        <v>0</v>
      </c>
      <c r="AU2227" s="3">
        <v>42527</v>
      </c>
      <c r="AV2227" s="3">
        <v>42527</v>
      </c>
      <c r="AW2227" t="s">
        <v>54</v>
      </c>
      <c r="AX2227" t="str">
        <f t="shared" si="289"/>
        <v>FOR</v>
      </c>
      <c r="AY2227" t="s">
        <v>55</v>
      </c>
    </row>
    <row r="2228" spans="1:51" hidden="1">
      <c r="A2228">
        <v>102916</v>
      </c>
      <c r="B2228" t="s">
        <v>327</v>
      </c>
      <c r="C2228" t="str">
        <f t="shared" ref="C2228:D2239" si="290">"05673940630"</f>
        <v>05673940630</v>
      </c>
      <c r="D2228" t="str">
        <f t="shared" si="290"/>
        <v>05673940630</v>
      </c>
      <c r="E2228" t="s">
        <v>52</v>
      </c>
      <c r="F2228">
        <v>2015</v>
      </c>
      <c r="G2228" t="str">
        <f>"                   2"</f>
        <v xml:space="preserve">                   2</v>
      </c>
      <c r="H2228" s="3">
        <v>42102</v>
      </c>
      <c r="I2228" s="3">
        <v>42115</v>
      </c>
      <c r="J2228" s="3">
        <v>42110</v>
      </c>
      <c r="K2228" s="3">
        <v>42170</v>
      </c>
      <c r="L2228"/>
      <c r="N2228"/>
      <c r="O2228" s="4">
        <v>1980</v>
      </c>
      <c r="P2228">
        <v>260</v>
      </c>
      <c r="Q2228" s="4">
        <v>514800</v>
      </c>
      <c r="R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 s="3">
        <v>42562</v>
      </c>
      <c r="AC2228" t="s">
        <v>53</v>
      </c>
      <c r="AD2228" t="s">
        <v>53</v>
      </c>
      <c r="AK2228">
        <v>0</v>
      </c>
      <c r="AU2228" s="3">
        <v>42430</v>
      </c>
      <c r="AV2228" s="3">
        <v>42430</v>
      </c>
      <c r="AW2228" t="s">
        <v>54</v>
      </c>
      <c r="AX2228" t="str">
        <f t="shared" si="289"/>
        <v>FOR</v>
      </c>
      <c r="AY2228" t="s">
        <v>55</v>
      </c>
    </row>
    <row r="2229" spans="1:51">
      <c r="A2229">
        <v>102916</v>
      </c>
      <c r="B2229" t="s">
        <v>327</v>
      </c>
      <c r="C2229" t="str">
        <f t="shared" si="290"/>
        <v>05673940630</v>
      </c>
      <c r="D2229" t="str">
        <f t="shared" si="290"/>
        <v>05673940630</v>
      </c>
      <c r="E2229" t="s">
        <v>52</v>
      </c>
      <c r="F2229">
        <v>2015</v>
      </c>
      <c r="G2229" t="str">
        <f>"                 140"</f>
        <v xml:space="preserve">                 140</v>
      </c>
      <c r="H2229" s="3">
        <v>42159</v>
      </c>
      <c r="I2229" s="3">
        <v>42165</v>
      </c>
      <c r="J2229" s="3">
        <v>42164</v>
      </c>
      <c r="K2229" s="3">
        <v>42224</v>
      </c>
      <c r="L2229" s="1">
        <v>790</v>
      </c>
      <c r="M2229">
        <v>303</v>
      </c>
      <c r="N2229" s="5">
        <v>239370</v>
      </c>
      <c r="O2229">
        <v>790</v>
      </c>
      <c r="P2229">
        <v>303</v>
      </c>
      <c r="Q2229" s="4">
        <v>239370</v>
      </c>
      <c r="R2229">
        <v>173.8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 s="3">
        <v>42562</v>
      </c>
      <c r="AC2229" t="s">
        <v>53</v>
      </c>
      <c r="AD2229" t="s">
        <v>53</v>
      </c>
      <c r="AK2229">
        <v>173.8</v>
      </c>
      <c r="AU2229" s="3">
        <v>42527</v>
      </c>
      <c r="AV2229" s="3">
        <v>42527</v>
      </c>
      <c r="AW2229" t="s">
        <v>54</v>
      </c>
      <c r="AX2229" t="str">
        <f t="shared" si="289"/>
        <v>FOR</v>
      </c>
      <c r="AY2229" t="s">
        <v>55</v>
      </c>
    </row>
    <row r="2230" spans="1:51">
      <c r="A2230">
        <v>102916</v>
      </c>
      <c r="B2230" t="s">
        <v>327</v>
      </c>
      <c r="C2230" t="str">
        <f t="shared" si="290"/>
        <v>05673940630</v>
      </c>
      <c r="D2230" t="str">
        <f t="shared" si="290"/>
        <v>05673940630</v>
      </c>
      <c r="E2230" t="s">
        <v>52</v>
      </c>
      <c r="F2230">
        <v>2015</v>
      </c>
      <c r="G2230" t="str">
        <f>"                 141"</f>
        <v xml:space="preserve">                 141</v>
      </c>
      <c r="H2230" s="3">
        <v>42159</v>
      </c>
      <c r="I2230" s="3">
        <v>42165</v>
      </c>
      <c r="J2230" s="3">
        <v>42164</v>
      </c>
      <c r="K2230" s="3">
        <v>42224</v>
      </c>
      <c r="L2230" s="1">
        <v>990</v>
      </c>
      <c r="M2230">
        <v>303</v>
      </c>
      <c r="N2230" s="5">
        <v>299970</v>
      </c>
      <c r="O2230">
        <v>990</v>
      </c>
      <c r="P2230">
        <v>303</v>
      </c>
      <c r="Q2230" s="4">
        <v>299970</v>
      </c>
      <c r="R2230">
        <v>217.8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 s="3">
        <v>42562</v>
      </c>
      <c r="AC2230" t="s">
        <v>53</v>
      </c>
      <c r="AD2230" t="s">
        <v>53</v>
      </c>
      <c r="AK2230">
        <v>217.8</v>
      </c>
      <c r="AU2230" s="3">
        <v>42527</v>
      </c>
      <c r="AV2230" s="3">
        <v>42527</v>
      </c>
      <c r="AW2230" t="s">
        <v>54</v>
      </c>
      <c r="AX2230" t="str">
        <f t="shared" si="289"/>
        <v>FOR</v>
      </c>
      <c r="AY2230" t="s">
        <v>55</v>
      </c>
    </row>
    <row r="2231" spans="1:51" hidden="1">
      <c r="A2231">
        <v>102916</v>
      </c>
      <c r="B2231" t="s">
        <v>327</v>
      </c>
      <c r="C2231" t="str">
        <f t="shared" si="290"/>
        <v>05673940630</v>
      </c>
      <c r="D2231" t="str">
        <f t="shared" si="290"/>
        <v>05673940630</v>
      </c>
      <c r="E2231" t="s">
        <v>52</v>
      </c>
      <c r="F2231">
        <v>2015</v>
      </c>
      <c r="G2231" t="str">
        <f>"                 157"</f>
        <v xml:space="preserve">                 157</v>
      </c>
      <c r="H2231" s="3">
        <v>42062</v>
      </c>
      <c r="I2231" s="3">
        <v>42080</v>
      </c>
      <c r="J2231" s="3">
        <v>42080</v>
      </c>
      <c r="K2231" s="3">
        <v>42140</v>
      </c>
      <c r="L2231"/>
      <c r="N2231"/>
      <c r="O2231">
        <v>870</v>
      </c>
      <c r="P2231">
        <v>268</v>
      </c>
      <c r="Q2231" s="4">
        <v>233160</v>
      </c>
      <c r="R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 s="3">
        <v>42562</v>
      </c>
      <c r="AC2231" t="s">
        <v>53</v>
      </c>
      <c r="AD2231" t="s">
        <v>53</v>
      </c>
      <c r="AK2231">
        <v>0</v>
      </c>
      <c r="AU2231" s="3">
        <v>42408</v>
      </c>
      <c r="AV2231" s="3">
        <v>42408</v>
      </c>
      <c r="AW2231" t="s">
        <v>54</v>
      </c>
      <c r="AX2231" t="str">
        <f t="shared" si="289"/>
        <v>FOR</v>
      </c>
      <c r="AY2231" t="s">
        <v>55</v>
      </c>
    </row>
    <row r="2232" spans="1:51">
      <c r="A2232">
        <v>102916</v>
      </c>
      <c r="B2232" t="s">
        <v>327</v>
      </c>
      <c r="C2232" t="str">
        <f t="shared" si="290"/>
        <v>05673940630</v>
      </c>
      <c r="D2232" t="str">
        <f t="shared" si="290"/>
        <v>05673940630</v>
      </c>
      <c r="E2232" t="s">
        <v>52</v>
      </c>
      <c r="F2232">
        <v>2015</v>
      </c>
      <c r="G2232" t="str">
        <f>"                 190"</f>
        <v xml:space="preserve">                 190</v>
      </c>
      <c r="H2232" s="3">
        <v>42179</v>
      </c>
      <c r="I2232" s="3">
        <v>42185</v>
      </c>
      <c r="J2232" s="3">
        <v>42181</v>
      </c>
      <c r="K2232" s="3">
        <v>42241</v>
      </c>
      <c r="L2232" s="1">
        <v>174</v>
      </c>
      <c r="M2232">
        <v>286</v>
      </c>
      <c r="N2232" s="5">
        <v>49764</v>
      </c>
      <c r="O2232">
        <v>174</v>
      </c>
      <c r="P2232">
        <v>286</v>
      </c>
      <c r="Q2232" s="4">
        <v>49764</v>
      </c>
      <c r="R2232">
        <v>38.28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 s="3">
        <v>42562</v>
      </c>
      <c r="AC2232" t="s">
        <v>53</v>
      </c>
      <c r="AD2232" t="s">
        <v>53</v>
      </c>
      <c r="AK2232">
        <v>38.28</v>
      </c>
      <c r="AU2232" s="3">
        <v>42527</v>
      </c>
      <c r="AV2232" s="3">
        <v>42527</v>
      </c>
      <c r="AW2232" t="s">
        <v>54</v>
      </c>
      <c r="AX2232" t="str">
        <f t="shared" si="289"/>
        <v>FOR</v>
      </c>
      <c r="AY2232" t="s">
        <v>55</v>
      </c>
    </row>
    <row r="2233" spans="1:51">
      <c r="A2233">
        <v>102916</v>
      </c>
      <c r="B2233" t="s">
        <v>327</v>
      </c>
      <c r="C2233" t="str">
        <f t="shared" si="290"/>
        <v>05673940630</v>
      </c>
      <c r="D2233" t="str">
        <f t="shared" si="290"/>
        <v>05673940630</v>
      </c>
      <c r="E2233" t="s">
        <v>52</v>
      </c>
      <c r="F2233">
        <v>2015</v>
      </c>
      <c r="G2233" t="str">
        <f>"                 191"</f>
        <v xml:space="preserve">                 191</v>
      </c>
      <c r="H2233" s="3">
        <v>42179</v>
      </c>
      <c r="I2233" s="3">
        <v>42185</v>
      </c>
      <c r="J2233" s="3">
        <v>42181</v>
      </c>
      <c r="K2233" s="3">
        <v>42241</v>
      </c>
      <c r="L2233" s="1">
        <v>990</v>
      </c>
      <c r="M2233">
        <v>286</v>
      </c>
      <c r="N2233" s="5">
        <v>283140</v>
      </c>
      <c r="O2233">
        <v>990</v>
      </c>
      <c r="P2233">
        <v>286</v>
      </c>
      <c r="Q2233" s="4">
        <v>283140</v>
      </c>
      <c r="R2233">
        <v>217.8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 s="3">
        <v>42562</v>
      </c>
      <c r="AC2233" t="s">
        <v>53</v>
      </c>
      <c r="AD2233" t="s">
        <v>53</v>
      </c>
      <c r="AK2233">
        <v>217.8</v>
      </c>
      <c r="AU2233" s="3">
        <v>42527</v>
      </c>
      <c r="AV2233" s="3">
        <v>42527</v>
      </c>
      <c r="AW2233" t="s">
        <v>54</v>
      </c>
      <c r="AX2233" t="str">
        <f t="shared" si="289"/>
        <v>FOR</v>
      </c>
      <c r="AY2233" t="s">
        <v>55</v>
      </c>
    </row>
    <row r="2234" spans="1:51">
      <c r="A2234">
        <v>102916</v>
      </c>
      <c r="B2234" t="s">
        <v>327</v>
      </c>
      <c r="C2234" t="str">
        <f t="shared" si="290"/>
        <v>05673940630</v>
      </c>
      <c r="D2234" t="str">
        <f t="shared" si="290"/>
        <v>05673940630</v>
      </c>
      <c r="E2234" t="s">
        <v>52</v>
      </c>
      <c r="F2234">
        <v>2015</v>
      </c>
      <c r="G2234" t="str">
        <f>"                 192"</f>
        <v xml:space="preserve">                 192</v>
      </c>
      <c r="H2234" s="3">
        <v>42179</v>
      </c>
      <c r="I2234" s="3">
        <v>42185</v>
      </c>
      <c r="J2234" s="3">
        <v>42181</v>
      </c>
      <c r="K2234" s="3">
        <v>42241</v>
      </c>
      <c r="L2234" s="1">
        <v>790</v>
      </c>
      <c r="M2234">
        <v>286</v>
      </c>
      <c r="N2234" s="5">
        <v>225940</v>
      </c>
      <c r="O2234">
        <v>790</v>
      </c>
      <c r="P2234">
        <v>286</v>
      </c>
      <c r="Q2234" s="4">
        <v>225940</v>
      </c>
      <c r="R2234">
        <v>173.8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 s="3">
        <v>42562</v>
      </c>
      <c r="AC2234" t="s">
        <v>53</v>
      </c>
      <c r="AD2234" t="s">
        <v>53</v>
      </c>
      <c r="AK2234">
        <v>173.8</v>
      </c>
      <c r="AU2234" s="3">
        <v>42527</v>
      </c>
      <c r="AV2234" s="3">
        <v>42527</v>
      </c>
      <c r="AW2234" t="s">
        <v>54</v>
      </c>
      <c r="AX2234" t="str">
        <f t="shared" si="289"/>
        <v>FOR</v>
      </c>
      <c r="AY2234" t="s">
        <v>55</v>
      </c>
    </row>
    <row r="2235" spans="1:51" hidden="1">
      <c r="A2235">
        <v>102916</v>
      </c>
      <c r="B2235" t="s">
        <v>327</v>
      </c>
      <c r="C2235" t="str">
        <f t="shared" si="290"/>
        <v>05673940630</v>
      </c>
      <c r="D2235" t="str">
        <f t="shared" si="290"/>
        <v>05673940630</v>
      </c>
      <c r="E2235" t="s">
        <v>52</v>
      </c>
      <c r="F2235">
        <v>2015</v>
      </c>
      <c r="G2235" t="str">
        <f>"                 299"</f>
        <v xml:space="preserve">                 299</v>
      </c>
      <c r="H2235" s="3">
        <v>42081</v>
      </c>
      <c r="I2235" s="3">
        <v>42094</v>
      </c>
      <c r="J2235" s="3">
        <v>42094</v>
      </c>
      <c r="K2235" s="3">
        <v>42154</v>
      </c>
      <c r="L2235"/>
      <c r="N2235"/>
      <c r="O2235">
        <v>790</v>
      </c>
      <c r="P2235">
        <v>261</v>
      </c>
      <c r="Q2235" s="4">
        <v>206190</v>
      </c>
      <c r="R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 s="3">
        <v>42562</v>
      </c>
      <c r="AC2235" t="s">
        <v>53</v>
      </c>
      <c r="AD2235" t="s">
        <v>53</v>
      </c>
      <c r="AK2235">
        <v>0</v>
      </c>
      <c r="AU2235" s="3">
        <v>42415</v>
      </c>
      <c r="AV2235" s="3">
        <v>42415</v>
      </c>
      <c r="AW2235" t="s">
        <v>54</v>
      </c>
      <c r="AX2235" t="str">
        <f t="shared" si="289"/>
        <v>FOR</v>
      </c>
      <c r="AY2235" t="s">
        <v>55</v>
      </c>
    </row>
    <row r="2236" spans="1:51" hidden="1">
      <c r="A2236">
        <v>102916</v>
      </c>
      <c r="B2236" t="s">
        <v>327</v>
      </c>
      <c r="C2236" t="str">
        <f t="shared" si="290"/>
        <v>05673940630</v>
      </c>
      <c r="D2236" t="str">
        <f t="shared" si="290"/>
        <v>05673940630</v>
      </c>
      <c r="E2236" t="s">
        <v>52</v>
      </c>
      <c r="F2236">
        <v>2015</v>
      </c>
      <c r="G2236" t="str">
        <f>"                 300"</f>
        <v xml:space="preserve">                 300</v>
      </c>
      <c r="H2236" s="3">
        <v>42081</v>
      </c>
      <c r="I2236" s="3">
        <v>42094</v>
      </c>
      <c r="J2236" s="3">
        <v>42094</v>
      </c>
      <c r="K2236" s="3">
        <v>42154</v>
      </c>
      <c r="L2236"/>
      <c r="N2236"/>
      <c r="O2236">
        <v>871.5</v>
      </c>
      <c r="P2236">
        <v>261</v>
      </c>
      <c r="Q2236" s="4">
        <v>227461.5</v>
      </c>
      <c r="R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 s="3">
        <v>42562</v>
      </c>
      <c r="AC2236" t="s">
        <v>53</v>
      </c>
      <c r="AD2236" t="s">
        <v>53</v>
      </c>
      <c r="AK2236">
        <v>0</v>
      </c>
      <c r="AU2236" s="3">
        <v>42415</v>
      </c>
      <c r="AV2236" s="3">
        <v>42415</v>
      </c>
      <c r="AW2236" t="s">
        <v>54</v>
      </c>
      <c r="AX2236" t="str">
        <f t="shared" si="289"/>
        <v>FOR</v>
      </c>
      <c r="AY2236" t="s">
        <v>55</v>
      </c>
    </row>
    <row r="2237" spans="1:51" hidden="1">
      <c r="A2237">
        <v>102916</v>
      </c>
      <c r="B2237" t="s">
        <v>327</v>
      </c>
      <c r="C2237" t="str">
        <f t="shared" si="290"/>
        <v>05673940630</v>
      </c>
      <c r="D2237" t="str">
        <f t="shared" si="290"/>
        <v>05673940630</v>
      </c>
      <c r="E2237" t="s">
        <v>52</v>
      </c>
      <c r="F2237">
        <v>2015</v>
      </c>
      <c r="G2237" t="str">
        <f>"                 301"</f>
        <v xml:space="preserve">                 301</v>
      </c>
      <c r="H2237" s="3">
        <v>42081</v>
      </c>
      <c r="I2237" s="3">
        <v>42094</v>
      </c>
      <c r="J2237" s="3">
        <v>42094</v>
      </c>
      <c r="K2237" s="3">
        <v>42154</v>
      </c>
      <c r="L2237"/>
      <c r="N2237"/>
      <c r="O2237">
        <v>870</v>
      </c>
      <c r="P2237">
        <v>261</v>
      </c>
      <c r="Q2237" s="4">
        <v>227070</v>
      </c>
      <c r="R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 s="3">
        <v>42562</v>
      </c>
      <c r="AC2237" t="s">
        <v>53</v>
      </c>
      <c r="AD2237" t="s">
        <v>53</v>
      </c>
      <c r="AK2237">
        <v>0</v>
      </c>
      <c r="AU2237" s="3">
        <v>42415</v>
      </c>
      <c r="AV2237" s="3">
        <v>42415</v>
      </c>
      <c r="AW2237" t="s">
        <v>54</v>
      </c>
      <c r="AX2237" t="str">
        <f t="shared" si="289"/>
        <v>FOR</v>
      </c>
      <c r="AY2237" t="s">
        <v>55</v>
      </c>
    </row>
    <row r="2238" spans="1:51" hidden="1">
      <c r="A2238">
        <v>102916</v>
      </c>
      <c r="B2238" t="s">
        <v>327</v>
      </c>
      <c r="C2238" t="str">
        <f t="shared" si="290"/>
        <v>05673940630</v>
      </c>
      <c r="D2238" t="str">
        <f t="shared" si="290"/>
        <v>05673940630</v>
      </c>
      <c r="E2238" t="s">
        <v>52</v>
      </c>
      <c r="F2238">
        <v>2015</v>
      </c>
      <c r="G2238" t="str">
        <f>"                 325"</f>
        <v xml:space="preserve">                 325</v>
      </c>
      <c r="H2238" s="3">
        <v>42093</v>
      </c>
      <c r="I2238" s="3">
        <v>42110</v>
      </c>
      <c r="J2238" s="3">
        <v>42110</v>
      </c>
      <c r="K2238" s="3">
        <v>42170</v>
      </c>
      <c r="L2238"/>
      <c r="N2238"/>
      <c r="O2238" s="4">
        <v>1624</v>
      </c>
      <c r="P2238">
        <v>245</v>
      </c>
      <c r="Q2238" s="4">
        <v>397880</v>
      </c>
      <c r="R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 s="3">
        <v>42562</v>
      </c>
      <c r="AC2238" t="s">
        <v>53</v>
      </c>
      <c r="AD2238" t="s">
        <v>53</v>
      </c>
      <c r="AK2238">
        <v>0</v>
      </c>
      <c r="AU2238" s="3">
        <v>42415</v>
      </c>
      <c r="AV2238" s="3">
        <v>42415</v>
      </c>
      <c r="AW2238" t="s">
        <v>54</v>
      </c>
      <c r="AX2238" t="str">
        <f t="shared" si="289"/>
        <v>FOR</v>
      </c>
      <c r="AY2238" t="s">
        <v>55</v>
      </c>
    </row>
    <row r="2239" spans="1:51" hidden="1">
      <c r="A2239">
        <v>102916</v>
      </c>
      <c r="B2239" t="s">
        <v>327</v>
      </c>
      <c r="C2239" t="str">
        <f t="shared" si="290"/>
        <v>05673940630</v>
      </c>
      <c r="D2239" t="str">
        <f t="shared" si="290"/>
        <v>05673940630</v>
      </c>
      <c r="E2239" t="s">
        <v>52</v>
      </c>
      <c r="F2239">
        <v>2015</v>
      </c>
      <c r="G2239" t="str">
        <f>"                 61."</f>
        <v xml:space="preserve">                 61.</v>
      </c>
      <c r="H2239" s="3">
        <v>42132</v>
      </c>
      <c r="I2239" s="3">
        <v>42138</v>
      </c>
      <c r="J2239" s="3">
        <v>42137</v>
      </c>
      <c r="K2239" s="3">
        <v>42197</v>
      </c>
      <c r="L2239"/>
      <c r="N2239"/>
      <c r="O2239">
        <v>870</v>
      </c>
      <c r="P2239">
        <v>255</v>
      </c>
      <c r="Q2239" s="4">
        <v>221850</v>
      </c>
      <c r="R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 s="3">
        <v>42562</v>
      </c>
      <c r="AC2239" t="s">
        <v>53</v>
      </c>
      <c r="AD2239" t="s">
        <v>53</v>
      </c>
      <c r="AK2239">
        <v>0</v>
      </c>
      <c r="AU2239" s="3">
        <v>42452</v>
      </c>
      <c r="AV2239" s="3">
        <v>42452</v>
      </c>
      <c r="AW2239" t="s">
        <v>54</v>
      </c>
      <c r="AX2239" t="str">
        <f t="shared" si="289"/>
        <v>FOR</v>
      </c>
      <c r="AY2239" t="s">
        <v>55</v>
      </c>
    </row>
    <row r="2240" spans="1:51">
      <c r="A2240">
        <v>103068</v>
      </c>
      <c r="B2240" t="s">
        <v>328</v>
      </c>
      <c r="C2240" t="str">
        <f t="shared" ref="C2240:D2245" si="291">"00832400154"</f>
        <v>00832400154</v>
      </c>
      <c r="D2240" t="str">
        <f t="shared" si="291"/>
        <v>00832400154</v>
      </c>
      <c r="E2240" t="s">
        <v>52</v>
      </c>
      <c r="F2240">
        <v>2012</v>
      </c>
      <c r="G2240" t="str">
        <f>"              950811"</f>
        <v xml:space="preserve">              950811</v>
      </c>
      <c r="H2240" s="3">
        <v>41184</v>
      </c>
      <c r="I2240" s="3">
        <v>41200</v>
      </c>
      <c r="J2240" s="3">
        <v>41200</v>
      </c>
      <c r="K2240" s="3">
        <v>41290</v>
      </c>
      <c r="L2240" s="5">
        <v>1415.7</v>
      </c>
      <c r="M2240">
        <v>1230</v>
      </c>
      <c r="N2240" s="5">
        <v>1741311</v>
      </c>
      <c r="O2240" s="4">
        <v>1415.7</v>
      </c>
      <c r="P2240">
        <v>1230</v>
      </c>
      <c r="Q2240" s="4">
        <v>1741311</v>
      </c>
      <c r="R2240">
        <v>0</v>
      </c>
      <c r="V2240">
        <v>-74.8</v>
      </c>
      <c r="W2240">
        <v>-74.8</v>
      </c>
      <c r="X2240">
        <v>-74.8</v>
      </c>
      <c r="Y2240">
        <v>-74.8</v>
      </c>
      <c r="Z2240">
        <v>-74.8</v>
      </c>
      <c r="AA2240">
        <v>-74.8</v>
      </c>
      <c r="AB2240" s="3">
        <v>42562</v>
      </c>
      <c r="AC2240" t="s">
        <v>53</v>
      </c>
      <c r="AD2240" t="s">
        <v>53</v>
      </c>
      <c r="AK2240">
        <v>0</v>
      </c>
      <c r="AU2240" s="3">
        <v>42520</v>
      </c>
      <c r="AV2240" s="3">
        <v>42520</v>
      </c>
      <c r="AW2240" t="s">
        <v>54</v>
      </c>
      <c r="AX2240" t="str">
        <f t="shared" si="289"/>
        <v>FOR</v>
      </c>
      <c r="AY2240" t="s">
        <v>55</v>
      </c>
    </row>
    <row r="2241" spans="1:51">
      <c r="A2241">
        <v>103068</v>
      </c>
      <c r="B2241" t="s">
        <v>328</v>
      </c>
      <c r="C2241" t="str">
        <f t="shared" si="291"/>
        <v>00832400154</v>
      </c>
      <c r="D2241" t="str">
        <f t="shared" si="291"/>
        <v>00832400154</v>
      </c>
      <c r="E2241" t="s">
        <v>52</v>
      </c>
      <c r="F2241">
        <v>2012</v>
      </c>
      <c r="G2241" t="str">
        <f>"              950812"</f>
        <v xml:space="preserve">              950812</v>
      </c>
      <c r="H2241" s="3">
        <v>41184</v>
      </c>
      <c r="I2241" s="3">
        <v>41200</v>
      </c>
      <c r="J2241" s="3">
        <v>41200</v>
      </c>
      <c r="K2241" s="3">
        <v>41290</v>
      </c>
      <c r="L2241" s="1">
        <v>330</v>
      </c>
      <c r="M2241">
        <v>1230</v>
      </c>
      <c r="N2241" s="5">
        <v>405900</v>
      </c>
      <c r="O2241">
        <v>330</v>
      </c>
      <c r="P2241">
        <v>1230</v>
      </c>
      <c r="Q2241" s="4">
        <v>405900</v>
      </c>
      <c r="R2241">
        <v>0</v>
      </c>
      <c r="V2241">
        <v>-192.5</v>
      </c>
      <c r="W2241">
        <v>-192.5</v>
      </c>
      <c r="X2241">
        <v>-192.5</v>
      </c>
      <c r="Y2241">
        <v>-192.5</v>
      </c>
      <c r="Z2241">
        <v>-192.5</v>
      </c>
      <c r="AA2241">
        <v>-192.5</v>
      </c>
      <c r="AB2241" s="3">
        <v>42562</v>
      </c>
      <c r="AC2241" t="s">
        <v>53</v>
      </c>
      <c r="AD2241" t="s">
        <v>53</v>
      </c>
      <c r="AK2241">
        <v>0</v>
      </c>
      <c r="AU2241" s="3">
        <v>42520</v>
      </c>
      <c r="AV2241" s="3">
        <v>42520</v>
      </c>
      <c r="AW2241" t="s">
        <v>54</v>
      </c>
      <c r="AX2241" t="str">
        <f t="shared" si="289"/>
        <v>FOR</v>
      </c>
      <c r="AY2241" t="s">
        <v>55</v>
      </c>
    </row>
    <row r="2242" spans="1:51">
      <c r="A2242">
        <v>103068</v>
      </c>
      <c r="B2242" t="s">
        <v>328</v>
      </c>
      <c r="C2242" t="str">
        <f t="shared" si="291"/>
        <v>00832400154</v>
      </c>
      <c r="D2242" t="str">
        <f t="shared" si="291"/>
        <v>00832400154</v>
      </c>
      <c r="E2242" t="s">
        <v>52</v>
      </c>
      <c r="F2242">
        <v>2012</v>
      </c>
      <c r="G2242" t="str">
        <f>"              962392"</f>
        <v xml:space="preserve">              962392</v>
      </c>
      <c r="H2242" s="3">
        <v>41248</v>
      </c>
      <c r="I2242" s="3">
        <v>41270</v>
      </c>
      <c r="J2242" s="3">
        <v>41270</v>
      </c>
      <c r="K2242" s="3">
        <v>41360</v>
      </c>
      <c r="L2242" s="1">
        <v>330</v>
      </c>
      <c r="M2242">
        <v>1160</v>
      </c>
      <c r="N2242" s="5">
        <v>382800</v>
      </c>
      <c r="O2242">
        <v>330</v>
      </c>
      <c r="P2242">
        <v>1160</v>
      </c>
      <c r="Q2242" s="4">
        <v>382800</v>
      </c>
      <c r="R2242">
        <v>0</v>
      </c>
      <c r="V2242">
        <v>-192.5</v>
      </c>
      <c r="W2242">
        <v>-192.5</v>
      </c>
      <c r="X2242">
        <v>-192.5</v>
      </c>
      <c r="Y2242">
        <v>-192.5</v>
      </c>
      <c r="Z2242">
        <v>-192.5</v>
      </c>
      <c r="AA2242">
        <v>-192.5</v>
      </c>
      <c r="AB2242" s="3">
        <v>42562</v>
      </c>
      <c r="AC2242" t="s">
        <v>53</v>
      </c>
      <c r="AD2242" t="s">
        <v>53</v>
      </c>
      <c r="AK2242">
        <v>0</v>
      </c>
      <c r="AU2242" s="3">
        <v>42520</v>
      </c>
      <c r="AV2242" s="3">
        <v>42520</v>
      </c>
      <c r="AW2242" t="s">
        <v>54</v>
      </c>
      <c r="AX2242" t="str">
        <f t="shared" si="289"/>
        <v>FOR</v>
      </c>
      <c r="AY2242" t="s">
        <v>55</v>
      </c>
    </row>
    <row r="2243" spans="1:51">
      <c r="A2243">
        <v>103068</v>
      </c>
      <c r="B2243" t="s">
        <v>328</v>
      </c>
      <c r="C2243" t="str">
        <f t="shared" si="291"/>
        <v>00832400154</v>
      </c>
      <c r="D2243" t="str">
        <f t="shared" si="291"/>
        <v>00832400154</v>
      </c>
      <c r="E2243" t="s">
        <v>52</v>
      </c>
      <c r="F2243">
        <v>2015</v>
      </c>
      <c r="G2243" t="str">
        <f>"            59641500"</f>
        <v xml:space="preserve">            59641500</v>
      </c>
      <c r="H2243" s="3">
        <v>42306</v>
      </c>
      <c r="I2243" s="3">
        <v>42310</v>
      </c>
      <c r="J2243" s="3">
        <v>42307</v>
      </c>
      <c r="K2243" s="3">
        <v>42367</v>
      </c>
      <c r="L2243" s="1">
        <v>260</v>
      </c>
      <c r="M2243">
        <v>153</v>
      </c>
      <c r="N2243" s="5">
        <v>39780</v>
      </c>
      <c r="O2243">
        <v>260</v>
      </c>
      <c r="P2243">
        <v>153</v>
      </c>
      <c r="Q2243" s="4">
        <v>39780</v>
      </c>
      <c r="R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 s="3">
        <v>42562</v>
      </c>
      <c r="AC2243" t="s">
        <v>53</v>
      </c>
      <c r="AD2243" t="s">
        <v>53</v>
      </c>
      <c r="AK2243">
        <v>0</v>
      </c>
      <c r="AU2243" s="3">
        <v>42520</v>
      </c>
      <c r="AV2243" s="3">
        <v>42520</v>
      </c>
      <c r="AW2243" t="s">
        <v>54</v>
      </c>
      <c r="AX2243" t="str">
        <f t="shared" si="289"/>
        <v>FOR</v>
      </c>
      <c r="AY2243" t="s">
        <v>55</v>
      </c>
    </row>
    <row r="2244" spans="1:51">
      <c r="A2244">
        <v>103068</v>
      </c>
      <c r="B2244" t="s">
        <v>328</v>
      </c>
      <c r="C2244" t="str">
        <f t="shared" si="291"/>
        <v>00832400154</v>
      </c>
      <c r="D2244" t="str">
        <f t="shared" si="291"/>
        <v>00832400154</v>
      </c>
      <c r="E2244" t="s">
        <v>52</v>
      </c>
      <c r="F2244">
        <v>2015</v>
      </c>
      <c r="G2244" t="str">
        <f>"            59641503"</f>
        <v xml:space="preserve">            59641503</v>
      </c>
      <c r="H2244" s="3">
        <v>42306</v>
      </c>
      <c r="I2244" s="3">
        <v>42310</v>
      </c>
      <c r="J2244" s="3">
        <v>42307</v>
      </c>
      <c r="K2244" s="3">
        <v>42367</v>
      </c>
      <c r="L2244" s="1">
        <v>260</v>
      </c>
      <c r="M2244">
        <v>153</v>
      </c>
      <c r="N2244" s="5">
        <v>39780</v>
      </c>
      <c r="O2244">
        <v>260</v>
      </c>
      <c r="P2244">
        <v>153</v>
      </c>
      <c r="Q2244" s="4">
        <v>39780</v>
      </c>
      <c r="R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 s="3">
        <v>42562</v>
      </c>
      <c r="AC2244" t="s">
        <v>53</v>
      </c>
      <c r="AD2244" t="s">
        <v>53</v>
      </c>
      <c r="AK2244">
        <v>0</v>
      </c>
      <c r="AU2244" s="3">
        <v>42520</v>
      </c>
      <c r="AV2244" s="3">
        <v>42520</v>
      </c>
      <c r="AW2244" t="s">
        <v>54</v>
      </c>
      <c r="AX2244" t="str">
        <f t="shared" si="289"/>
        <v>FOR</v>
      </c>
      <c r="AY2244" t="s">
        <v>55</v>
      </c>
    </row>
    <row r="2245" spans="1:51">
      <c r="A2245">
        <v>103068</v>
      </c>
      <c r="B2245" t="s">
        <v>328</v>
      </c>
      <c r="C2245" t="str">
        <f t="shared" si="291"/>
        <v>00832400154</v>
      </c>
      <c r="D2245" t="str">
        <f t="shared" si="291"/>
        <v>00832400154</v>
      </c>
      <c r="E2245" t="s">
        <v>52</v>
      </c>
      <c r="F2245">
        <v>2016</v>
      </c>
      <c r="G2245" t="str">
        <f>"            69614578"</f>
        <v xml:space="preserve">            69614578</v>
      </c>
      <c r="H2245" s="3">
        <v>42439</v>
      </c>
      <c r="I2245" s="3">
        <v>42443</v>
      </c>
      <c r="J2245" s="3">
        <v>42441</v>
      </c>
      <c r="K2245" s="3">
        <v>42501</v>
      </c>
      <c r="L2245" s="1">
        <v>893</v>
      </c>
      <c r="M2245">
        <v>19</v>
      </c>
      <c r="N2245" s="5">
        <v>16967</v>
      </c>
      <c r="O2245">
        <v>893</v>
      </c>
      <c r="P2245">
        <v>19</v>
      </c>
      <c r="Q2245" s="4">
        <v>16967</v>
      </c>
      <c r="R2245">
        <v>0</v>
      </c>
      <c r="V2245">
        <v>0</v>
      </c>
      <c r="W2245">
        <v>0</v>
      </c>
      <c r="X2245">
        <v>0</v>
      </c>
      <c r="Y2245">
        <v>982.3</v>
      </c>
      <c r="Z2245">
        <v>982.3</v>
      </c>
      <c r="AA2245">
        <v>982.3</v>
      </c>
      <c r="AB2245" s="3">
        <v>42562</v>
      </c>
      <c r="AC2245" t="s">
        <v>53</v>
      </c>
      <c r="AD2245" t="s">
        <v>53</v>
      </c>
      <c r="AK2245">
        <v>0</v>
      </c>
      <c r="AU2245" s="3">
        <v>42520</v>
      </c>
      <c r="AV2245" s="3">
        <v>42520</v>
      </c>
      <c r="AW2245" t="s">
        <v>54</v>
      </c>
      <c r="AX2245" t="str">
        <f t="shared" si="289"/>
        <v>FOR</v>
      </c>
      <c r="AY2245" t="s">
        <v>55</v>
      </c>
    </row>
    <row r="2246" spans="1:51" hidden="1">
      <c r="A2246">
        <v>103072</v>
      </c>
      <c r="B2246" t="s">
        <v>329</v>
      </c>
      <c r="C2246" t="str">
        <f t="shared" ref="C2246:D2250" si="292">"01009680628"</f>
        <v>01009680628</v>
      </c>
      <c r="D2246" t="str">
        <f t="shared" si="292"/>
        <v>01009680628</v>
      </c>
      <c r="E2246" t="s">
        <v>52</v>
      </c>
      <c r="F2246">
        <v>2015</v>
      </c>
      <c r="G2246" t="str">
        <f>"        FE/2015/1541"</f>
        <v xml:space="preserve">        FE/2015/1541</v>
      </c>
      <c r="H2246" s="3">
        <v>42311</v>
      </c>
      <c r="I2246" s="3">
        <v>42314</v>
      </c>
      <c r="J2246" s="3">
        <v>42311</v>
      </c>
      <c r="K2246" s="3">
        <v>42371</v>
      </c>
      <c r="L2246"/>
      <c r="N2246"/>
      <c r="O2246">
        <v>279.33</v>
      </c>
      <c r="P2246">
        <v>31</v>
      </c>
      <c r="Q2246" s="4">
        <v>8659.23</v>
      </c>
      <c r="R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 s="3">
        <v>42562</v>
      </c>
      <c r="AC2246" t="s">
        <v>53</v>
      </c>
      <c r="AD2246" t="s">
        <v>53</v>
      </c>
      <c r="AK2246">
        <v>0</v>
      </c>
      <c r="AU2246" s="3">
        <v>42402</v>
      </c>
      <c r="AV2246" s="3">
        <v>42402</v>
      </c>
      <c r="AW2246" t="s">
        <v>54</v>
      </c>
      <c r="AX2246" t="str">
        <f>"AZ1"</f>
        <v>AZ1</v>
      </c>
      <c r="AY2246" t="s">
        <v>74</v>
      </c>
    </row>
    <row r="2247" spans="1:51" hidden="1">
      <c r="A2247">
        <v>103072</v>
      </c>
      <c r="B2247" t="s">
        <v>329</v>
      </c>
      <c r="C2247" t="str">
        <f t="shared" si="292"/>
        <v>01009680628</v>
      </c>
      <c r="D2247" t="str">
        <f t="shared" si="292"/>
        <v>01009680628</v>
      </c>
      <c r="E2247" t="s">
        <v>52</v>
      </c>
      <c r="F2247">
        <v>2016</v>
      </c>
      <c r="G2247" t="str">
        <f>"         FE/2016/511"</f>
        <v xml:space="preserve">         FE/2016/511</v>
      </c>
      <c r="H2247" s="3">
        <v>42411</v>
      </c>
      <c r="I2247" s="3">
        <v>42412</v>
      </c>
      <c r="J2247" s="3">
        <v>42411</v>
      </c>
      <c r="K2247" s="3">
        <v>42471</v>
      </c>
      <c r="L2247"/>
      <c r="N2247"/>
      <c r="O2247" s="4">
        <v>10082</v>
      </c>
      <c r="P2247">
        <v>-38</v>
      </c>
      <c r="Q2247" s="4">
        <v>-383116</v>
      </c>
      <c r="R2247">
        <v>0</v>
      </c>
      <c r="V2247">
        <v>0</v>
      </c>
      <c r="W2247">
        <v>0</v>
      </c>
      <c r="X2247">
        <v>0</v>
      </c>
      <c r="Y2247">
        <v>0</v>
      </c>
      <c r="Z2247" s="4">
        <v>10082</v>
      </c>
      <c r="AA2247" s="4">
        <v>10082</v>
      </c>
      <c r="AB2247" s="3">
        <v>42562</v>
      </c>
      <c r="AC2247" t="s">
        <v>53</v>
      </c>
      <c r="AD2247" t="s">
        <v>53</v>
      </c>
      <c r="AK2247">
        <v>0</v>
      </c>
      <c r="AU2247" s="3">
        <v>42433</v>
      </c>
      <c r="AV2247" s="3">
        <v>42433</v>
      </c>
      <c r="AW2247" t="s">
        <v>54</v>
      </c>
      <c r="AX2247" t="str">
        <f>"AZ1"</f>
        <v>AZ1</v>
      </c>
      <c r="AY2247" t="s">
        <v>74</v>
      </c>
    </row>
    <row r="2248" spans="1:51" hidden="1">
      <c r="A2248">
        <v>103072</v>
      </c>
      <c r="B2248" t="s">
        <v>329</v>
      </c>
      <c r="C2248" t="str">
        <f t="shared" si="292"/>
        <v>01009680628</v>
      </c>
      <c r="D2248" t="str">
        <f t="shared" si="292"/>
        <v>01009680628</v>
      </c>
      <c r="E2248" t="s">
        <v>52</v>
      </c>
      <c r="F2248">
        <v>2016</v>
      </c>
      <c r="G2248" t="str">
        <f>"         FE/2016/512"</f>
        <v xml:space="preserve">         FE/2016/512</v>
      </c>
      <c r="H2248" s="3">
        <v>42411</v>
      </c>
      <c r="I2248" s="3">
        <v>42412</v>
      </c>
      <c r="J2248" s="3">
        <v>42411</v>
      </c>
      <c r="K2248" s="3">
        <v>42471</v>
      </c>
      <c r="L2248"/>
      <c r="N2248"/>
      <c r="O2248" s="4">
        <v>10530</v>
      </c>
      <c r="P2248">
        <v>-38</v>
      </c>
      <c r="Q2248" s="4">
        <v>-400140</v>
      </c>
      <c r="R2248">
        <v>0</v>
      </c>
      <c r="V2248">
        <v>0</v>
      </c>
      <c r="W2248">
        <v>0</v>
      </c>
      <c r="X2248">
        <v>0</v>
      </c>
      <c r="Y2248">
        <v>0</v>
      </c>
      <c r="Z2248" s="4">
        <v>10530</v>
      </c>
      <c r="AA2248" s="4">
        <v>10530</v>
      </c>
      <c r="AB2248" s="3">
        <v>42562</v>
      </c>
      <c r="AC2248" t="s">
        <v>53</v>
      </c>
      <c r="AD2248" t="s">
        <v>53</v>
      </c>
      <c r="AK2248">
        <v>0</v>
      </c>
      <c r="AU2248" s="3">
        <v>42433</v>
      </c>
      <c r="AV2248" s="3">
        <v>42433</v>
      </c>
      <c r="AW2248" t="s">
        <v>54</v>
      </c>
      <c r="AX2248" t="str">
        <f>"AZ1"</f>
        <v>AZ1</v>
      </c>
      <c r="AY2248" t="s">
        <v>74</v>
      </c>
    </row>
    <row r="2249" spans="1:51" hidden="1">
      <c r="A2249">
        <v>103072</v>
      </c>
      <c r="B2249" t="s">
        <v>329</v>
      </c>
      <c r="C2249" t="str">
        <f t="shared" si="292"/>
        <v>01009680628</v>
      </c>
      <c r="D2249" t="str">
        <f t="shared" si="292"/>
        <v>01009680628</v>
      </c>
      <c r="E2249" t="s">
        <v>52</v>
      </c>
      <c r="F2249">
        <v>2016</v>
      </c>
      <c r="G2249" t="str">
        <f>"         FE/2016/513"</f>
        <v xml:space="preserve">         FE/2016/513</v>
      </c>
      <c r="H2249" s="3">
        <v>42411</v>
      </c>
      <c r="I2249" s="3">
        <v>42412</v>
      </c>
      <c r="J2249" s="3">
        <v>42411</v>
      </c>
      <c r="K2249" s="3">
        <v>42471</v>
      </c>
      <c r="L2249"/>
      <c r="N2249"/>
      <c r="O2249" s="4">
        <v>10166</v>
      </c>
      <c r="P2249">
        <v>-38</v>
      </c>
      <c r="Q2249" s="4">
        <v>-386308</v>
      </c>
      <c r="R2249">
        <v>0</v>
      </c>
      <c r="V2249">
        <v>0</v>
      </c>
      <c r="W2249">
        <v>0</v>
      </c>
      <c r="X2249">
        <v>0</v>
      </c>
      <c r="Y2249">
        <v>0</v>
      </c>
      <c r="Z2249" s="4">
        <v>10166</v>
      </c>
      <c r="AA2249" s="4">
        <v>10166</v>
      </c>
      <c r="AB2249" s="3">
        <v>42562</v>
      </c>
      <c r="AC2249" t="s">
        <v>53</v>
      </c>
      <c r="AD2249" t="s">
        <v>53</v>
      </c>
      <c r="AK2249">
        <v>0</v>
      </c>
      <c r="AU2249" s="3">
        <v>42433</v>
      </c>
      <c r="AV2249" s="3">
        <v>42433</v>
      </c>
      <c r="AW2249" t="s">
        <v>54</v>
      </c>
      <c r="AX2249" t="str">
        <f>"AZ1"</f>
        <v>AZ1</v>
      </c>
      <c r="AY2249" t="s">
        <v>74</v>
      </c>
    </row>
    <row r="2250" spans="1:51" hidden="1">
      <c r="A2250">
        <v>103072</v>
      </c>
      <c r="B2250" t="s">
        <v>329</v>
      </c>
      <c r="C2250" t="str">
        <f t="shared" si="292"/>
        <v>01009680628</v>
      </c>
      <c r="D2250" t="str">
        <f t="shared" si="292"/>
        <v>01009680628</v>
      </c>
      <c r="E2250" t="s">
        <v>52</v>
      </c>
      <c r="F2250">
        <v>2016</v>
      </c>
      <c r="G2250" t="str">
        <f>"         FE/2016/515"</f>
        <v xml:space="preserve">         FE/2016/515</v>
      </c>
      <c r="H2250" s="3">
        <v>42411</v>
      </c>
      <c r="I2250" s="3">
        <v>42412</v>
      </c>
      <c r="J2250" s="3">
        <v>42411</v>
      </c>
      <c r="K2250" s="3">
        <v>42471</v>
      </c>
      <c r="L2250"/>
      <c r="N2250"/>
      <c r="O2250" s="4">
        <v>10586</v>
      </c>
      <c r="P2250">
        <v>-38</v>
      </c>
      <c r="Q2250" s="4">
        <v>-402268</v>
      </c>
      <c r="R2250">
        <v>0</v>
      </c>
      <c r="V2250">
        <v>0</v>
      </c>
      <c r="W2250">
        <v>0</v>
      </c>
      <c r="X2250">
        <v>0</v>
      </c>
      <c r="Y2250">
        <v>0</v>
      </c>
      <c r="Z2250" s="4">
        <v>10586</v>
      </c>
      <c r="AA2250" s="4">
        <v>10586</v>
      </c>
      <c r="AB2250" s="3">
        <v>42562</v>
      </c>
      <c r="AC2250" t="s">
        <v>53</v>
      </c>
      <c r="AD2250" t="s">
        <v>53</v>
      </c>
      <c r="AK2250">
        <v>0</v>
      </c>
      <c r="AU2250" s="3">
        <v>42433</v>
      </c>
      <c r="AV2250" s="3">
        <v>42433</v>
      </c>
      <c r="AW2250" t="s">
        <v>54</v>
      </c>
      <c r="AX2250" t="str">
        <f>"AZ1"</f>
        <v>AZ1</v>
      </c>
      <c r="AY2250" t="s">
        <v>74</v>
      </c>
    </row>
    <row r="2251" spans="1:51" hidden="1">
      <c r="A2251">
        <v>103073</v>
      </c>
      <c r="B2251" t="s">
        <v>330</v>
      </c>
      <c r="C2251" t="str">
        <f t="shared" ref="C2251:D2255" si="293">"08763060152"</f>
        <v>08763060152</v>
      </c>
      <c r="D2251" t="str">
        <f t="shared" si="293"/>
        <v>08763060152</v>
      </c>
      <c r="E2251" t="s">
        <v>52</v>
      </c>
      <c r="F2251">
        <v>2015</v>
      </c>
      <c r="G2251" t="str">
        <f>"           300444/15"</f>
        <v xml:space="preserve">           300444/15</v>
      </c>
      <c r="H2251" s="3">
        <v>42109</v>
      </c>
      <c r="I2251" s="3">
        <v>42115</v>
      </c>
      <c r="J2251" s="3">
        <v>42114</v>
      </c>
      <c r="K2251" s="3">
        <v>42174</v>
      </c>
      <c r="L2251"/>
      <c r="N2251"/>
      <c r="O2251" s="4">
        <v>3850</v>
      </c>
      <c r="P2251">
        <v>257</v>
      </c>
      <c r="Q2251" s="4">
        <v>989450</v>
      </c>
      <c r="R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 s="3">
        <v>42562</v>
      </c>
      <c r="AC2251" t="s">
        <v>53</v>
      </c>
      <c r="AD2251" t="s">
        <v>53</v>
      </c>
      <c r="AK2251">
        <v>0</v>
      </c>
      <c r="AU2251" s="3">
        <v>42431</v>
      </c>
      <c r="AV2251" s="3">
        <v>42431</v>
      </c>
      <c r="AW2251" t="s">
        <v>54</v>
      </c>
      <c r="AX2251" t="str">
        <f t="shared" ref="AX2251:AX2314" si="294">"FOR"</f>
        <v>FOR</v>
      </c>
      <c r="AY2251" t="s">
        <v>55</v>
      </c>
    </row>
    <row r="2252" spans="1:51" hidden="1">
      <c r="A2252">
        <v>103073</v>
      </c>
      <c r="B2252" t="s">
        <v>330</v>
      </c>
      <c r="C2252" t="str">
        <f t="shared" si="293"/>
        <v>08763060152</v>
      </c>
      <c r="D2252" t="str">
        <f t="shared" si="293"/>
        <v>08763060152</v>
      </c>
      <c r="E2252" t="s">
        <v>52</v>
      </c>
      <c r="F2252">
        <v>2015</v>
      </c>
      <c r="G2252" t="str">
        <f>"           300627/15"</f>
        <v xml:space="preserve">           300627/15</v>
      </c>
      <c r="H2252" s="3">
        <v>42139</v>
      </c>
      <c r="I2252" s="3">
        <v>42174</v>
      </c>
      <c r="J2252" s="3">
        <v>42139</v>
      </c>
      <c r="K2252" s="3">
        <v>42199</v>
      </c>
      <c r="L2252"/>
      <c r="N2252"/>
      <c r="O2252" s="4">
        <v>1900</v>
      </c>
      <c r="P2252">
        <v>232</v>
      </c>
      <c r="Q2252" s="4">
        <v>440800</v>
      </c>
      <c r="R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 s="3">
        <v>42562</v>
      </c>
      <c r="AC2252" t="s">
        <v>53</v>
      </c>
      <c r="AD2252" t="s">
        <v>53</v>
      </c>
      <c r="AK2252">
        <v>0</v>
      </c>
      <c r="AU2252" s="3">
        <v>42431</v>
      </c>
      <c r="AV2252" s="3">
        <v>42431</v>
      </c>
      <c r="AW2252" t="s">
        <v>54</v>
      </c>
      <c r="AX2252" t="str">
        <f t="shared" si="294"/>
        <v>FOR</v>
      </c>
      <c r="AY2252" t="s">
        <v>55</v>
      </c>
    </row>
    <row r="2253" spans="1:51">
      <c r="A2253">
        <v>103073</v>
      </c>
      <c r="B2253" t="s">
        <v>330</v>
      </c>
      <c r="C2253" t="str">
        <f t="shared" si="293"/>
        <v>08763060152</v>
      </c>
      <c r="D2253" t="str">
        <f t="shared" si="293"/>
        <v>08763060152</v>
      </c>
      <c r="E2253" t="s">
        <v>52</v>
      </c>
      <c r="F2253">
        <v>2015</v>
      </c>
      <c r="G2253" t="str">
        <f>"           300894/15"</f>
        <v xml:space="preserve">           300894/15</v>
      </c>
      <c r="H2253" s="3">
        <v>42198</v>
      </c>
      <c r="I2253" s="3">
        <v>42202</v>
      </c>
      <c r="J2253" s="3">
        <v>42199</v>
      </c>
      <c r="K2253" s="3">
        <v>42259</v>
      </c>
      <c r="L2253" s="5">
        <v>3800</v>
      </c>
      <c r="M2253">
        <v>205</v>
      </c>
      <c r="N2253" s="5">
        <v>779000</v>
      </c>
      <c r="O2253" s="4">
        <v>3800</v>
      </c>
      <c r="P2253">
        <v>205</v>
      </c>
      <c r="Q2253" s="4">
        <v>779000</v>
      </c>
      <c r="R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 s="3">
        <v>42562</v>
      </c>
      <c r="AC2253" t="s">
        <v>53</v>
      </c>
      <c r="AD2253" t="s">
        <v>53</v>
      </c>
      <c r="AK2253">
        <v>0</v>
      </c>
      <c r="AU2253" s="3">
        <v>42464</v>
      </c>
      <c r="AV2253" s="3">
        <v>42464</v>
      </c>
      <c r="AW2253" t="s">
        <v>54</v>
      </c>
      <c r="AX2253" t="str">
        <f t="shared" si="294"/>
        <v>FOR</v>
      </c>
      <c r="AY2253" t="s">
        <v>55</v>
      </c>
    </row>
    <row r="2254" spans="1:51">
      <c r="A2254">
        <v>103073</v>
      </c>
      <c r="B2254" t="s">
        <v>330</v>
      </c>
      <c r="C2254" t="str">
        <f t="shared" si="293"/>
        <v>08763060152</v>
      </c>
      <c r="D2254" t="str">
        <f t="shared" si="293"/>
        <v>08763060152</v>
      </c>
      <c r="E2254" t="s">
        <v>52</v>
      </c>
      <c r="F2254">
        <v>2015</v>
      </c>
      <c r="G2254" t="str">
        <f>"           301417/15"</f>
        <v xml:space="preserve">           301417/15</v>
      </c>
      <c r="H2254" s="3">
        <v>42307</v>
      </c>
      <c r="I2254" s="3">
        <v>42312</v>
      </c>
      <c r="J2254" s="3">
        <v>42312</v>
      </c>
      <c r="K2254" s="3">
        <v>42372</v>
      </c>
      <c r="L2254" s="5">
        <v>1900</v>
      </c>
      <c r="M2254">
        <v>92</v>
      </c>
      <c r="N2254" s="5">
        <v>174800</v>
      </c>
      <c r="O2254" s="4">
        <v>1900</v>
      </c>
      <c r="P2254">
        <v>92</v>
      </c>
      <c r="Q2254" s="4">
        <v>174800</v>
      </c>
      <c r="R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 s="3">
        <v>42562</v>
      </c>
      <c r="AC2254" t="s">
        <v>53</v>
      </c>
      <c r="AD2254" t="s">
        <v>53</v>
      </c>
      <c r="AK2254">
        <v>0</v>
      </c>
      <c r="AU2254" s="3">
        <v>42464</v>
      </c>
      <c r="AV2254" s="3">
        <v>42464</v>
      </c>
      <c r="AW2254" t="s">
        <v>54</v>
      </c>
      <c r="AX2254" t="str">
        <f t="shared" si="294"/>
        <v>FOR</v>
      </c>
      <c r="AY2254" t="s">
        <v>55</v>
      </c>
    </row>
    <row r="2255" spans="1:51">
      <c r="A2255">
        <v>103073</v>
      </c>
      <c r="B2255" t="s">
        <v>330</v>
      </c>
      <c r="C2255" t="str">
        <f t="shared" si="293"/>
        <v>08763060152</v>
      </c>
      <c r="D2255" t="str">
        <f t="shared" si="293"/>
        <v>08763060152</v>
      </c>
      <c r="E2255" t="s">
        <v>52</v>
      </c>
      <c r="F2255">
        <v>2015</v>
      </c>
      <c r="G2255" t="str">
        <f>"           301693/15"</f>
        <v xml:space="preserve">           301693/15</v>
      </c>
      <c r="H2255" s="3">
        <v>42366</v>
      </c>
      <c r="I2255" s="3">
        <v>42369</v>
      </c>
      <c r="J2255" s="3">
        <v>42368</v>
      </c>
      <c r="K2255" s="3">
        <v>42428</v>
      </c>
      <c r="L2255" s="5">
        <v>8900</v>
      </c>
      <c r="M2255">
        <v>101</v>
      </c>
      <c r="N2255" s="5">
        <v>898900</v>
      </c>
      <c r="O2255" s="4">
        <v>8900</v>
      </c>
      <c r="P2255">
        <v>101</v>
      </c>
      <c r="Q2255" s="4">
        <v>898900</v>
      </c>
      <c r="R2255" s="4">
        <v>1958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 s="3">
        <v>42562</v>
      </c>
      <c r="AC2255" t="s">
        <v>53</v>
      </c>
      <c r="AD2255" t="s">
        <v>53</v>
      </c>
      <c r="AI2255" s="4">
        <v>1958</v>
      </c>
      <c r="AK2255">
        <v>0</v>
      </c>
      <c r="AU2255" s="3">
        <v>42529</v>
      </c>
      <c r="AV2255" s="3">
        <v>42529</v>
      </c>
      <c r="AW2255" t="s">
        <v>54</v>
      </c>
      <c r="AX2255" t="str">
        <f t="shared" si="294"/>
        <v>FOR</v>
      </c>
      <c r="AY2255" t="s">
        <v>55</v>
      </c>
    </row>
    <row r="2256" spans="1:51" hidden="1">
      <c r="A2256">
        <v>103165</v>
      </c>
      <c r="B2256" t="s">
        <v>331</v>
      </c>
      <c r="C2256" t="str">
        <f>"01794050151"</f>
        <v>01794050151</v>
      </c>
      <c r="D2256" t="str">
        <f>"01794050151"</f>
        <v>01794050151</v>
      </c>
      <c r="E2256" t="s">
        <v>52</v>
      </c>
      <c r="F2256">
        <v>2015</v>
      </c>
      <c r="G2256" t="str">
        <f>"                2880"</f>
        <v xml:space="preserve">                2880</v>
      </c>
      <c r="H2256" s="3">
        <v>42296</v>
      </c>
      <c r="I2256" s="3">
        <v>42305</v>
      </c>
      <c r="J2256" s="3">
        <v>42305</v>
      </c>
      <c r="K2256" s="3">
        <v>42365</v>
      </c>
      <c r="L2256"/>
      <c r="N2256"/>
      <c r="O2256">
        <v>832</v>
      </c>
      <c r="P2256">
        <v>39</v>
      </c>
      <c r="Q2256" s="4">
        <v>32448</v>
      </c>
      <c r="R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 s="3">
        <v>42562</v>
      </c>
      <c r="AC2256" t="s">
        <v>53</v>
      </c>
      <c r="AD2256" t="s">
        <v>53</v>
      </c>
      <c r="AK2256">
        <v>0</v>
      </c>
      <c r="AU2256" s="3">
        <v>42404</v>
      </c>
      <c r="AV2256" s="3">
        <v>42404</v>
      </c>
      <c r="AW2256" t="s">
        <v>54</v>
      </c>
      <c r="AX2256" t="str">
        <f t="shared" si="294"/>
        <v>FOR</v>
      </c>
      <c r="AY2256" t="s">
        <v>55</v>
      </c>
    </row>
    <row r="2257" spans="1:51" hidden="1">
      <c r="A2257">
        <v>103351</v>
      </c>
      <c r="B2257" t="s">
        <v>332</v>
      </c>
      <c r="C2257" t="str">
        <f>"00924251002"</f>
        <v>00924251002</v>
      </c>
      <c r="D2257" t="str">
        <f>"00924251002"</f>
        <v>00924251002</v>
      </c>
      <c r="E2257" t="s">
        <v>52</v>
      </c>
      <c r="F2257">
        <v>2015</v>
      </c>
      <c r="G2257" t="str">
        <f>"          15VPA00558"</f>
        <v xml:space="preserve">          15VPA00558</v>
      </c>
      <c r="H2257" s="3">
        <v>42153</v>
      </c>
      <c r="I2257" s="3">
        <v>42158</v>
      </c>
      <c r="J2257" s="3">
        <v>42157</v>
      </c>
      <c r="K2257" s="3">
        <v>42217</v>
      </c>
      <c r="L2257"/>
      <c r="N2257"/>
      <c r="O2257">
        <v>735.4</v>
      </c>
      <c r="P2257">
        <v>235</v>
      </c>
      <c r="Q2257" s="4">
        <v>172819</v>
      </c>
      <c r="R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 s="3">
        <v>42562</v>
      </c>
      <c r="AC2257" t="s">
        <v>53</v>
      </c>
      <c r="AD2257" t="s">
        <v>53</v>
      </c>
      <c r="AK2257">
        <v>0</v>
      </c>
      <c r="AU2257" s="3">
        <v>42452</v>
      </c>
      <c r="AV2257" s="3">
        <v>42452</v>
      </c>
      <c r="AW2257" t="s">
        <v>54</v>
      </c>
      <c r="AX2257" t="str">
        <f t="shared" si="294"/>
        <v>FOR</v>
      </c>
      <c r="AY2257" t="s">
        <v>55</v>
      </c>
    </row>
    <row r="2258" spans="1:51" hidden="1">
      <c r="A2258">
        <v>103365</v>
      </c>
      <c r="B2258" t="s">
        <v>333</v>
      </c>
      <c r="C2258" t="str">
        <f t="shared" ref="C2258:D2266" si="295">"00488410010"</f>
        <v>00488410010</v>
      </c>
      <c r="D2258" t="str">
        <f t="shared" si="295"/>
        <v>00488410010</v>
      </c>
      <c r="E2258" t="s">
        <v>52</v>
      </c>
      <c r="F2258">
        <v>2015</v>
      </c>
      <c r="G2258" t="str">
        <f>"          7X04906321"</f>
        <v xml:space="preserve">          7X04906321</v>
      </c>
      <c r="H2258" s="3">
        <v>42353</v>
      </c>
      <c r="I2258" s="3">
        <v>42368</v>
      </c>
      <c r="J2258" s="3">
        <v>42366</v>
      </c>
      <c r="K2258" s="3">
        <v>42426</v>
      </c>
      <c r="L2258"/>
      <c r="N2258"/>
      <c r="O2258">
        <v>97.55</v>
      </c>
      <c r="P2258">
        <v>-24</v>
      </c>
      <c r="Q2258" s="4">
        <v>-2341.1999999999998</v>
      </c>
      <c r="R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 s="3">
        <v>42562</v>
      </c>
      <c r="AC2258" t="s">
        <v>53</v>
      </c>
      <c r="AD2258" t="s">
        <v>53</v>
      </c>
      <c r="AK2258">
        <v>0</v>
      </c>
      <c r="AU2258" s="3">
        <v>42402</v>
      </c>
      <c r="AV2258" s="3">
        <v>42402</v>
      </c>
      <c r="AW2258" t="s">
        <v>54</v>
      </c>
      <c r="AX2258" t="str">
        <f t="shared" si="294"/>
        <v>FOR</v>
      </c>
      <c r="AY2258" t="s">
        <v>55</v>
      </c>
    </row>
    <row r="2259" spans="1:51" hidden="1">
      <c r="A2259">
        <v>103365</v>
      </c>
      <c r="B2259" t="s">
        <v>333</v>
      </c>
      <c r="C2259" t="str">
        <f t="shared" si="295"/>
        <v>00488410010</v>
      </c>
      <c r="D2259" t="str">
        <f t="shared" si="295"/>
        <v>00488410010</v>
      </c>
      <c r="E2259" t="s">
        <v>52</v>
      </c>
      <c r="F2259">
        <v>2015</v>
      </c>
      <c r="G2259" t="str">
        <f>"          7X05126859"</f>
        <v xml:space="preserve">          7X05126859</v>
      </c>
      <c r="H2259" s="3">
        <v>42353</v>
      </c>
      <c r="I2259" s="3">
        <v>42368</v>
      </c>
      <c r="J2259" s="3">
        <v>42366</v>
      </c>
      <c r="K2259" s="3">
        <v>42426</v>
      </c>
      <c r="L2259"/>
      <c r="N2259"/>
      <c r="O2259">
        <v>250.37</v>
      </c>
      <c r="P2259">
        <v>-24</v>
      </c>
      <c r="Q2259" s="4">
        <v>-6008.88</v>
      </c>
      <c r="R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 s="3">
        <v>42562</v>
      </c>
      <c r="AC2259" t="s">
        <v>53</v>
      </c>
      <c r="AD2259" t="s">
        <v>53</v>
      </c>
      <c r="AK2259">
        <v>0</v>
      </c>
      <c r="AU2259" s="3">
        <v>42402</v>
      </c>
      <c r="AV2259" s="3">
        <v>42402</v>
      </c>
      <c r="AW2259" t="s">
        <v>54</v>
      </c>
      <c r="AX2259" t="str">
        <f t="shared" si="294"/>
        <v>FOR</v>
      </c>
      <c r="AY2259" t="s">
        <v>55</v>
      </c>
    </row>
    <row r="2260" spans="1:51" hidden="1">
      <c r="A2260">
        <v>103365</v>
      </c>
      <c r="B2260" t="s">
        <v>333</v>
      </c>
      <c r="C2260" t="str">
        <f t="shared" si="295"/>
        <v>00488410010</v>
      </c>
      <c r="D2260" t="str">
        <f t="shared" si="295"/>
        <v>00488410010</v>
      </c>
      <c r="E2260" t="s">
        <v>52</v>
      </c>
      <c r="F2260">
        <v>2015</v>
      </c>
      <c r="G2260" t="str">
        <f>"          7X05378606"</f>
        <v xml:space="preserve">          7X05378606</v>
      </c>
      <c r="H2260" s="3">
        <v>42353</v>
      </c>
      <c r="I2260" s="3">
        <v>42368</v>
      </c>
      <c r="J2260" s="3">
        <v>42366</v>
      </c>
      <c r="K2260" s="3">
        <v>42426</v>
      </c>
      <c r="L2260"/>
      <c r="N2260"/>
      <c r="O2260" s="4">
        <v>2365.9499999999998</v>
      </c>
      <c r="P2260">
        <v>-24</v>
      </c>
      <c r="Q2260" s="4">
        <v>-56782.8</v>
      </c>
      <c r="R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 s="3">
        <v>42562</v>
      </c>
      <c r="AC2260" t="s">
        <v>53</v>
      </c>
      <c r="AD2260" t="s">
        <v>53</v>
      </c>
      <c r="AK2260">
        <v>0</v>
      </c>
      <c r="AU2260" s="3">
        <v>42402</v>
      </c>
      <c r="AV2260" s="3">
        <v>42402</v>
      </c>
      <c r="AW2260" t="s">
        <v>54</v>
      </c>
      <c r="AX2260" t="str">
        <f t="shared" si="294"/>
        <v>FOR</v>
      </c>
      <c r="AY2260" t="s">
        <v>55</v>
      </c>
    </row>
    <row r="2261" spans="1:51" hidden="1">
      <c r="A2261">
        <v>103365</v>
      </c>
      <c r="B2261" t="s">
        <v>333</v>
      </c>
      <c r="C2261" t="str">
        <f t="shared" si="295"/>
        <v>00488410010</v>
      </c>
      <c r="D2261" t="str">
        <f t="shared" si="295"/>
        <v>00488410010</v>
      </c>
      <c r="E2261" t="s">
        <v>52</v>
      </c>
      <c r="F2261">
        <v>2016</v>
      </c>
      <c r="G2261" t="str">
        <f>"          7X00271699"</f>
        <v xml:space="preserve">          7X00271699</v>
      </c>
      <c r="H2261" s="3">
        <v>42412</v>
      </c>
      <c r="I2261" s="3">
        <v>42426</v>
      </c>
      <c r="J2261" s="3">
        <v>42425</v>
      </c>
      <c r="K2261" s="3">
        <v>42485</v>
      </c>
      <c r="L2261"/>
      <c r="N2261"/>
      <c r="O2261">
        <v>97.26</v>
      </c>
      <c r="P2261">
        <v>-32</v>
      </c>
      <c r="Q2261" s="4">
        <v>-3112.32</v>
      </c>
      <c r="R2261">
        <v>0</v>
      </c>
      <c r="V2261">
        <v>0</v>
      </c>
      <c r="W2261">
        <v>0</v>
      </c>
      <c r="X2261">
        <v>0</v>
      </c>
      <c r="Y2261">
        <v>118.58</v>
      </c>
      <c r="Z2261">
        <v>118.58</v>
      </c>
      <c r="AA2261">
        <v>118.58</v>
      </c>
      <c r="AB2261" s="3">
        <v>42562</v>
      </c>
      <c r="AC2261" t="s">
        <v>53</v>
      </c>
      <c r="AD2261" t="s">
        <v>53</v>
      </c>
      <c r="AK2261">
        <v>0</v>
      </c>
      <c r="AU2261" s="3">
        <v>42453</v>
      </c>
      <c r="AV2261" s="3">
        <v>42453</v>
      </c>
      <c r="AW2261" t="s">
        <v>54</v>
      </c>
      <c r="AX2261" t="str">
        <f t="shared" si="294"/>
        <v>FOR</v>
      </c>
      <c r="AY2261" t="s">
        <v>55</v>
      </c>
    </row>
    <row r="2262" spans="1:51" hidden="1">
      <c r="A2262">
        <v>103365</v>
      </c>
      <c r="B2262" t="s">
        <v>333</v>
      </c>
      <c r="C2262" t="str">
        <f t="shared" si="295"/>
        <v>00488410010</v>
      </c>
      <c r="D2262" t="str">
        <f t="shared" si="295"/>
        <v>00488410010</v>
      </c>
      <c r="E2262" t="s">
        <v>52</v>
      </c>
      <c r="F2262">
        <v>2016</v>
      </c>
      <c r="G2262" t="str">
        <f>"          7X00812012"</f>
        <v xml:space="preserve">          7X00812012</v>
      </c>
      <c r="H2262" s="3">
        <v>42412</v>
      </c>
      <c r="I2262" s="3">
        <v>42426</v>
      </c>
      <c r="J2262" s="3">
        <v>42425</v>
      </c>
      <c r="K2262" s="3">
        <v>42485</v>
      </c>
      <c r="L2262"/>
      <c r="N2262"/>
      <c r="O2262" s="4">
        <v>2429.36</v>
      </c>
      <c r="P2262">
        <v>-32</v>
      </c>
      <c r="Q2262" s="4">
        <v>-77739.520000000004</v>
      </c>
      <c r="R2262">
        <v>0</v>
      </c>
      <c r="V2262">
        <v>0</v>
      </c>
      <c r="W2262">
        <v>0</v>
      </c>
      <c r="X2262">
        <v>0</v>
      </c>
      <c r="Y2262" s="4">
        <v>2662.32</v>
      </c>
      <c r="Z2262" s="4">
        <v>2662.32</v>
      </c>
      <c r="AA2262" s="4">
        <v>2662.32</v>
      </c>
      <c r="AB2262" s="3">
        <v>42562</v>
      </c>
      <c r="AC2262" t="s">
        <v>53</v>
      </c>
      <c r="AD2262" t="s">
        <v>53</v>
      </c>
      <c r="AK2262">
        <v>0</v>
      </c>
      <c r="AU2262" s="3">
        <v>42453</v>
      </c>
      <c r="AV2262" s="3">
        <v>42453</v>
      </c>
      <c r="AW2262" t="s">
        <v>54</v>
      </c>
      <c r="AX2262" t="str">
        <f t="shared" si="294"/>
        <v>FOR</v>
      </c>
      <c r="AY2262" t="s">
        <v>55</v>
      </c>
    </row>
    <row r="2263" spans="1:51" hidden="1">
      <c r="A2263">
        <v>103365</v>
      </c>
      <c r="B2263" t="s">
        <v>333</v>
      </c>
      <c r="C2263" t="str">
        <f t="shared" si="295"/>
        <v>00488410010</v>
      </c>
      <c r="D2263" t="str">
        <f t="shared" si="295"/>
        <v>00488410010</v>
      </c>
      <c r="E2263" t="s">
        <v>52</v>
      </c>
      <c r="F2263">
        <v>2016</v>
      </c>
      <c r="G2263" t="str">
        <f>"          7X00812342"</f>
        <v xml:space="preserve">          7X00812342</v>
      </c>
      <c r="H2263" s="3">
        <v>42412</v>
      </c>
      <c r="I2263" s="3">
        <v>42426</v>
      </c>
      <c r="J2263" s="3">
        <v>42425</v>
      </c>
      <c r="K2263" s="3">
        <v>42485</v>
      </c>
      <c r="L2263"/>
      <c r="N2263"/>
      <c r="O2263">
        <v>249.15</v>
      </c>
      <c r="P2263">
        <v>-32</v>
      </c>
      <c r="Q2263" s="4">
        <v>-7972.8</v>
      </c>
      <c r="R2263">
        <v>0</v>
      </c>
      <c r="V2263">
        <v>0</v>
      </c>
      <c r="W2263">
        <v>0</v>
      </c>
      <c r="X2263">
        <v>0</v>
      </c>
      <c r="Y2263">
        <v>303.69</v>
      </c>
      <c r="Z2263">
        <v>303.69</v>
      </c>
      <c r="AA2263">
        <v>303.69</v>
      </c>
      <c r="AB2263" s="3">
        <v>42562</v>
      </c>
      <c r="AC2263" t="s">
        <v>53</v>
      </c>
      <c r="AD2263" t="s">
        <v>53</v>
      </c>
      <c r="AK2263">
        <v>0</v>
      </c>
      <c r="AU2263" s="3">
        <v>42453</v>
      </c>
      <c r="AV2263" s="3">
        <v>42453</v>
      </c>
      <c r="AW2263" t="s">
        <v>54</v>
      </c>
      <c r="AX2263" t="str">
        <f t="shared" si="294"/>
        <v>FOR</v>
      </c>
      <c r="AY2263" t="s">
        <v>55</v>
      </c>
    </row>
    <row r="2264" spans="1:51">
      <c r="A2264">
        <v>103365</v>
      </c>
      <c r="B2264" t="s">
        <v>333</v>
      </c>
      <c r="C2264" t="str">
        <f t="shared" si="295"/>
        <v>00488410010</v>
      </c>
      <c r="D2264" t="str">
        <f t="shared" si="295"/>
        <v>00488410010</v>
      </c>
      <c r="E2264" t="s">
        <v>52</v>
      </c>
      <c r="F2264">
        <v>2016</v>
      </c>
      <c r="G2264" t="str">
        <f>"        301680016499"</f>
        <v xml:space="preserve">        301680016499</v>
      </c>
      <c r="H2264" s="3">
        <v>42432</v>
      </c>
      <c r="I2264" s="3">
        <v>42438</v>
      </c>
      <c r="J2264" s="3">
        <v>42437</v>
      </c>
      <c r="K2264" s="3">
        <v>42497</v>
      </c>
      <c r="L2264" s="5">
        <v>3412.67</v>
      </c>
      <c r="M2264">
        <v>30</v>
      </c>
      <c r="N2264" s="5">
        <v>102380.1</v>
      </c>
      <c r="O2264" s="4">
        <v>3412.67</v>
      </c>
      <c r="P2264">
        <v>30</v>
      </c>
      <c r="Q2264" s="4">
        <v>102380.1</v>
      </c>
      <c r="R2264">
        <v>413.52</v>
      </c>
      <c r="V2264">
        <v>0</v>
      </c>
      <c r="W2264">
        <v>0</v>
      </c>
      <c r="X2264">
        <v>0</v>
      </c>
      <c r="Y2264" s="4">
        <v>3826.19</v>
      </c>
      <c r="Z2264" s="4">
        <v>3826.19</v>
      </c>
      <c r="AA2264" s="4">
        <v>3826.19</v>
      </c>
      <c r="AB2264" s="3">
        <v>42562</v>
      </c>
      <c r="AC2264" t="s">
        <v>53</v>
      </c>
      <c r="AD2264" t="s">
        <v>53</v>
      </c>
      <c r="AF2264">
        <v>413.52</v>
      </c>
      <c r="AK2264">
        <v>0</v>
      </c>
      <c r="AU2264" s="3">
        <v>42527</v>
      </c>
      <c r="AV2264" s="3">
        <v>42527</v>
      </c>
      <c r="AW2264" t="s">
        <v>54</v>
      </c>
      <c r="AX2264" t="str">
        <f t="shared" si="294"/>
        <v>FOR</v>
      </c>
      <c r="AY2264" t="s">
        <v>55</v>
      </c>
    </row>
    <row r="2265" spans="1:51">
      <c r="A2265">
        <v>103365</v>
      </c>
      <c r="B2265" t="s">
        <v>333</v>
      </c>
      <c r="C2265" t="str">
        <f t="shared" si="295"/>
        <v>00488410010</v>
      </c>
      <c r="D2265" t="str">
        <f t="shared" si="295"/>
        <v>00488410010</v>
      </c>
      <c r="E2265" t="s">
        <v>52</v>
      </c>
      <c r="F2265">
        <v>2016</v>
      </c>
      <c r="G2265" t="str">
        <f>"        301680024474"</f>
        <v xml:space="preserve">        301680024474</v>
      </c>
      <c r="H2265" s="3">
        <v>42459</v>
      </c>
      <c r="I2265" s="3">
        <v>42464</v>
      </c>
      <c r="J2265" s="3">
        <v>42461</v>
      </c>
      <c r="K2265" s="3">
        <v>42521</v>
      </c>
      <c r="L2265" s="5">
        <v>2298.66</v>
      </c>
      <c r="M2265">
        <v>6</v>
      </c>
      <c r="N2265" s="5">
        <v>13791.96</v>
      </c>
      <c r="O2265" s="4">
        <v>2298.66</v>
      </c>
      <c r="P2265">
        <v>6</v>
      </c>
      <c r="Q2265" s="4">
        <v>13791.96</v>
      </c>
      <c r="R2265">
        <v>209.01</v>
      </c>
      <c r="V2265">
        <v>0</v>
      </c>
      <c r="W2265" s="4">
        <v>2507.67</v>
      </c>
      <c r="X2265">
        <v>0</v>
      </c>
      <c r="Y2265" s="4">
        <v>2507.67</v>
      </c>
      <c r="Z2265" s="4">
        <v>2507.67</v>
      </c>
      <c r="AA2265" s="4">
        <v>2507.67</v>
      </c>
      <c r="AB2265" s="3">
        <v>42562</v>
      </c>
      <c r="AC2265" t="s">
        <v>53</v>
      </c>
      <c r="AD2265" t="s">
        <v>53</v>
      </c>
      <c r="AF2265">
        <v>209.01</v>
      </c>
      <c r="AK2265">
        <v>0</v>
      </c>
      <c r="AU2265" s="3">
        <v>42527</v>
      </c>
      <c r="AV2265" s="3">
        <v>42527</v>
      </c>
      <c r="AW2265" t="s">
        <v>54</v>
      </c>
      <c r="AX2265" t="str">
        <f t="shared" si="294"/>
        <v>FOR</v>
      </c>
      <c r="AY2265" t="s">
        <v>55</v>
      </c>
    </row>
    <row r="2266" spans="1:51">
      <c r="A2266">
        <v>103365</v>
      </c>
      <c r="B2266" t="s">
        <v>333</v>
      </c>
      <c r="C2266" t="str">
        <f t="shared" si="295"/>
        <v>00488410010</v>
      </c>
      <c r="D2266" t="str">
        <f t="shared" si="295"/>
        <v>00488410010</v>
      </c>
      <c r="E2266" t="s">
        <v>52</v>
      </c>
      <c r="F2266">
        <v>2016</v>
      </c>
      <c r="G2266" t="str">
        <f>"  C12020161000174213"</f>
        <v xml:space="preserve">  C12020161000174213</v>
      </c>
      <c r="H2266" s="3">
        <v>42425</v>
      </c>
      <c r="I2266" s="3">
        <v>42486</v>
      </c>
      <c r="J2266" s="3">
        <v>42480</v>
      </c>
      <c r="K2266" s="3">
        <v>42540</v>
      </c>
      <c r="L2266" s="1">
        <v>586.5</v>
      </c>
      <c r="M2266">
        <v>-13</v>
      </c>
      <c r="N2266" s="5">
        <v>-7624.5</v>
      </c>
      <c r="O2266">
        <v>586.5</v>
      </c>
      <c r="P2266">
        <v>-13</v>
      </c>
      <c r="Q2266" s="4">
        <v>-7624.5</v>
      </c>
      <c r="R2266">
        <v>129.03</v>
      </c>
      <c r="V2266">
        <v>0</v>
      </c>
      <c r="W2266">
        <v>715.53</v>
      </c>
      <c r="X2266">
        <v>0</v>
      </c>
      <c r="Y2266">
        <v>715.53</v>
      </c>
      <c r="Z2266">
        <v>715.53</v>
      </c>
      <c r="AA2266">
        <v>715.53</v>
      </c>
      <c r="AB2266" s="3">
        <v>42562</v>
      </c>
      <c r="AC2266" t="s">
        <v>53</v>
      </c>
      <c r="AD2266" t="s">
        <v>53</v>
      </c>
      <c r="AE2266">
        <v>129.03</v>
      </c>
      <c r="AK2266">
        <v>0</v>
      </c>
      <c r="AU2266" s="3">
        <v>42527</v>
      </c>
      <c r="AV2266" s="3">
        <v>42527</v>
      </c>
      <c r="AW2266" t="s">
        <v>54</v>
      </c>
      <c r="AX2266" t="str">
        <f t="shared" si="294"/>
        <v>FOR</v>
      </c>
      <c r="AY2266" t="s">
        <v>55</v>
      </c>
    </row>
    <row r="2267" spans="1:51" hidden="1">
      <c r="A2267">
        <v>103501</v>
      </c>
      <c r="B2267" t="s">
        <v>334</v>
      </c>
      <c r="C2267" t="str">
        <f>"02385200122"</f>
        <v>02385200122</v>
      </c>
      <c r="D2267" t="str">
        <f>"07195130153"</f>
        <v>07195130153</v>
      </c>
      <c r="E2267" t="s">
        <v>52</v>
      </c>
      <c r="F2267">
        <v>2015</v>
      </c>
      <c r="G2267" t="str">
        <f>"          3615012378"</f>
        <v xml:space="preserve">          3615012378</v>
      </c>
      <c r="H2267" s="3">
        <v>42039</v>
      </c>
      <c r="I2267" s="3">
        <v>42047</v>
      </c>
      <c r="J2267" s="3">
        <v>42047</v>
      </c>
      <c r="K2267" s="3">
        <v>42107</v>
      </c>
      <c r="L2267"/>
      <c r="N2267"/>
      <c r="O2267" s="4">
        <v>5861.2</v>
      </c>
      <c r="P2267">
        <v>298</v>
      </c>
      <c r="Q2267" s="4">
        <v>1746637.6</v>
      </c>
      <c r="R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 s="3">
        <v>42562</v>
      </c>
      <c r="AC2267" t="s">
        <v>53</v>
      </c>
      <c r="AD2267" t="s">
        <v>53</v>
      </c>
      <c r="AK2267">
        <v>0</v>
      </c>
      <c r="AU2267" s="3">
        <v>42405</v>
      </c>
      <c r="AV2267" s="3">
        <v>42405</v>
      </c>
      <c r="AW2267" t="s">
        <v>54</v>
      </c>
      <c r="AX2267" t="str">
        <f t="shared" si="294"/>
        <v>FOR</v>
      </c>
      <c r="AY2267" t="s">
        <v>55</v>
      </c>
    </row>
    <row r="2268" spans="1:51">
      <c r="A2268">
        <v>103501</v>
      </c>
      <c r="B2268" t="s">
        <v>334</v>
      </c>
      <c r="C2268" t="str">
        <f>"02385200122"</f>
        <v>02385200122</v>
      </c>
      <c r="D2268" t="str">
        <f>"07195130153"</f>
        <v>07195130153</v>
      </c>
      <c r="E2268" t="s">
        <v>52</v>
      </c>
      <c r="F2268">
        <v>2015</v>
      </c>
      <c r="G2268" t="str">
        <f>"          3615032858"</f>
        <v xml:space="preserve">          3615032858</v>
      </c>
      <c r="H2268" s="3">
        <v>42103</v>
      </c>
      <c r="I2268" s="3">
        <v>42422</v>
      </c>
      <c r="J2268" s="3">
        <v>42419</v>
      </c>
      <c r="K2268" s="3">
        <v>42479</v>
      </c>
      <c r="L2268" s="5">
        <v>5861.2</v>
      </c>
      <c r="M2268">
        <v>48</v>
      </c>
      <c r="N2268" s="5">
        <v>281337.59999999998</v>
      </c>
      <c r="O2268" s="4">
        <v>5861.2</v>
      </c>
      <c r="P2268">
        <v>48</v>
      </c>
      <c r="Q2268" s="4">
        <v>281337.59999999998</v>
      </c>
      <c r="R2268">
        <v>586.12</v>
      </c>
      <c r="V2268">
        <v>0</v>
      </c>
      <c r="W2268">
        <v>0</v>
      </c>
      <c r="X2268">
        <v>0</v>
      </c>
      <c r="Y2268">
        <v>0</v>
      </c>
      <c r="Z2268" s="4">
        <v>6447.32</v>
      </c>
      <c r="AA2268">
        <v>0</v>
      </c>
      <c r="AB2268" s="3">
        <v>42562</v>
      </c>
      <c r="AC2268" t="s">
        <v>53</v>
      </c>
      <c r="AD2268" t="s">
        <v>53</v>
      </c>
      <c r="AG2268">
        <v>586.12</v>
      </c>
      <c r="AK2268">
        <v>0</v>
      </c>
      <c r="AU2268" s="3">
        <v>42527</v>
      </c>
      <c r="AV2268" s="3">
        <v>42527</v>
      </c>
      <c r="AW2268" t="s">
        <v>54</v>
      </c>
      <c r="AX2268" t="str">
        <f t="shared" si="294"/>
        <v>FOR</v>
      </c>
      <c r="AY2268" t="s">
        <v>55</v>
      </c>
    </row>
    <row r="2269" spans="1:51">
      <c r="A2269">
        <v>103501</v>
      </c>
      <c r="B2269" t="s">
        <v>334</v>
      </c>
      <c r="C2269" t="str">
        <f>"02385200122"</f>
        <v>02385200122</v>
      </c>
      <c r="D2269" t="str">
        <f>"07195130153"</f>
        <v>07195130153</v>
      </c>
      <c r="E2269" t="s">
        <v>52</v>
      </c>
      <c r="F2269">
        <v>2015</v>
      </c>
      <c r="G2269" t="str">
        <f>"          3615053216"</f>
        <v xml:space="preserve">          3615053216</v>
      </c>
      <c r="H2269" s="3">
        <v>42167</v>
      </c>
      <c r="I2269" s="3">
        <v>42171</v>
      </c>
      <c r="J2269" s="3">
        <v>42170</v>
      </c>
      <c r="K2269" s="3">
        <v>42230</v>
      </c>
      <c r="L2269" s="5">
        <v>3099.92</v>
      </c>
      <c r="M2269">
        <v>297</v>
      </c>
      <c r="N2269" s="5">
        <v>920676.24</v>
      </c>
      <c r="O2269" s="4">
        <v>3099.92</v>
      </c>
      <c r="P2269">
        <v>297</v>
      </c>
      <c r="Q2269" s="4">
        <v>920676.24</v>
      </c>
      <c r="R2269">
        <v>309.99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 s="3">
        <v>42562</v>
      </c>
      <c r="AC2269" t="s">
        <v>53</v>
      </c>
      <c r="AD2269" t="s">
        <v>53</v>
      </c>
      <c r="AK2269">
        <v>309.99</v>
      </c>
      <c r="AU2269" s="3">
        <v>42527</v>
      </c>
      <c r="AV2269" s="3">
        <v>42527</v>
      </c>
      <c r="AW2269" t="s">
        <v>54</v>
      </c>
      <c r="AX2269" t="str">
        <f t="shared" si="294"/>
        <v>FOR</v>
      </c>
      <c r="AY2269" t="s">
        <v>55</v>
      </c>
    </row>
    <row r="2270" spans="1:51" hidden="1">
      <c r="A2270">
        <v>103538</v>
      </c>
      <c r="B2270" t="s">
        <v>335</v>
      </c>
      <c r="C2270" t="str">
        <f>"11957290155"</f>
        <v>11957290155</v>
      </c>
      <c r="D2270" t="str">
        <f>"11957290155"</f>
        <v>11957290155</v>
      </c>
      <c r="E2270" t="s">
        <v>52</v>
      </c>
      <c r="F2270">
        <v>2015</v>
      </c>
      <c r="G2270" t="str">
        <f>"       15/15VEN11891"</f>
        <v xml:space="preserve">       15/15VEN11891</v>
      </c>
      <c r="H2270" s="3">
        <v>42369</v>
      </c>
      <c r="I2270" s="3">
        <v>42369</v>
      </c>
      <c r="J2270" s="3">
        <v>42369</v>
      </c>
      <c r="K2270" s="3">
        <v>42429</v>
      </c>
      <c r="L2270"/>
      <c r="N2270"/>
      <c r="O2270">
        <v>145.80000000000001</v>
      </c>
      <c r="P2270">
        <v>-24</v>
      </c>
      <c r="Q2270" s="4">
        <v>-3499.2</v>
      </c>
      <c r="R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 s="3">
        <v>42562</v>
      </c>
      <c r="AC2270" t="s">
        <v>53</v>
      </c>
      <c r="AD2270" t="s">
        <v>53</v>
      </c>
      <c r="AK2270">
        <v>0</v>
      </c>
      <c r="AU2270" s="3">
        <v>42405</v>
      </c>
      <c r="AV2270" s="3">
        <v>42405</v>
      </c>
      <c r="AW2270" t="s">
        <v>54</v>
      </c>
      <c r="AX2270" t="str">
        <f t="shared" si="294"/>
        <v>FOR</v>
      </c>
      <c r="AY2270" t="s">
        <v>55</v>
      </c>
    </row>
    <row r="2271" spans="1:51">
      <c r="A2271">
        <v>103633</v>
      </c>
      <c r="B2271" t="s">
        <v>336</v>
      </c>
      <c r="C2271" t="str">
        <f>"02002150643"</f>
        <v>02002150643</v>
      </c>
      <c r="D2271" t="str">
        <f>"LDTRFL70H28H592V"</f>
        <v>LDTRFL70H28H592V</v>
      </c>
      <c r="E2271" t="s">
        <v>52</v>
      </c>
      <c r="F2271">
        <v>2015</v>
      </c>
      <c r="G2271" t="str">
        <f>"              116/PA"</f>
        <v xml:space="preserve">              116/PA</v>
      </c>
      <c r="H2271" s="3">
        <v>42185</v>
      </c>
      <c r="I2271" s="3">
        <v>42195</v>
      </c>
      <c r="J2271" s="3">
        <v>42195</v>
      </c>
      <c r="K2271" s="3">
        <v>42255</v>
      </c>
      <c r="L2271" s="1">
        <v>740</v>
      </c>
      <c r="M2271">
        <v>272</v>
      </c>
      <c r="N2271" s="5">
        <v>201280</v>
      </c>
      <c r="O2271">
        <v>740</v>
      </c>
      <c r="P2271">
        <v>272</v>
      </c>
      <c r="Q2271" s="4">
        <v>201280</v>
      </c>
      <c r="R2271">
        <v>162.80000000000001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 s="3">
        <v>42562</v>
      </c>
      <c r="AC2271" t="s">
        <v>53</v>
      </c>
      <c r="AD2271" t="s">
        <v>53</v>
      </c>
      <c r="AK2271">
        <v>162.80000000000001</v>
      </c>
      <c r="AU2271" s="3">
        <v>42527</v>
      </c>
      <c r="AV2271" s="3">
        <v>42527</v>
      </c>
      <c r="AW2271" t="s">
        <v>54</v>
      </c>
      <c r="AX2271" t="str">
        <f t="shared" si="294"/>
        <v>FOR</v>
      </c>
      <c r="AY2271" t="s">
        <v>55</v>
      </c>
    </row>
    <row r="2272" spans="1:51" hidden="1">
      <c r="A2272">
        <v>103633</v>
      </c>
      <c r="B2272" t="s">
        <v>336</v>
      </c>
      <c r="C2272" t="str">
        <f>"02002150643"</f>
        <v>02002150643</v>
      </c>
      <c r="D2272" t="str">
        <f>"LDTRFL70H28H592V"</f>
        <v>LDTRFL70H28H592V</v>
      </c>
      <c r="E2272" t="s">
        <v>52</v>
      </c>
      <c r="F2272">
        <v>2015</v>
      </c>
      <c r="G2272" t="str">
        <f>"              128/PA"</f>
        <v xml:space="preserve">              128/PA</v>
      </c>
      <c r="H2272" s="3">
        <v>42216</v>
      </c>
      <c r="I2272" s="3">
        <v>42282</v>
      </c>
      <c r="J2272" s="3">
        <v>42278</v>
      </c>
      <c r="K2272" s="3">
        <v>42338</v>
      </c>
      <c r="L2272"/>
      <c r="N2272"/>
      <c r="O2272">
        <v>165</v>
      </c>
      <c r="P2272">
        <v>65</v>
      </c>
      <c r="Q2272" s="4">
        <v>10725</v>
      </c>
      <c r="R2272">
        <v>16.5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 s="3">
        <v>42562</v>
      </c>
      <c r="AC2272" t="s">
        <v>53</v>
      </c>
      <c r="AD2272" t="s">
        <v>53</v>
      </c>
      <c r="AK2272">
        <v>16.5</v>
      </c>
      <c r="AU2272" s="3">
        <v>42403</v>
      </c>
      <c r="AV2272" s="3">
        <v>42403</v>
      </c>
      <c r="AW2272" t="s">
        <v>54</v>
      </c>
      <c r="AX2272" t="str">
        <f t="shared" si="294"/>
        <v>FOR</v>
      </c>
      <c r="AY2272" t="s">
        <v>55</v>
      </c>
    </row>
    <row r="2273" spans="1:51" hidden="1">
      <c r="A2273">
        <v>103808</v>
      </c>
      <c r="B2273" t="s">
        <v>337</v>
      </c>
      <c r="C2273" t="str">
        <f>"02405040284"</f>
        <v>02405040284</v>
      </c>
      <c r="D2273" t="str">
        <f>"02405040284"</f>
        <v>02405040284</v>
      </c>
      <c r="E2273" t="s">
        <v>52</v>
      </c>
      <c r="F2273">
        <v>2015</v>
      </c>
      <c r="G2273" t="str">
        <f>"              501591"</f>
        <v xml:space="preserve">              501591</v>
      </c>
      <c r="H2273" s="3">
        <v>42124</v>
      </c>
      <c r="I2273" s="3">
        <v>42361</v>
      </c>
      <c r="J2273" s="3">
        <v>42360</v>
      </c>
      <c r="K2273" s="3">
        <v>42420</v>
      </c>
      <c r="L2273"/>
      <c r="N2273"/>
      <c r="O2273" s="4">
        <v>8944</v>
      </c>
      <c r="P2273">
        <v>32</v>
      </c>
      <c r="Q2273" s="4">
        <v>286208</v>
      </c>
      <c r="R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 s="3">
        <v>42562</v>
      </c>
      <c r="AC2273" t="s">
        <v>53</v>
      </c>
      <c r="AD2273" t="s">
        <v>53</v>
      </c>
      <c r="AK2273">
        <v>0</v>
      </c>
      <c r="AU2273" s="3">
        <v>42452</v>
      </c>
      <c r="AV2273" s="3">
        <v>42452</v>
      </c>
      <c r="AW2273" t="s">
        <v>54</v>
      </c>
      <c r="AX2273" t="str">
        <f t="shared" si="294"/>
        <v>FOR</v>
      </c>
      <c r="AY2273" t="s">
        <v>55</v>
      </c>
    </row>
    <row r="2274" spans="1:51" hidden="1">
      <c r="A2274">
        <v>103808</v>
      </c>
      <c r="B2274" t="s">
        <v>337</v>
      </c>
      <c r="C2274" t="str">
        <f>"02405040284"</f>
        <v>02405040284</v>
      </c>
      <c r="D2274" t="str">
        <f>"02405040284"</f>
        <v>02405040284</v>
      </c>
      <c r="E2274" t="s">
        <v>52</v>
      </c>
      <c r="F2274">
        <v>2015</v>
      </c>
      <c r="G2274" t="str">
        <f>"              501592"</f>
        <v xml:space="preserve">              501592</v>
      </c>
      <c r="H2274" s="3">
        <v>42124</v>
      </c>
      <c r="I2274" s="3">
        <v>42361</v>
      </c>
      <c r="J2274" s="3">
        <v>42360</v>
      </c>
      <c r="K2274" s="3">
        <v>42420</v>
      </c>
      <c r="L2274"/>
      <c r="N2274"/>
      <c r="O2274">
        <v>467.5</v>
      </c>
      <c r="P2274">
        <v>32</v>
      </c>
      <c r="Q2274" s="4">
        <v>14960</v>
      </c>
      <c r="R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 s="3">
        <v>42562</v>
      </c>
      <c r="AC2274" t="s">
        <v>53</v>
      </c>
      <c r="AD2274" t="s">
        <v>53</v>
      </c>
      <c r="AK2274">
        <v>0</v>
      </c>
      <c r="AU2274" s="3">
        <v>42452</v>
      </c>
      <c r="AV2274" s="3">
        <v>42452</v>
      </c>
      <c r="AW2274" t="s">
        <v>54</v>
      </c>
      <c r="AX2274" t="str">
        <f t="shared" si="294"/>
        <v>FOR</v>
      </c>
      <c r="AY2274" t="s">
        <v>55</v>
      </c>
    </row>
    <row r="2275" spans="1:51" hidden="1">
      <c r="A2275">
        <v>103826</v>
      </c>
      <c r="B2275" t="s">
        <v>338</v>
      </c>
      <c r="C2275" t="str">
        <f>"03565511007"</f>
        <v>03565511007</v>
      </c>
      <c r="D2275" t="str">
        <f>"03565511007"</f>
        <v>03565511007</v>
      </c>
      <c r="E2275" t="s">
        <v>52</v>
      </c>
      <c r="F2275">
        <v>2015</v>
      </c>
      <c r="G2275" t="str">
        <f>"                 628"</f>
        <v xml:space="preserve">                 628</v>
      </c>
      <c r="H2275" s="3">
        <v>42268</v>
      </c>
      <c r="I2275" s="3">
        <v>42272</v>
      </c>
      <c r="J2275" s="3">
        <v>42271</v>
      </c>
      <c r="K2275" s="3">
        <v>42331</v>
      </c>
      <c r="L2275"/>
      <c r="N2275"/>
      <c r="O2275" s="4">
        <v>2985</v>
      </c>
      <c r="P2275">
        <v>77</v>
      </c>
      <c r="Q2275" s="4">
        <v>229845</v>
      </c>
      <c r="R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 s="3">
        <v>42562</v>
      </c>
      <c r="AC2275" t="s">
        <v>53</v>
      </c>
      <c r="AD2275" t="s">
        <v>53</v>
      </c>
      <c r="AK2275">
        <v>0</v>
      </c>
      <c r="AU2275" s="3">
        <v>42408</v>
      </c>
      <c r="AV2275" s="3">
        <v>42408</v>
      </c>
      <c r="AW2275" t="s">
        <v>54</v>
      </c>
      <c r="AX2275" t="str">
        <f t="shared" si="294"/>
        <v>FOR</v>
      </c>
      <c r="AY2275" t="s">
        <v>55</v>
      </c>
    </row>
    <row r="2276" spans="1:51" hidden="1">
      <c r="A2276">
        <v>103845</v>
      </c>
      <c r="B2276" t="s">
        <v>339</v>
      </c>
      <c r="C2276" t="str">
        <f>"10923790157"</f>
        <v>10923790157</v>
      </c>
      <c r="D2276" t="str">
        <f>""</f>
        <v/>
      </c>
      <c r="E2276" t="s">
        <v>52</v>
      </c>
      <c r="F2276">
        <v>2015</v>
      </c>
      <c r="G2276" t="str">
        <f>"              269340"</f>
        <v xml:space="preserve">              269340</v>
      </c>
      <c r="H2276" s="3">
        <v>42258</v>
      </c>
      <c r="I2276" s="3">
        <v>42263</v>
      </c>
      <c r="J2276" s="3">
        <v>42262</v>
      </c>
      <c r="K2276" s="3">
        <v>42322</v>
      </c>
      <c r="L2276"/>
      <c r="N2276"/>
      <c r="O2276">
        <v>515.6</v>
      </c>
      <c r="P2276">
        <v>86</v>
      </c>
      <c r="Q2276" s="4">
        <v>44341.599999999999</v>
      </c>
      <c r="R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 s="3">
        <v>42562</v>
      </c>
      <c r="AC2276" t="s">
        <v>53</v>
      </c>
      <c r="AD2276" t="s">
        <v>53</v>
      </c>
      <c r="AK2276">
        <v>0</v>
      </c>
      <c r="AU2276" s="3">
        <v>42408</v>
      </c>
      <c r="AV2276" s="3">
        <v>42408</v>
      </c>
      <c r="AW2276" t="s">
        <v>54</v>
      </c>
      <c r="AX2276" t="str">
        <f t="shared" si="294"/>
        <v>FOR</v>
      </c>
      <c r="AY2276" t="s">
        <v>55</v>
      </c>
    </row>
    <row r="2277" spans="1:51" hidden="1">
      <c r="A2277">
        <v>103849</v>
      </c>
      <c r="B2277" t="s">
        <v>340</v>
      </c>
      <c r="C2277" t="str">
        <f>"06904340632"</f>
        <v>06904340632</v>
      </c>
      <c r="D2277" t="str">
        <f>"06904340632"</f>
        <v>06904340632</v>
      </c>
      <c r="E2277" t="s">
        <v>52</v>
      </c>
      <c r="F2277">
        <v>2015</v>
      </c>
      <c r="G2277" t="str">
        <f>"                  17"</f>
        <v xml:space="preserve">                  17</v>
      </c>
      <c r="H2277" s="3">
        <v>42086</v>
      </c>
      <c r="I2277" s="3">
        <v>42097</v>
      </c>
      <c r="J2277" s="3">
        <v>42097</v>
      </c>
      <c r="K2277" s="3">
        <v>42157</v>
      </c>
      <c r="L2277"/>
      <c r="N2277"/>
      <c r="O2277">
        <v>230</v>
      </c>
      <c r="P2277">
        <v>247</v>
      </c>
      <c r="Q2277" s="4">
        <v>56810</v>
      </c>
      <c r="R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 s="3">
        <v>42562</v>
      </c>
      <c r="AC2277" t="s">
        <v>53</v>
      </c>
      <c r="AD2277" t="s">
        <v>53</v>
      </c>
      <c r="AK2277">
        <v>0</v>
      </c>
      <c r="AU2277" s="3">
        <v>42404</v>
      </c>
      <c r="AV2277" s="3">
        <v>42404</v>
      </c>
      <c r="AW2277" t="s">
        <v>54</v>
      </c>
      <c r="AX2277" t="str">
        <f t="shared" si="294"/>
        <v>FOR</v>
      </c>
      <c r="AY2277" t="s">
        <v>55</v>
      </c>
    </row>
    <row r="2278" spans="1:51" hidden="1">
      <c r="A2278">
        <v>103850</v>
      </c>
      <c r="B2278" t="s">
        <v>341</v>
      </c>
      <c r="C2278" t="str">
        <f>"04888840487"</f>
        <v>04888840487</v>
      </c>
      <c r="D2278" t="str">
        <f>"01772220065"</f>
        <v>01772220065</v>
      </c>
      <c r="E2278" t="s">
        <v>52</v>
      </c>
      <c r="F2278">
        <v>2015</v>
      </c>
      <c r="G2278" t="str">
        <f>"                1333"</f>
        <v xml:space="preserve">                1333</v>
      </c>
      <c r="H2278" s="3">
        <v>42369</v>
      </c>
      <c r="I2278" s="3">
        <v>42369</v>
      </c>
      <c r="J2278" s="3">
        <v>42369</v>
      </c>
      <c r="K2278" s="3">
        <v>42429</v>
      </c>
      <c r="L2278"/>
      <c r="N2278"/>
      <c r="O2278">
        <v>883</v>
      </c>
      <c r="P2278">
        <v>2</v>
      </c>
      <c r="Q2278" s="4">
        <v>1766</v>
      </c>
      <c r="R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 s="3">
        <v>42562</v>
      </c>
      <c r="AC2278" t="s">
        <v>53</v>
      </c>
      <c r="AD2278" t="s">
        <v>53</v>
      </c>
      <c r="AK2278">
        <v>0</v>
      </c>
      <c r="AU2278" s="3">
        <v>42431</v>
      </c>
      <c r="AV2278" s="3">
        <v>42431</v>
      </c>
      <c r="AW2278" t="s">
        <v>54</v>
      </c>
      <c r="AX2278" t="str">
        <f t="shared" si="294"/>
        <v>FOR</v>
      </c>
      <c r="AY2278" t="s">
        <v>55</v>
      </c>
    </row>
    <row r="2279" spans="1:51" hidden="1">
      <c r="A2279">
        <v>103852</v>
      </c>
      <c r="B2279" t="s">
        <v>342</v>
      </c>
      <c r="C2279" t="str">
        <f t="shared" ref="C2279:D2298" si="296">"02790240101"</f>
        <v>02790240101</v>
      </c>
      <c r="D2279" t="str">
        <f t="shared" si="296"/>
        <v>02790240101</v>
      </c>
      <c r="E2279" t="s">
        <v>52</v>
      </c>
      <c r="F2279">
        <v>2015</v>
      </c>
      <c r="G2279" t="str">
        <f>"                3020"</f>
        <v xml:space="preserve">                3020</v>
      </c>
      <c r="H2279" s="3">
        <v>42062</v>
      </c>
      <c r="I2279" s="3">
        <v>42086</v>
      </c>
      <c r="J2279" s="3">
        <v>42086</v>
      </c>
      <c r="K2279" s="3">
        <v>42146</v>
      </c>
      <c r="L2279"/>
      <c r="N2279"/>
      <c r="O2279">
        <v>61.28</v>
      </c>
      <c r="P2279">
        <v>262</v>
      </c>
      <c r="Q2279" s="4">
        <v>16055.36</v>
      </c>
      <c r="R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 s="3">
        <v>42562</v>
      </c>
      <c r="AC2279" t="s">
        <v>53</v>
      </c>
      <c r="AD2279" t="s">
        <v>53</v>
      </c>
      <c r="AK2279">
        <v>0</v>
      </c>
      <c r="AU2279" s="3">
        <v>42408</v>
      </c>
      <c r="AV2279" s="3">
        <v>42408</v>
      </c>
      <c r="AW2279" t="s">
        <v>54</v>
      </c>
      <c r="AX2279" t="str">
        <f t="shared" si="294"/>
        <v>FOR</v>
      </c>
      <c r="AY2279" t="s">
        <v>55</v>
      </c>
    </row>
    <row r="2280" spans="1:51" hidden="1">
      <c r="A2280">
        <v>103852</v>
      </c>
      <c r="B2280" t="s">
        <v>342</v>
      </c>
      <c r="C2280" t="str">
        <f t="shared" si="296"/>
        <v>02790240101</v>
      </c>
      <c r="D2280" t="str">
        <f t="shared" si="296"/>
        <v>02790240101</v>
      </c>
      <c r="E2280" t="s">
        <v>52</v>
      </c>
      <c r="F2280">
        <v>2015</v>
      </c>
      <c r="G2280" t="str">
        <f>"                3021"</f>
        <v xml:space="preserve">                3021</v>
      </c>
      <c r="H2280" s="3">
        <v>42062</v>
      </c>
      <c r="I2280" s="3">
        <v>42086</v>
      </c>
      <c r="J2280" s="3">
        <v>42086</v>
      </c>
      <c r="K2280" s="3">
        <v>42146</v>
      </c>
      <c r="L2280"/>
      <c r="N2280"/>
      <c r="O2280" s="4">
        <v>5508</v>
      </c>
      <c r="P2280">
        <v>262</v>
      </c>
      <c r="Q2280" s="4">
        <v>1443096</v>
      </c>
      <c r="R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 s="3">
        <v>42562</v>
      </c>
      <c r="AC2280" t="s">
        <v>53</v>
      </c>
      <c r="AD2280" t="s">
        <v>53</v>
      </c>
      <c r="AK2280">
        <v>0</v>
      </c>
      <c r="AU2280" s="3">
        <v>42408</v>
      </c>
      <c r="AV2280" s="3">
        <v>42408</v>
      </c>
      <c r="AW2280" t="s">
        <v>54</v>
      </c>
      <c r="AX2280" t="str">
        <f t="shared" si="294"/>
        <v>FOR</v>
      </c>
      <c r="AY2280" t="s">
        <v>55</v>
      </c>
    </row>
    <row r="2281" spans="1:51">
      <c r="A2281">
        <v>103852</v>
      </c>
      <c r="B2281" t="s">
        <v>342</v>
      </c>
      <c r="C2281" t="str">
        <f t="shared" si="296"/>
        <v>02790240101</v>
      </c>
      <c r="D2281" t="str">
        <f t="shared" si="296"/>
        <v>02790240101</v>
      </c>
      <c r="E2281" t="s">
        <v>52</v>
      </c>
      <c r="F2281">
        <v>2015</v>
      </c>
      <c r="G2281" t="str">
        <f>"                3022"</f>
        <v xml:space="preserve">                3022</v>
      </c>
      <c r="H2281" s="3">
        <v>42062</v>
      </c>
      <c r="I2281" s="3">
        <v>42475</v>
      </c>
      <c r="J2281" s="3">
        <v>42475</v>
      </c>
      <c r="K2281" s="3">
        <v>42535</v>
      </c>
      <c r="L2281" s="5">
        <v>5347.74</v>
      </c>
      <c r="M2281">
        <v>-43</v>
      </c>
      <c r="N2281" s="5">
        <v>-229952.82</v>
      </c>
      <c r="O2281" s="4">
        <v>5347.74</v>
      </c>
      <c r="P2281">
        <v>-43</v>
      </c>
      <c r="Q2281" s="4">
        <v>-229952.82</v>
      </c>
      <c r="R2281">
        <v>0</v>
      </c>
      <c r="V2281">
        <v>0</v>
      </c>
      <c r="W2281" s="4">
        <v>6524.24</v>
      </c>
      <c r="X2281">
        <v>0</v>
      </c>
      <c r="Y2281">
        <v>0</v>
      </c>
      <c r="Z2281" s="4">
        <v>6524.24</v>
      </c>
      <c r="AA2281">
        <v>0</v>
      </c>
      <c r="AB2281" s="3">
        <v>42562</v>
      </c>
      <c r="AC2281" t="s">
        <v>53</v>
      </c>
      <c r="AD2281" t="s">
        <v>53</v>
      </c>
      <c r="AK2281">
        <v>0</v>
      </c>
      <c r="AU2281" s="3">
        <v>42492</v>
      </c>
      <c r="AV2281" s="3">
        <v>42492</v>
      </c>
      <c r="AW2281" t="s">
        <v>54</v>
      </c>
      <c r="AX2281" t="str">
        <f t="shared" si="294"/>
        <v>FOR</v>
      </c>
      <c r="AY2281" t="s">
        <v>55</v>
      </c>
    </row>
    <row r="2282" spans="1:51" hidden="1">
      <c r="A2282">
        <v>103852</v>
      </c>
      <c r="B2282" t="s">
        <v>342</v>
      </c>
      <c r="C2282" t="str">
        <f t="shared" si="296"/>
        <v>02790240101</v>
      </c>
      <c r="D2282" t="str">
        <f t="shared" si="296"/>
        <v>02790240101</v>
      </c>
      <c r="E2282" t="s">
        <v>52</v>
      </c>
      <c r="F2282">
        <v>2015</v>
      </c>
      <c r="G2282" t="str">
        <f>"                3023"</f>
        <v xml:space="preserve">                3023</v>
      </c>
      <c r="H2282" s="3">
        <v>42062</v>
      </c>
      <c r="I2282" s="3">
        <v>42086</v>
      </c>
      <c r="J2282" s="3">
        <v>42086</v>
      </c>
      <c r="K2282" s="3">
        <v>42146</v>
      </c>
      <c r="L2282"/>
      <c r="N2282"/>
      <c r="O2282">
        <v>350</v>
      </c>
      <c r="P2282">
        <v>262</v>
      </c>
      <c r="Q2282" s="4">
        <v>91700</v>
      </c>
      <c r="R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 s="3">
        <v>42562</v>
      </c>
      <c r="AC2282" t="s">
        <v>53</v>
      </c>
      <c r="AD2282" t="s">
        <v>53</v>
      </c>
      <c r="AK2282">
        <v>0</v>
      </c>
      <c r="AU2282" s="3">
        <v>42408</v>
      </c>
      <c r="AV2282" s="3">
        <v>42408</v>
      </c>
      <c r="AW2282" t="s">
        <v>54</v>
      </c>
      <c r="AX2282" t="str">
        <f t="shared" si="294"/>
        <v>FOR</v>
      </c>
      <c r="AY2282" t="s">
        <v>55</v>
      </c>
    </row>
    <row r="2283" spans="1:51" hidden="1">
      <c r="A2283">
        <v>103852</v>
      </c>
      <c r="B2283" t="s">
        <v>342</v>
      </c>
      <c r="C2283" t="str">
        <f t="shared" si="296"/>
        <v>02790240101</v>
      </c>
      <c r="D2283" t="str">
        <f t="shared" si="296"/>
        <v>02790240101</v>
      </c>
      <c r="E2283" t="s">
        <v>52</v>
      </c>
      <c r="F2283">
        <v>2015</v>
      </c>
      <c r="G2283" t="str">
        <f>"                3024"</f>
        <v xml:space="preserve">                3024</v>
      </c>
      <c r="H2283" s="3">
        <v>42062</v>
      </c>
      <c r="I2283" s="3">
        <v>42086</v>
      </c>
      <c r="J2283" s="3">
        <v>42086</v>
      </c>
      <c r="K2283" s="3">
        <v>42146</v>
      </c>
      <c r="L2283"/>
      <c r="N2283"/>
      <c r="O2283" s="4">
        <v>1558</v>
      </c>
      <c r="P2283">
        <v>262</v>
      </c>
      <c r="Q2283" s="4">
        <v>408196</v>
      </c>
      <c r="R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 s="3">
        <v>42562</v>
      </c>
      <c r="AC2283" t="s">
        <v>53</v>
      </c>
      <c r="AD2283" t="s">
        <v>53</v>
      </c>
      <c r="AK2283">
        <v>0</v>
      </c>
      <c r="AU2283" s="3">
        <v>42408</v>
      </c>
      <c r="AV2283" s="3">
        <v>42408</v>
      </c>
      <c r="AW2283" t="s">
        <v>54</v>
      </c>
      <c r="AX2283" t="str">
        <f t="shared" si="294"/>
        <v>FOR</v>
      </c>
      <c r="AY2283" t="s">
        <v>55</v>
      </c>
    </row>
    <row r="2284" spans="1:51" hidden="1">
      <c r="A2284">
        <v>103852</v>
      </c>
      <c r="B2284" t="s">
        <v>342</v>
      </c>
      <c r="C2284" t="str">
        <f t="shared" si="296"/>
        <v>02790240101</v>
      </c>
      <c r="D2284" t="str">
        <f t="shared" si="296"/>
        <v>02790240101</v>
      </c>
      <c r="E2284" t="s">
        <v>52</v>
      </c>
      <c r="F2284">
        <v>2015</v>
      </c>
      <c r="G2284" t="str">
        <f>"                3025"</f>
        <v xml:space="preserve">                3025</v>
      </c>
      <c r="H2284" s="3">
        <v>42062</v>
      </c>
      <c r="I2284" s="3">
        <v>42086</v>
      </c>
      <c r="J2284" s="3">
        <v>42086</v>
      </c>
      <c r="K2284" s="3">
        <v>42146</v>
      </c>
      <c r="L2284"/>
      <c r="N2284"/>
      <c r="O2284">
        <v>518</v>
      </c>
      <c r="P2284">
        <v>262</v>
      </c>
      <c r="Q2284" s="4">
        <v>135716</v>
      </c>
      <c r="R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 s="3">
        <v>42562</v>
      </c>
      <c r="AC2284" t="s">
        <v>53</v>
      </c>
      <c r="AD2284" t="s">
        <v>53</v>
      </c>
      <c r="AK2284">
        <v>0</v>
      </c>
      <c r="AU2284" s="3">
        <v>42408</v>
      </c>
      <c r="AV2284" s="3">
        <v>42408</v>
      </c>
      <c r="AW2284" t="s">
        <v>54</v>
      </c>
      <c r="AX2284" t="str">
        <f t="shared" si="294"/>
        <v>FOR</v>
      </c>
      <c r="AY2284" t="s">
        <v>55</v>
      </c>
    </row>
    <row r="2285" spans="1:51" hidden="1">
      <c r="A2285">
        <v>103852</v>
      </c>
      <c r="B2285" t="s">
        <v>342</v>
      </c>
      <c r="C2285" t="str">
        <f t="shared" si="296"/>
        <v>02790240101</v>
      </c>
      <c r="D2285" t="str">
        <f t="shared" si="296"/>
        <v>02790240101</v>
      </c>
      <c r="E2285" t="s">
        <v>52</v>
      </c>
      <c r="F2285">
        <v>2015</v>
      </c>
      <c r="G2285" t="str">
        <f>"                3026"</f>
        <v xml:space="preserve">                3026</v>
      </c>
      <c r="H2285" s="3">
        <v>42062</v>
      </c>
      <c r="I2285" s="3">
        <v>42086</v>
      </c>
      <c r="J2285" s="3">
        <v>42086</v>
      </c>
      <c r="K2285" s="3">
        <v>42146</v>
      </c>
      <c r="L2285"/>
      <c r="N2285"/>
      <c r="O2285" s="4">
        <v>1711.2</v>
      </c>
      <c r="P2285">
        <v>262</v>
      </c>
      <c r="Q2285" s="4">
        <v>448334.4</v>
      </c>
      <c r="R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 s="3">
        <v>42562</v>
      </c>
      <c r="AC2285" t="s">
        <v>53</v>
      </c>
      <c r="AD2285" t="s">
        <v>53</v>
      </c>
      <c r="AK2285">
        <v>0</v>
      </c>
      <c r="AU2285" s="3">
        <v>42408</v>
      </c>
      <c r="AV2285" s="3">
        <v>42408</v>
      </c>
      <c r="AW2285" t="s">
        <v>54</v>
      </c>
      <c r="AX2285" t="str">
        <f t="shared" si="294"/>
        <v>FOR</v>
      </c>
      <c r="AY2285" t="s">
        <v>55</v>
      </c>
    </row>
    <row r="2286" spans="1:51" hidden="1">
      <c r="A2286">
        <v>103852</v>
      </c>
      <c r="B2286" t="s">
        <v>342</v>
      </c>
      <c r="C2286" t="str">
        <f t="shared" si="296"/>
        <v>02790240101</v>
      </c>
      <c r="D2286" t="str">
        <f t="shared" si="296"/>
        <v>02790240101</v>
      </c>
      <c r="E2286" t="s">
        <v>52</v>
      </c>
      <c r="F2286">
        <v>2015</v>
      </c>
      <c r="G2286" t="str">
        <f>"                4303"</f>
        <v xml:space="preserve">                4303</v>
      </c>
      <c r="H2286" s="3">
        <v>42079</v>
      </c>
      <c r="I2286" s="3">
        <v>42089</v>
      </c>
      <c r="J2286" s="3">
        <v>42089</v>
      </c>
      <c r="K2286" s="3">
        <v>42149</v>
      </c>
      <c r="L2286"/>
      <c r="N2286"/>
      <c r="O2286" s="4">
        <v>4590</v>
      </c>
      <c r="P2286">
        <v>266</v>
      </c>
      <c r="Q2286" s="4">
        <v>1220940</v>
      </c>
      <c r="R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 s="3">
        <v>42562</v>
      </c>
      <c r="AC2286" t="s">
        <v>53</v>
      </c>
      <c r="AD2286" t="s">
        <v>53</v>
      </c>
      <c r="AK2286">
        <v>0</v>
      </c>
      <c r="AU2286" s="3">
        <v>42415</v>
      </c>
      <c r="AV2286" s="3">
        <v>42415</v>
      </c>
      <c r="AW2286" t="s">
        <v>54</v>
      </c>
      <c r="AX2286" t="str">
        <f t="shared" si="294"/>
        <v>FOR</v>
      </c>
      <c r="AY2286" t="s">
        <v>55</v>
      </c>
    </row>
    <row r="2287" spans="1:51" hidden="1">
      <c r="A2287">
        <v>103852</v>
      </c>
      <c r="B2287" t="s">
        <v>342</v>
      </c>
      <c r="C2287" t="str">
        <f t="shared" si="296"/>
        <v>02790240101</v>
      </c>
      <c r="D2287" t="str">
        <f t="shared" si="296"/>
        <v>02790240101</v>
      </c>
      <c r="E2287" t="s">
        <v>52</v>
      </c>
      <c r="F2287">
        <v>2015</v>
      </c>
      <c r="G2287" t="str">
        <f>"                6742"</f>
        <v xml:space="preserve">                6742</v>
      </c>
      <c r="H2287" s="3">
        <v>42124</v>
      </c>
      <c r="I2287" s="3">
        <v>42163</v>
      </c>
      <c r="J2287" s="3">
        <v>42138</v>
      </c>
      <c r="K2287" s="3">
        <v>42198</v>
      </c>
      <c r="L2287"/>
      <c r="N2287"/>
      <c r="O2287" s="4">
        <v>4365.33</v>
      </c>
      <c r="P2287">
        <v>235</v>
      </c>
      <c r="Q2287" s="4">
        <v>1025852.55</v>
      </c>
      <c r="R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 s="3">
        <v>42562</v>
      </c>
      <c r="AC2287" t="s">
        <v>53</v>
      </c>
      <c r="AD2287" t="s">
        <v>53</v>
      </c>
      <c r="AK2287">
        <v>0</v>
      </c>
      <c r="AU2287" s="3">
        <v>42433</v>
      </c>
      <c r="AV2287" s="3">
        <v>42433</v>
      </c>
      <c r="AW2287" t="s">
        <v>54</v>
      </c>
      <c r="AX2287" t="str">
        <f t="shared" si="294"/>
        <v>FOR</v>
      </c>
      <c r="AY2287" t="s">
        <v>55</v>
      </c>
    </row>
    <row r="2288" spans="1:51" hidden="1">
      <c r="A2288">
        <v>103852</v>
      </c>
      <c r="B2288" t="s">
        <v>342</v>
      </c>
      <c r="C2288" t="str">
        <f t="shared" si="296"/>
        <v>02790240101</v>
      </c>
      <c r="D2288" t="str">
        <f t="shared" si="296"/>
        <v>02790240101</v>
      </c>
      <c r="E2288" t="s">
        <v>52</v>
      </c>
      <c r="F2288">
        <v>2015</v>
      </c>
      <c r="G2288" t="str">
        <f>"                6743"</f>
        <v xml:space="preserve">                6743</v>
      </c>
      <c r="H2288" s="3">
        <v>42124</v>
      </c>
      <c r="I2288" s="3">
        <v>42163</v>
      </c>
      <c r="J2288" s="3">
        <v>42138</v>
      </c>
      <c r="K2288" s="3">
        <v>42198</v>
      </c>
      <c r="L2288"/>
      <c r="N2288"/>
      <c r="O2288">
        <v>849</v>
      </c>
      <c r="P2288">
        <v>235</v>
      </c>
      <c r="Q2288" s="4">
        <v>199515</v>
      </c>
      <c r="R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 s="3">
        <v>42562</v>
      </c>
      <c r="AC2288" t="s">
        <v>53</v>
      </c>
      <c r="AD2288" t="s">
        <v>53</v>
      </c>
      <c r="AK2288">
        <v>0</v>
      </c>
      <c r="AU2288" s="3">
        <v>42433</v>
      </c>
      <c r="AV2288" s="3">
        <v>42433</v>
      </c>
      <c r="AW2288" t="s">
        <v>54</v>
      </c>
      <c r="AX2288" t="str">
        <f t="shared" si="294"/>
        <v>FOR</v>
      </c>
      <c r="AY2288" t="s">
        <v>55</v>
      </c>
    </row>
    <row r="2289" spans="1:51" hidden="1">
      <c r="A2289">
        <v>103852</v>
      </c>
      <c r="B2289" t="s">
        <v>342</v>
      </c>
      <c r="C2289" t="str">
        <f t="shared" si="296"/>
        <v>02790240101</v>
      </c>
      <c r="D2289" t="str">
        <f t="shared" si="296"/>
        <v>02790240101</v>
      </c>
      <c r="E2289" t="s">
        <v>52</v>
      </c>
      <c r="F2289">
        <v>2015</v>
      </c>
      <c r="G2289" t="str">
        <f>"                6744"</f>
        <v xml:space="preserve">                6744</v>
      </c>
      <c r="H2289" s="3">
        <v>42124</v>
      </c>
      <c r="I2289" s="3">
        <v>42163</v>
      </c>
      <c r="J2289" s="3">
        <v>42138</v>
      </c>
      <c r="K2289" s="3">
        <v>42198</v>
      </c>
      <c r="L2289"/>
      <c r="N2289"/>
      <c r="O2289">
        <v>481</v>
      </c>
      <c r="P2289">
        <v>235</v>
      </c>
      <c r="Q2289" s="4">
        <v>113035</v>
      </c>
      <c r="R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 s="3">
        <v>42562</v>
      </c>
      <c r="AC2289" t="s">
        <v>53</v>
      </c>
      <c r="AD2289" t="s">
        <v>53</v>
      </c>
      <c r="AK2289">
        <v>0</v>
      </c>
      <c r="AU2289" s="3">
        <v>42433</v>
      </c>
      <c r="AV2289" s="3">
        <v>42433</v>
      </c>
      <c r="AW2289" t="s">
        <v>54</v>
      </c>
      <c r="AX2289" t="str">
        <f t="shared" si="294"/>
        <v>FOR</v>
      </c>
      <c r="AY2289" t="s">
        <v>55</v>
      </c>
    </row>
    <row r="2290" spans="1:51" hidden="1">
      <c r="A2290">
        <v>103852</v>
      </c>
      <c r="B2290" t="s">
        <v>342</v>
      </c>
      <c r="C2290" t="str">
        <f t="shared" si="296"/>
        <v>02790240101</v>
      </c>
      <c r="D2290" t="str">
        <f t="shared" si="296"/>
        <v>02790240101</v>
      </c>
      <c r="E2290" t="s">
        <v>52</v>
      </c>
      <c r="F2290">
        <v>2015</v>
      </c>
      <c r="G2290" t="str">
        <f>"                6745"</f>
        <v xml:space="preserve">                6745</v>
      </c>
      <c r="H2290" s="3">
        <v>42124</v>
      </c>
      <c r="I2290" s="3">
        <v>42163</v>
      </c>
      <c r="J2290" s="3">
        <v>42138</v>
      </c>
      <c r="K2290" s="3">
        <v>42198</v>
      </c>
      <c r="L2290"/>
      <c r="N2290"/>
      <c r="O2290" s="4">
        <v>1116</v>
      </c>
      <c r="P2290">
        <v>235</v>
      </c>
      <c r="Q2290" s="4">
        <v>262260</v>
      </c>
      <c r="R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 s="3">
        <v>42562</v>
      </c>
      <c r="AC2290" t="s">
        <v>53</v>
      </c>
      <c r="AD2290" t="s">
        <v>53</v>
      </c>
      <c r="AK2290">
        <v>0</v>
      </c>
      <c r="AU2290" s="3">
        <v>42433</v>
      </c>
      <c r="AV2290" s="3">
        <v>42433</v>
      </c>
      <c r="AW2290" t="s">
        <v>54</v>
      </c>
      <c r="AX2290" t="str">
        <f t="shared" si="294"/>
        <v>FOR</v>
      </c>
      <c r="AY2290" t="s">
        <v>55</v>
      </c>
    </row>
    <row r="2291" spans="1:51" hidden="1">
      <c r="A2291">
        <v>103852</v>
      </c>
      <c r="B2291" t="s">
        <v>342</v>
      </c>
      <c r="C2291" t="str">
        <f t="shared" si="296"/>
        <v>02790240101</v>
      </c>
      <c r="D2291" t="str">
        <f t="shared" si="296"/>
        <v>02790240101</v>
      </c>
      <c r="E2291" t="s">
        <v>52</v>
      </c>
      <c r="F2291">
        <v>2015</v>
      </c>
      <c r="G2291" t="str">
        <f>"                6746"</f>
        <v xml:space="preserve">                6746</v>
      </c>
      <c r="H2291" s="3">
        <v>42124</v>
      </c>
      <c r="I2291" s="3">
        <v>42163</v>
      </c>
      <c r="J2291" s="3">
        <v>42138</v>
      </c>
      <c r="K2291" s="3">
        <v>42198</v>
      </c>
      <c r="L2291"/>
      <c r="N2291"/>
      <c r="O2291">
        <v>105</v>
      </c>
      <c r="P2291">
        <v>235</v>
      </c>
      <c r="Q2291" s="4">
        <v>24675</v>
      </c>
      <c r="R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 s="3">
        <v>42562</v>
      </c>
      <c r="AC2291" t="s">
        <v>53</v>
      </c>
      <c r="AD2291" t="s">
        <v>53</v>
      </c>
      <c r="AK2291">
        <v>0</v>
      </c>
      <c r="AU2291" s="3">
        <v>42433</v>
      </c>
      <c r="AV2291" s="3">
        <v>42433</v>
      </c>
      <c r="AW2291" t="s">
        <v>54</v>
      </c>
      <c r="AX2291" t="str">
        <f t="shared" si="294"/>
        <v>FOR</v>
      </c>
      <c r="AY2291" t="s">
        <v>55</v>
      </c>
    </row>
    <row r="2292" spans="1:51" hidden="1">
      <c r="A2292">
        <v>103852</v>
      </c>
      <c r="B2292" t="s">
        <v>342</v>
      </c>
      <c r="C2292" t="str">
        <f t="shared" si="296"/>
        <v>02790240101</v>
      </c>
      <c r="D2292" t="str">
        <f t="shared" si="296"/>
        <v>02790240101</v>
      </c>
      <c r="E2292" t="s">
        <v>52</v>
      </c>
      <c r="F2292">
        <v>2015</v>
      </c>
      <c r="G2292" t="str">
        <f>"                6747"</f>
        <v xml:space="preserve">                6747</v>
      </c>
      <c r="H2292" s="3">
        <v>42124</v>
      </c>
      <c r="I2292" s="3">
        <v>42163</v>
      </c>
      <c r="J2292" s="3">
        <v>42138</v>
      </c>
      <c r="K2292" s="3">
        <v>42198</v>
      </c>
      <c r="L2292"/>
      <c r="N2292"/>
      <c r="O2292" s="4">
        <v>3672</v>
      </c>
      <c r="P2292">
        <v>235</v>
      </c>
      <c r="Q2292" s="4">
        <v>862920</v>
      </c>
      <c r="R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 s="3">
        <v>42562</v>
      </c>
      <c r="AC2292" t="s">
        <v>53</v>
      </c>
      <c r="AD2292" t="s">
        <v>53</v>
      </c>
      <c r="AK2292">
        <v>0</v>
      </c>
      <c r="AU2292" s="3">
        <v>42433</v>
      </c>
      <c r="AV2292" s="3">
        <v>42433</v>
      </c>
      <c r="AW2292" t="s">
        <v>54</v>
      </c>
      <c r="AX2292" t="str">
        <f t="shared" si="294"/>
        <v>FOR</v>
      </c>
      <c r="AY2292" t="s">
        <v>55</v>
      </c>
    </row>
    <row r="2293" spans="1:51" hidden="1">
      <c r="A2293">
        <v>103852</v>
      </c>
      <c r="B2293" t="s">
        <v>342</v>
      </c>
      <c r="C2293" t="str">
        <f t="shared" si="296"/>
        <v>02790240101</v>
      </c>
      <c r="D2293" t="str">
        <f t="shared" si="296"/>
        <v>02790240101</v>
      </c>
      <c r="E2293" t="s">
        <v>52</v>
      </c>
      <c r="F2293">
        <v>2015</v>
      </c>
      <c r="G2293" t="str">
        <f>"                6748"</f>
        <v xml:space="preserve">                6748</v>
      </c>
      <c r="H2293" s="3">
        <v>42124</v>
      </c>
      <c r="I2293" s="3">
        <v>42163</v>
      </c>
      <c r="J2293" s="3">
        <v>42138</v>
      </c>
      <c r="K2293" s="3">
        <v>42198</v>
      </c>
      <c r="L2293"/>
      <c r="N2293"/>
      <c r="O2293">
        <v>360</v>
      </c>
      <c r="P2293">
        <v>235</v>
      </c>
      <c r="Q2293" s="4">
        <v>84600</v>
      </c>
      <c r="R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 s="3">
        <v>42562</v>
      </c>
      <c r="AC2293" t="s">
        <v>53</v>
      </c>
      <c r="AD2293" t="s">
        <v>53</v>
      </c>
      <c r="AK2293">
        <v>0</v>
      </c>
      <c r="AU2293" s="3">
        <v>42433</v>
      </c>
      <c r="AV2293" s="3">
        <v>42433</v>
      </c>
      <c r="AW2293" t="s">
        <v>54</v>
      </c>
      <c r="AX2293" t="str">
        <f t="shared" si="294"/>
        <v>FOR</v>
      </c>
      <c r="AY2293" t="s">
        <v>55</v>
      </c>
    </row>
    <row r="2294" spans="1:51" hidden="1">
      <c r="A2294">
        <v>103852</v>
      </c>
      <c r="B2294" t="s">
        <v>342</v>
      </c>
      <c r="C2294" t="str">
        <f t="shared" si="296"/>
        <v>02790240101</v>
      </c>
      <c r="D2294" t="str">
        <f t="shared" si="296"/>
        <v>02790240101</v>
      </c>
      <c r="E2294" t="s">
        <v>52</v>
      </c>
      <c r="F2294">
        <v>2015</v>
      </c>
      <c r="G2294" t="str">
        <f>"                6749"</f>
        <v xml:space="preserve">                6749</v>
      </c>
      <c r="H2294" s="3">
        <v>42124</v>
      </c>
      <c r="I2294" s="3">
        <v>42163</v>
      </c>
      <c r="J2294" s="3">
        <v>42138</v>
      </c>
      <c r="K2294" s="3">
        <v>42198</v>
      </c>
      <c r="L2294"/>
      <c r="N2294"/>
      <c r="O2294">
        <v>918</v>
      </c>
      <c r="P2294">
        <v>235</v>
      </c>
      <c r="Q2294" s="4">
        <v>215730</v>
      </c>
      <c r="R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 s="3">
        <v>42562</v>
      </c>
      <c r="AC2294" t="s">
        <v>53</v>
      </c>
      <c r="AD2294" t="s">
        <v>53</v>
      </c>
      <c r="AK2294">
        <v>0</v>
      </c>
      <c r="AU2294" s="3">
        <v>42433</v>
      </c>
      <c r="AV2294" s="3">
        <v>42433</v>
      </c>
      <c r="AW2294" t="s">
        <v>54</v>
      </c>
      <c r="AX2294" t="str">
        <f t="shared" si="294"/>
        <v>FOR</v>
      </c>
      <c r="AY2294" t="s">
        <v>55</v>
      </c>
    </row>
    <row r="2295" spans="1:51" hidden="1">
      <c r="A2295">
        <v>103852</v>
      </c>
      <c r="B2295" t="s">
        <v>342</v>
      </c>
      <c r="C2295" t="str">
        <f t="shared" si="296"/>
        <v>02790240101</v>
      </c>
      <c r="D2295" t="str">
        <f t="shared" si="296"/>
        <v>02790240101</v>
      </c>
      <c r="E2295" t="s">
        <v>52</v>
      </c>
      <c r="F2295">
        <v>2015</v>
      </c>
      <c r="G2295" t="str">
        <f>"                6750"</f>
        <v xml:space="preserve">                6750</v>
      </c>
      <c r="H2295" s="3">
        <v>42124</v>
      </c>
      <c r="I2295" s="3">
        <v>42163</v>
      </c>
      <c r="J2295" s="3">
        <v>42138</v>
      </c>
      <c r="K2295" s="3">
        <v>42198</v>
      </c>
      <c r="L2295"/>
      <c r="N2295"/>
      <c r="O2295">
        <v>50.4</v>
      </c>
      <c r="P2295">
        <v>235</v>
      </c>
      <c r="Q2295" s="4">
        <v>11844</v>
      </c>
      <c r="R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 s="3">
        <v>42562</v>
      </c>
      <c r="AC2295" t="s">
        <v>53</v>
      </c>
      <c r="AD2295" t="s">
        <v>53</v>
      </c>
      <c r="AK2295">
        <v>0</v>
      </c>
      <c r="AU2295" s="3">
        <v>42433</v>
      </c>
      <c r="AV2295" s="3">
        <v>42433</v>
      </c>
      <c r="AW2295" t="s">
        <v>54</v>
      </c>
      <c r="AX2295" t="str">
        <f t="shared" si="294"/>
        <v>FOR</v>
      </c>
      <c r="AY2295" t="s">
        <v>55</v>
      </c>
    </row>
    <row r="2296" spans="1:51" hidden="1">
      <c r="A2296">
        <v>103852</v>
      </c>
      <c r="B2296" t="s">
        <v>342</v>
      </c>
      <c r="C2296" t="str">
        <f t="shared" si="296"/>
        <v>02790240101</v>
      </c>
      <c r="D2296" t="str">
        <f t="shared" si="296"/>
        <v>02790240101</v>
      </c>
      <c r="E2296" t="s">
        <v>52</v>
      </c>
      <c r="F2296">
        <v>2015</v>
      </c>
      <c r="G2296" t="str">
        <f>"                6751"</f>
        <v xml:space="preserve">                6751</v>
      </c>
      <c r="H2296" s="3">
        <v>42124</v>
      </c>
      <c r="I2296" s="3">
        <v>42163</v>
      </c>
      <c r="J2296" s="3">
        <v>42138</v>
      </c>
      <c r="K2296" s="3">
        <v>42198</v>
      </c>
      <c r="L2296"/>
      <c r="N2296"/>
      <c r="O2296">
        <v>420</v>
      </c>
      <c r="P2296">
        <v>235</v>
      </c>
      <c r="Q2296" s="4">
        <v>98700</v>
      </c>
      <c r="R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 s="3">
        <v>42562</v>
      </c>
      <c r="AC2296" t="s">
        <v>53</v>
      </c>
      <c r="AD2296" t="s">
        <v>53</v>
      </c>
      <c r="AK2296">
        <v>0</v>
      </c>
      <c r="AU2296" s="3">
        <v>42433</v>
      </c>
      <c r="AV2296" s="3">
        <v>42433</v>
      </c>
      <c r="AW2296" t="s">
        <v>54</v>
      </c>
      <c r="AX2296" t="str">
        <f t="shared" si="294"/>
        <v>FOR</v>
      </c>
      <c r="AY2296" t="s">
        <v>55</v>
      </c>
    </row>
    <row r="2297" spans="1:51" hidden="1">
      <c r="A2297">
        <v>103852</v>
      </c>
      <c r="B2297" t="s">
        <v>342</v>
      </c>
      <c r="C2297" t="str">
        <f t="shared" si="296"/>
        <v>02790240101</v>
      </c>
      <c r="D2297" t="str">
        <f t="shared" si="296"/>
        <v>02790240101</v>
      </c>
      <c r="E2297" t="s">
        <v>52</v>
      </c>
      <c r="F2297">
        <v>2015</v>
      </c>
      <c r="G2297" t="str">
        <f>"                8123"</f>
        <v xml:space="preserve">                8123</v>
      </c>
      <c r="H2297" s="3">
        <v>42139</v>
      </c>
      <c r="I2297" s="3">
        <v>42165</v>
      </c>
      <c r="J2297" s="3">
        <v>42152</v>
      </c>
      <c r="K2297" s="3">
        <v>42212</v>
      </c>
      <c r="L2297"/>
      <c r="N2297"/>
      <c r="O2297">
        <v>967.5</v>
      </c>
      <c r="P2297">
        <v>240</v>
      </c>
      <c r="Q2297" s="4">
        <v>232200</v>
      </c>
      <c r="R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 s="3">
        <v>42562</v>
      </c>
      <c r="AC2297" t="s">
        <v>53</v>
      </c>
      <c r="AD2297" t="s">
        <v>53</v>
      </c>
      <c r="AK2297">
        <v>0</v>
      </c>
      <c r="AU2297" s="3">
        <v>42452</v>
      </c>
      <c r="AV2297" s="3">
        <v>42452</v>
      </c>
      <c r="AW2297" t="s">
        <v>54</v>
      </c>
      <c r="AX2297" t="str">
        <f t="shared" si="294"/>
        <v>FOR</v>
      </c>
      <c r="AY2297" t="s">
        <v>55</v>
      </c>
    </row>
    <row r="2298" spans="1:51" hidden="1">
      <c r="A2298">
        <v>103852</v>
      </c>
      <c r="B2298" t="s">
        <v>342</v>
      </c>
      <c r="C2298" t="str">
        <f t="shared" si="296"/>
        <v>02790240101</v>
      </c>
      <c r="D2298" t="str">
        <f t="shared" si="296"/>
        <v>02790240101</v>
      </c>
      <c r="E2298" t="s">
        <v>52</v>
      </c>
      <c r="F2298">
        <v>2015</v>
      </c>
      <c r="G2298" t="str">
        <f>"                8124"</f>
        <v xml:space="preserve">                8124</v>
      </c>
      <c r="H2298" s="3">
        <v>42139</v>
      </c>
      <c r="I2298" s="3">
        <v>42165</v>
      </c>
      <c r="J2298" s="3">
        <v>42152</v>
      </c>
      <c r="K2298" s="3">
        <v>42212</v>
      </c>
      <c r="L2298"/>
      <c r="N2298"/>
      <c r="O2298">
        <v>25.74</v>
      </c>
      <c r="P2298">
        <v>240</v>
      </c>
      <c r="Q2298" s="4">
        <v>6177.6</v>
      </c>
      <c r="R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 s="3">
        <v>42562</v>
      </c>
      <c r="AC2298" t="s">
        <v>53</v>
      </c>
      <c r="AD2298" t="s">
        <v>53</v>
      </c>
      <c r="AK2298">
        <v>0</v>
      </c>
      <c r="AU2298" s="3">
        <v>42452</v>
      </c>
      <c r="AV2298" s="3">
        <v>42452</v>
      </c>
      <c r="AW2298" t="s">
        <v>54</v>
      </c>
      <c r="AX2298" t="str">
        <f t="shared" si="294"/>
        <v>FOR</v>
      </c>
      <c r="AY2298" t="s">
        <v>55</v>
      </c>
    </row>
    <row r="2299" spans="1:51" hidden="1">
      <c r="A2299">
        <v>103852</v>
      </c>
      <c r="B2299" t="s">
        <v>342</v>
      </c>
      <c r="C2299" t="str">
        <f t="shared" ref="C2299:D2315" si="297">"02790240101"</f>
        <v>02790240101</v>
      </c>
      <c r="D2299" t="str">
        <f t="shared" si="297"/>
        <v>02790240101</v>
      </c>
      <c r="E2299" t="s">
        <v>52</v>
      </c>
      <c r="F2299">
        <v>2015</v>
      </c>
      <c r="G2299" t="str">
        <f>"                8125"</f>
        <v xml:space="preserve">                8125</v>
      </c>
      <c r="H2299" s="3">
        <v>42139</v>
      </c>
      <c r="I2299" s="3">
        <v>42165</v>
      </c>
      <c r="J2299" s="3">
        <v>42152</v>
      </c>
      <c r="K2299" s="3">
        <v>42212</v>
      </c>
      <c r="L2299"/>
      <c r="N2299"/>
      <c r="O2299">
        <v>201.6</v>
      </c>
      <c r="P2299">
        <v>240</v>
      </c>
      <c r="Q2299" s="4">
        <v>48384</v>
      </c>
      <c r="R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 s="3">
        <v>42562</v>
      </c>
      <c r="AC2299" t="s">
        <v>53</v>
      </c>
      <c r="AD2299" t="s">
        <v>53</v>
      </c>
      <c r="AK2299">
        <v>0</v>
      </c>
      <c r="AU2299" s="3">
        <v>42452</v>
      </c>
      <c r="AV2299" s="3">
        <v>42452</v>
      </c>
      <c r="AW2299" t="s">
        <v>54</v>
      </c>
      <c r="AX2299" t="str">
        <f t="shared" si="294"/>
        <v>FOR</v>
      </c>
      <c r="AY2299" t="s">
        <v>55</v>
      </c>
    </row>
    <row r="2300" spans="1:51" hidden="1">
      <c r="A2300">
        <v>103852</v>
      </c>
      <c r="B2300" t="s">
        <v>342</v>
      </c>
      <c r="C2300" t="str">
        <f t="shared" si="297"/>
        <v>02790240101</v>
      </c>
      <c r="D2300" t="str">
        <f t="shared" si="297"/>
        <v>02790240101</v>
      </c>
      <c r="E2300" t="s">
        <v>52</v>
      </c>
      <c r="F2300">
        <v>2015</v>
      </c>
      <c r="G2300" t="str">
        <f>"                9074"</f>
        <v xml:space="preserve">                9074</v>
      </c>
      <c r="H2300" s="3">
        <v>42153</v>
      </c>
      <c r="I2300" s="3">
        <v>42166</v>
      </c>
      <c r="J2300" s="3">
        <v>42159</v>
      </c>
      <c r="K2300" s="3">
        <v>42219</v>
      </c>
      <c r="L2300"/>
      <c r="N2300"/>
      <c r="O2300" s="4">
        <v>1121.4000000000001</v>
      </c>
      <c r="P2300">
        <v>233</v>
      </c>
      <c r="Q2300" s="4">
        <v>261286.2</v>
      </c>
      <c r="R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 s="3">
        <v>42562</v>
      </c>
      <c r="AC2300" t="s">
        <v>53</v>
      </c>
      <c r="AD2300" t="s">
        <v>53</v>
      </c>
      <c r="AK2300">
        <v>0</v>
      </c>
      <c r="AU2300" s="3">
        <v>42452</v>
      </c>
      <c r="AV2300" s="3">
        <v>42452</v>
      </c>
      <c r="AW2300" t="s">
        <v>54</v>
      </c>
      <c r="AX2300" t="str">
        <f t="shared" si="294"/>
        <v>FOR</v>
      </c>
      <c r="AY2300" t="s">
        <v>55</v>
      </c>
    </row>
    <row r="2301" spans="1:51" hidden="1">
      <c r="A2301">
        <v>103852</v>
      </c>
      <c r="B2301" t="s">
        <v>342</v>
      </c>
      <c r="C2301" t="str">
        <f t="shared" si="297"/>
        <v>02790240101</v>
      </c>
      <c r="D2301" t="str">
        <f t="shared" si="297"/>
        <v>02790240101</v>
      </c>
      <c r="E2301" t="s">
        <v>52</v>
      </c>
      <c r="F2301">
        <v>2015</v>
      </c>
      <c r="G2301" t="str">
        <f>"                9075"</f>
        <v xml:space="preserve">                9075</v>
      </c>
      <c r="H2301" s="3">
        <v>42153</v>
      </c>
      <c r="I2301" s="3">
        <v>42164</v>
      </c>
      <c r="J2301" s="3">
        <v>42159</v>
      </c>
      <c r="K2301" s="3">
        <v>42219</v>
      </c>
      <c r="L2301"/>
      <c r="N2301"/>
      <c r="O2301" s="4">
        <v>1030</v>
      </c>
      <c r="P2301">
        <v>233</v>
      </c>
      <c r="Q2301" s="4">
        <v>239990</v>
      </c>
      <c r="R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 s="3">
        <v>42562</v>
      </c>
      <c r="AC2301" t="s">
        <v>53</v>
      </c>
      <c r="AD2301" t="s">
        <v>53</v>
      </c>
      <c r="AK2301">
        <v>0</v>
      </c>
      <c r="AU2301" s="3">
        <v>42452</v>
      </c>
      <c r="AV2301" s="3">
        <v>42452</v>
      </c>
      <c r="AW2301" t="s">
        <v>54</v>
      </c>
      <c r="AX2301" t="str">
        <f t="shared" si="294"/>
        <v>FOR</v>
      </c>
      <c r="AY2301" t="s">
        <v>55</v>
      </c>
    </row>
    <row r="2302" spans="1:51" hidden="1">
      <c r="A2302">
        <v>103852</v>
      </c>
      <c r="B2302" t="s">
        <v>342</v>
      </c>
      <c r="C2302" t="str">
        <f t="shared" si="297"/>
        <v>02790240101</v>
      </c>
      <c r="D2302" t="str">
        <f t="shared" si="297"/>
        <v>02790240101</v>
      </c>
      <c r="E2302" t="s">
        <v>52</v>
      </c>
      <c r="F2302">
        <v>2015</v>
      </c>
      <c r="G2302" t="str">
        <f>"                9076"</f>
        <v xml:space="preserve">                9076</v>
      </c>
      <c r="H2302" s="3">
        <v>42153</v>
      </c>
      <c r="I2302" s="3">
        <v>42166</v>
      </c>
      <c r="J2302" s="3">
        <v>42159</v>
      </c>
      <c r="K2302" s="3">
        <v>42219</v>
      </c>
      <c r="L2302"/>
      <c r="N2302"/>
      <c r="O2302" s="4">
        <v>1041.5999999999999</v>
      </c>
      <c r="P2302">
        <v>233</v>
      </c>
      <c r="Q2302" s="4">
        <v>242692.8</v>
      </c>
      <c r="R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 s="3">
        <v>42562</v>
      </c>
      <c r="AC2302" t="s">
        <v>53</v>
      </c>
      <c r="AD2302" t="s">
        <v>53</v>
      </c>
      <c r="AK2302">
        <v>0</v>
      </c>
      <c r="AU2302" s="3">
        <v>42452</v>
      </c>
      <c r="AV2302" s="3">
        <v>42452</v>
      </c>
      <c r="AW2302" t="s">
        <v>54</v>
      </c>
      <c r="AX2302" t="str">
        <f t="shared" si="294"/>
        <v>FOR</v>
      </c>
      <c r="AY2302" t="s">
        <v>55</v>
      </c>
    </row>
    <row r="2303" spans="1:51" hidden="1">
      <c r="A2303">
        <v>103852</v>
      </c>
      <c r="B2303" t="s">
        <v>342</v>
      </c>
      <c r="C2303" t="str">
        <f t="shared" si="297"/>
        <v>02790240101</v>
      </c>
      <c r="D2303" t="str">
        <f t="shared" si="297"/>
        <v>02790240101</v>
      </c>
      <c r="E2303" t="s">
        <v>52</v>
      </c>
      <c r="F2303">
        <v>2015</v>
      </c>
      <c r="G2303" t="str">
        <f>"                9077"</f>
        <v xml:space="preserve">                9077</v>
      </c>
      <c r="H2303" s="3">
        <v>42153</v>
      </c>
      <c r="I2303" s="3">
        <v>42166</v>
      </c>
      <c r="J2303" s="3">
        <v>42159</v>
      </c>
      <c r="K2303" s="3">
        <v>42219</v>
      </c>
      <c r="L2303"/>
      <c r="N2303"/>
      <c r="O2303">
        <v>918</v>
      </c>
      <c r="P2303">
        <v>233</v>
      </c>
      <c r="Q2303" s="4">
        <v>213894</v>
      </c>
      <c r="R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 s="3">
        <v>42562</v>
      </c>
      <c r="AC2303" t="s">
        <v>53</v>
      </c>
      <c r="AD2303" t="s">
        <v>53</v>
      </c>
      <c r="AK2303">
        <v>0</v>
      </c>
      <c r="AU2303" s="3">
        <v>42452</v>
      </c>
      <c r="AV2303" s="3">
        <v>42452</v>
      </c>
      <c r="AW2303" t="s">
        <v>54</v>
      </c>
      <c r="AX2303" t="str">
        <f t="shared" si="294"/>
        <v>FOR</v>
      </c>
      <c r="AY2303" t="s">
        <v>55</v>
      </c>
    </row>
    <row r="2304" spans="1:51">
      <c r="A2304">
        <v>103852</v>
      </c>
      <c r="B2304" t="s">
        <v>342</v>
      </c>
      <c r="C2304" t="str">
        <f t="shared" si="297"/>
        <v>02790240101</v>
      </c>
      <c r="D2304" t="str">
        <f t="shared" si="297"/>
        <v>02790240101</v>
      </c>
      <c r="E2304" t="s">
        <v>52</v>
      </c>
      <c r="F2304">
        <v>2015</v>
      </c>
      <c r="G2304" t="str">
        <f>"                9935"</f>
        <v xml:space="preserve">                9935</v>
      </c>
      <c r="H2304" s="3">
        <v>42170</v>
      </c>
      <c r="I2304" s="3">
        <v>42181</v>
      </c>
      <c r="J2304" s="3">
        <v>42175</v>
      </c>
      <c r="K2304" s="3">
        <v>42235</v>
      </c>
      <c r="L2304" s="1">
        <v>636.29999999999995</v>
      </c>
      <c r="M2304">
        <v>257</v>
      </c>
      <c r="N2304" s="5">
        <v>163529.1</v>
      </c>
      <c r="O2304">
        <v>636.29999999999995</v>
      </c>
      <c r="P2304">
        <v>257</v>
      </c>
      <c r="Q2304" s="4">
        <v>163529.1</v>
      </c>
      <c r="R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 s="3">
        <v>42562</v>
      </c>
      <c r="AC2304" t="s">
        <v>53</v>
      </c>
      <c r="AD2304" t="s">
        <v>53</v>
      </c>
      <c r="AK2304">
        <v>0</v>
      </c>
      <c r="AU2304" s="3">
        <v>42492</v>
      </c>
      <c r="AV2304" s="3">
        <v>42492</v>
      </c>
      <c r="AW2304" t="s">
        <v>54</v>
      </c>
      <c r="AX2304" t="str">
        <f t="shared" si="294"/>
        <v>FOR</v>
      </c>
      <c r="AY2304" t="s">
        <v>55</v>
      </c>
    </row>
    <row r="2305" spans="1:51">
      <c r="A2305">
        <v>103852</v>
      </c>
      <c r="B2305" t="s">
        <v>342</v>
      </c>
      <c r="C2305" t="str">
        <f t="shared" si="297"/>
        <v>02790240101</v>
      </c>
      <c r="D2305" t="str">
        <f t="shared" si="297"/>
        <v>02790240101</v>
      </c>
      <c r="E2305" t="s">
        <v>52</v>
      </c>
      <c r="F2305">
        <v>2015</v>
      </c>
      <c r="G2305" t="str">
        <f>"                9936"</f>
        <v xml:space="preserve">                9936</v>
      </c>
      <c r="H2305" s="3">
        <v>42170</v>
      </c>
      <c r="I2305" s="3">
        <v>42181</v>
      </c>
      <c r="J2305" s="3">
        <v>42175</v>
      </c>
      <c r="K2305" s="3">
        <v>42235</v>
      </c>
      <c r="L2305" s="1">
        <v>10.5</v>
      </c>
      <c r="M2305">
        <v>257</v>
      </c>
      <c r="N2305" s="5">
        <v>2698.5</v>
      </c>
      <c r="O2305">
        <v>10.5</v>
      </c>
      <c r="P2305">
        <v>257</v>
      </c>
      <c r="Q2305" s="4">
        <v>2698.5</v>
      </c>
      <c r="R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 s="3">
        <v>42562</v>
      </c>
      <c r="AC2305" t="s">
        <v>53</v>
      </c>
      <c r="AD2305" t="s">
        <v>53</v>
      </c>
      <c r="AK2305">
        <v>0</v>
      </c>
      <c r="AU2305" s="3">
        <v>42492</v>
      </c>
      <c r="AV2305" s="3">
        <v>42492</v>
      </c>
      <c r="AW2305" t="s">
        <v>54</v>
      </c>
      <c r="AX2305" t="str">
        <f t="shared" si="294"/>
        <v>FOR</v>
      </c>
      <c r="AY2305" t="s">
        <v>55</v>
      </c>
    </row>
    <row r="2306" spans="1:51">
      <c r="A2306">
        <v>103852</v>
      </c>
      <c r="B2306" t="s">
        <v>342</v>
      </c>
      <c r="C2306" t="str">
        <f t="shared" si="297"/>
        <v>02790240101</v>
      </c>
      <c r="D2306" t="str">
        <f t="shared" si="297"/>
        <v>02790240101</v>
      </c>
      <c r="E2306" t="s">
        <v>52</v>
      </c>
      <c r="F2306">
        <v>2015</v>
      </c>
      <c r="G2306" t="str">
        <f>"                9937"</f>
        <v xml:space="preserve">                9937</v>
      </c>
      <c r="H2306" s="3">
        <v>42170</v>
      </c>
      <c r="I2306" s="3">
        <v>42181</v>
      </c>
      <c r="J2306" s="3">
        <v>42175</v>
      </c>
      <c r="K2306" s="3">
        <v>42235</v>
      </c>
      <c r="L2306" s="1">
        <v>576</v>
      </c>
      <c r="M2306">
        <v>257</v>
      </c>
      <c r="N2306" s="5">
        <v>148032</v>
      </c>
      <c r="O2306">
        <v>576</v>
      </c>
      <c r="P2306">
        <v>257</v>
      </c>
      <c r="Q2306" s="4">
        <v>148032</v>
      </c>
      <c r="R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 s="3">
        <v>42562</v>
      </c>
      <c r="AC2306" t="s">
        <v>53</v>
      </c>
      <c r="AD2306" t="s">
        <v>53</v>
      </c>
      <c r="AK2306">
        <v>0</v>
      </c>
      <c r="AU2306" s="3">
        <v>42492</v>
      </c>
      <c r="AV2306" s="3">
        <v>42492</v>
      </c>
      <c r="AW2306" t="s">
        <v>54</v>
      </c>
      <c r="AX2306" t="str">
        <f t="shared" si="294"/>
        <v>FOR</v>
      </c>
      <c r="AY2306" t="s">
        <v>55</v>
      </c>
    </row>
    <row r="2307" spans="1:51">
      <c r="A2307">
        <v>103852</v>
      </c>
      <c r="B2307" t="s">
        <v>342</v>
      </c>
      <c r="C2307" t="str">
        <f t="shared" si="297"/>
        <v>02790240101</v>
      </c>
      <c r="D2307" t="str">
        <f t="shared" si="297"/>
        <v>02790240101</v>
      </c>
      <c r="E2307" t="s">
        <v>52</v>
      </c>
      <c r="F2307">
        <v>2015</v>
      </c>
      <c r="G2307" t="str">
        <f>"                9938"</f>
        <v xml:space="preserve">                9938</v>
      </c>
      <c r="H2307" s="3">
        <v>42170</v>
      </c>
      <c r="I2307" s="3">
        <v>42181</v>
      </c>
      <c r="J2307" s="3">
        <v>42175</v>
      </c>
      <c r="K2307" s="3">
        <v>42235</v>
      </c>
      <c r="L2307" s="5">
        <v>2804.38</v>
      </c>
      <c r="M2307">
        <v>257</v>
      </c>
      <c r="N2307" s="5">
        <v>720725.66</v>
      </c>
      <c r="O2307" s="4">
        <v>2804.38</v>
      </c>
      <c r="P2307">
        <v>257</v>
      </c>
      <c r="Q2307" s="4">
        <v>720725.66</v>
      </c>
      <c r="R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 s="3">
        <v>42562</v>
      </c>
      <c r="AC2307" t="s">
        <v>53</v>
      </c>
      <c r="AD2307" t="s">
        <v>53</v>
      </c>
      <c r="AK2307">
        <v>0</v>
      </c>
      <c r="AU2307" s="3">
        <v>42492</v>
      </c>
      <c r="AV2307" s="3">
        <v>42492</v>
      </c>
      <c r="AW2307" t="s">
        <v>54</v>
      </c>
      <c r="AX2307" t="str">
        <f t="shared" si="294"/>
        <v>FOR</v>
      </c>
      <c r="AY2307" t="s">
        <v>55</v>
      </c>
    </row>
    <row r="2308" spans="1:51">
      <c r="A2308">
        <v>103852</v>
      </c>
      <c r="B2308" t="s">
        <v>342</v>
      </c>
      <c r="C2308" t="str">
        <f t="shared" si="297"/>
        <v>02790240101</v>
      </c>
      <c r="D2308" t="str">
        <f t="shared" si="297"/>
        <v>02790240101</v>
      </c>
      <c r="E2308" t="s">
        <v>52</v>
      </c>
      <c r="F2308">
        <v>2015</v>
      </c>
      <c r="G2308" t="str">
        <f>"                9939"</f>
        <v xml:space="preserve">                9939</v>
      </c>
      <c r="H2308" s="3">
        <v>42170</v>
      </c>
      <c r="I2308" s="3">
        <v>42181</v>
      </c>
      <c r="J2308" s="3">
        <v>42175</v>
      </c>
      <c r="K2308" s="3">
        <v>42235</v>
      </c>
      <c r="L2308" s="1">
        <v>137.80000000000001</v>
      </c>
      <c r="M2308">
        <v>257</v>
      </c>
      <c r="N2308" s="5">
        <v>35414.6</v>
      </c>
      <c r="O2308">
        <v>137.80000000000001</v>
      </c>
      <c r="P2308">
        <v>257</v>
      </c>
      <c r="Q2308" s="4">
        <v>35414.6</v>
      </c>
      <c r="R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 s="3">
        <v>42562</v>
      </c>
      <c r="AC2308" t="s">
        <v>53</v>
      </c>
      <c r="AD2308" t="s">
        <v>53</v>
      </c>
      <c r="AK2308">
        <v>0</v>
      </c>
      <c r="AU2308" s="3">
        <v>42492</v>
      </c>
      <c r="AV2308" s="3">
        <v>42492</v>
      </c>
      <c r="AW2308" t="s">
        <v>54</v>
      </c>
      <c r="AX2308" t="str">
        <f t="shared" si="294"/>
        <v>FOR</v>
      </c>
      <c r="AY2308" t="s">
        <v>55</v>
      </c>
    </row>
    <row r="2309" spans="1:51">
      <c r="A2309">
        <v>103852</v>
      </c>
      <c r="B2309" t="s">
        <v>342</v>
      </c>
      <c r="C2309" t="str">
        <f t="shared" si="297"/>
        <v>02790240101</v>
      </c>
      <c r="D2309" t="str">
        <f t="shared" si="297"/>
        <v>02790240101</v>
      </c>
      <c r="E2309" t="s">
        <v>52</v>
      </c>
      <c r="F2309">
        <v>2015</v>
      </c>
      <c r="G2309" t="str">
        <f>"                9940"</f>
        <v xml:space="preserve">                9940</v>
      </c>
      <c r="H2309" s="3">
        <v>42170</v>
      </c>
      <c r="I2309" s="3">
        <v>42181</v>
      </c>
      <c r="J2309" s="3">
        <v>42175</v>
      </c>
      <c r="K2309" s="3">
        <v>42235</v>
      </c>
      <c r="L2309" s="5">
        <v>3672</v>
      </c>
      <c r="M2309">
        <v>257</v>
      </c>
      <c r="N2309" s="5">
        <v>943704</v>
      </c>
      <c r="O2309" s="4">
        <v>3672</v>
      </c>
      <c r="P2309">
        <v>257</v>
      </c>
      <c r="Q2309" s="4">
        <v>943704</v>
      </c>
      <c r="R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 s="3">
        <v>42562</v>
      </c>
      <c r="AC2309" t="s">
        <v>53</v>
      </c>
      <c r="AD2309" t="s">
        <v>53</v>
      </c>
      <c r="AK2309">
        <v>0</v>
      </c>
      <c r="AU2309" s="3">
        <v>42492</v>
      </c>
      <c r="AV2309" s="3">
        <v>42492</v>
      </c>
      <c r="AW2309" t="s">
        <v>54</v>
      </c>
      <c r="AX2309" t="str">
        <f t="shared" si="294"/>
        <v>FOR</v>
      </c>
      <c r="AY2309" t="s">
        <v>55</v>
      </c>
    </row>
    <row r="2310" spans="1:51">
      <c r="A2310">
        <v>103852</v>
      </c>
      <c r="B2310" t="s">
        <v>342</v>
      </c>
      <c r="C2310" t="str">
        <f t="shared" si="297"/>
        <v>02790240101</v>
      </c>
      <c r="D2310" t="str">
        <f t="shared" si="297"/>
        <v>02790240101</v>
      </c>
      <c r="E2310" t="s">
        <v>52</v>
      </c>
      <c r="F2310">
        <v>2015</v>
      </c>
      <c r="G2310" t="str">
        <f>"                9941"</f>
        <v xml:space="preserve">                9941</v>
      </c>
      <c r="H2310" s="3">
        <v>42170</v>
      </c>
      <c r="I2310" s="3">
        <v>42181</v>
      </c>
      <c r="J2310" s="3">
        <v>42175</v>
      </c>
      <c r="K2310" s="3">
        <v>42235</v>
      </c>
      <c r="L2310" s="1">
        <v>371.88</v>
      </c>
      <c r="M2310">
        <v>257</v>
      </c>
      <c r="N2310" s="5">
        <v>95573.16</v>
      </c>
      <c r="O2310">
        <v>371.88</v>
      </c>
      <c r="P2310">
        <v>257</v>
      </c>
      <c r="Q2310" s="4">
        <v>95573.16</v>
      </c>
      <c r="R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 s="3">
        <v>42562</v>
      </c>
      <c r="AC2310" t="s">
        <v>53</v>
      </c>
      <c r="AD2310" t="s">
        <v>53</v>
      </c>
      <c r="AK2310">
        <v>0</v>
      </c>
      <c r="AU2310" s="3">
        <v>42492</v>
      </c>
      <c r="AV2310" s="3">
        <v>42492</v>
      </c>
      <c r="AW2310" t="s">
        <v>54</v>
      </c>
      <c r="AX2310" t="str">
        <f t="shared" si="294"/>
        <v>FOR</v>
      </c>
      <c r="AY2310" t="s">
        <v>55</v>
      </c>
    </row>
    <row r="2311" spans="1:51">
      <c r="A2311">
        <v>103852</v>
      </c>
      <c r="B2311" t="s">
        <v>342</v>
      </c>
      <c r="C2311" t="str">
        <f t="shared" si="297"/>
        <v>02790240101</v>
      </c>
      <c r="D2311" t="str">
        <f t="shared" si="297"/>
        <v>02790240101</v>
      </c>
      <c r="E2311" t="s">
        <v>52</v>
      </c>
      <c r="F2311">
        <v>2015</v>
      </c>
      <c r="G2311" t="str">
        <f>"                9942"</f>
        <v xml:space="preserve">                9942</v>
      </c>
      <c r="H2311" s="3">
        <v>42170</v>
      </c>
      <c r="I2311" s="3">
        <v>42181</v>
      </c>
      <c r="J2311" s="3">
        <v>42175</v>
      </c>
      <c r="K2311" s="3">
        <v>42235</v>
      </c>
      <c r="L2311" s="1">
        <v>918</v>
      </c>
      <c r="M2311">
        <v>257</v>
      </c>
      <c r="N2311" s="5">
        <v>235926</v>
      </c>
      <c r="O2311">
        <v>918</v>
      </c>
      <c r="P2311">
        <v>257</v>
      </c>
      <c r="Q2311" s="4">
        <v>235926</v>
      </c>
      <c r="R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 s="3">
        <v>42562</v>
      </c>
      <c r="AC2311" t="s">
        <v>53</v>
      </c>
      <c r="AD2311" t="s">
        <v>53</v>
      </c>
      <c r="AK2311">
        <v>0</v>
      </c>
      <c r="AU2311" s="3">
        <v>42492</v>
      </c>
      <c r="AV2311" s="3">
        <v>42492</v>
      </c>
      <c r="AW2311" t="s">
        <v>54</v>
      </c>
      <c r="AX2311" t="str">
        <f t="shared" si="294"/>
        <v>FOR</v>
      </c>
      <c r="AY2311" t="s">
        <v>55</v>
      </c>
    </row>
    <row r="2312" spans="1:51">
      <c r="A2312">
        <v>103852</v>
      </c>
      <c r="B2312" t="s">
        <v>342</v>
      </c>
      <c r="C2312" t="str">
        <f t="shared" si="297"/>
        <v>02790240101</v>
      </c>
      <c r="D2312" t="str">
        <f t="shared" si="297"/>
        <v>02790240101</v>
      </c>
      <c r="E2312" t="s">
        <v>52</v>
      </c>
      <c r="F2312">
        <v>2015</v>
      </c>
      <c r="G2312" t="str">
        <f>"                9943"</f>
        <v xml:space="preserve">                9943</v>
      </c>
      <c r="H2312" s="3">
        <v>42170</v>
      </c>
      <c r="I2312" s="3">
        <v>42181</v>
      </c>
      <c r="J2312" s="3">
        <v>42175</v>
      </c>
      <c r="K2312" s="3">
        <v>42235</v>
      </c>
      <c r="L2312" s="1">
        <v>525</v>
      </c>
      <c r="M2312">
        <v>257</v>
      </c>
      <c r="N2312" s="5">
        <v>134925</v>
      </c>
      <c r="O2312">
        <v>525</v>
      </c>
      <c r="P2312">
        <v>257</v>
      </c>
      <c r="Q2312" s="4">
        <v>134925</v>
      </c>
      <c r="R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 s="3">
        <v>42562</v>
      </c>
      <c r="AC2312" t="s">
        <v>53</v>
      </c>
      <c r="AD2312" t="s">
        <v>53</v>
      </c>
      <c r="AK2312">
        <v>0</v>
      </c>
      <c r="AU2312" s="3">
        <v>42492</v>
      </c>
      <c r="AV2312" s="3">
        <v>42492</v>
      </c>
      <c r="AW2312" t="s">
        <v>54</v>
      </c>
      <c r="AX2312" t="str">
        <f t="shared" si="294"/>
        <v>FOR</v>
      </c>
      <c r="AY2312" t="s">
        <v>55</v>
      </c>
    </row>
    <row r="2313" spans="1:51">
      <c r="A2313">
        <v>103852</v>
      </c>
      <c r="B2313" t="s">
        <v>342</v>
      </c>
      <c r="C2313" t="str">
        <f t="shared" si="297"/>
        <v>02790240101</v>
      </c>
      <c r="D2313" t="str">
        <f t="shared" si="297"/>
        <v>02790240101</v>
      </c>
      <c r="E2313" t="s">
        <v>52</v>
      </c>
      <c r="F2313">
        <v>2015</v>
      </c>
      <c r="G2313" t="str">
        <f>"               10908"</f>
        <v xml:space="preserve">               10908</v>
      </c>
      <c r="H2313" s="3">
        <v>42185</v>
      </c>
      <c r="I2313" s="3">
        <v>42212</v>
      </c>
      <c r="J2313" s="3">
        <v>42207</v>
      </c>
      <c r="K2313" s="3">
        <v>42267</v>
      </c>
      <c r="L2313" s="1">
        <v>182.7</v>
      </c>
      <c r="M2313">
        <v>225</v>
      </c>
      <c r="N2313" s="5">
        <v>41107.5</v>
      </c>
      <c r="O2313">
        <v>182.7</v>
      </c>
      <c r="P2313">
        <v>225</v>
      </c>
      <c r="Q2313" s="4">
        <v>41107.5</v>
      </c>
      <c r="R2313">
        <v>0</v>
      </c>
      <c r="V2313">
        <v>0</v>
      </c>
      <c r="W2313">
        <v>0</v>
      </c>
      <c r="X2313">
        <v>0</v>
      </c>
      <c r="Y2313">
        <v>0</v>
      </c>
      <c r="Z2313">
        <v>0</v>
      </c>
      <c r="AA2313">
        <v>0</v>
      </c>
      <c r="AB2313" s="3">
        <v>42562</v>
      </c>
      <c r="AC2313" t="s">
        <v>53</v>
      </c>
      <c r="AD2313" t="s">
        <v>53</v>
      </c>
      <c r="AK2313">
        <v>0</v>
      </c>
      <c r="AU2313" s="3">
        <v>42492</v>
      </c>
      <c r="AV2313" s="3">
        <v>42492</v>
      </c>
      <c r="AW2313" t="s">
        <v>54</v>
      </c>
      <c r="AX2313" t="str">
        <f t="shared" si="294"/>
        <v>FOR</v>
      </c>
      <c r="AY2313" t="s">
        <v>55</v>
      </c>
    </row>
    <row r="2314" spans="1:51">
      <c r="A2314">
        <v>103852</v>
      </c>
      <c r="B2314" t="s">
        <v>342</v>
      </c>
      <c r="C2314" t="str">
        <f t="shared" si="297"/>
        <v>02790240101</v>
      </c>
      <c r="D2314" t="str">
        <f t="shared" si="297"/>
        <v>02790240101</v>
      </c>
      <c r="E2314" t="s">
        <v>52</v>
      </c>
      <c r="F2314">
        <v>2015</v>
      </c>
      <c r="G2314" t="str">
        <f>"               10909"</f>
        <v xml:space="preserve">               10909</v>
      </c>
      <c r="H2314" s="3">
        <v>42185</v>
      </c>
      <c r="I2314" s="3">
        <v>42212</v>
      </c>
      <c r="J2314" s="3">
        <v>42207</v>
      </c>
      <c r="K2314" s="3">
        <v>42267</v>
      </c>
      <c r="L2314" s="1">
        <v>415</v>
      </c>
      <c r="M2314">
        <v>225</v>
      </c>
      <c r="N2314" s="5">
        <v>93375</v>
      </c>
      <c r="O2314">
        <v>415</v>
      </c>
      <c r="P2314">
        <v>225</v>
      </c>
      <c r="Q2314" s="4">
        <v>93375</v>
      </c>
      <c r="R2314">
        <v>0</v>
      </c>
      <c r="V2314">
        <v>0</v>
      </c>
      <c r="W2314">
        <v>0</v>
      </c>
      <c r="X2314">
        <v>0</v>
      </c>
      <c r="Y2314">
        <v>0</v>
      </c>
      <c r="Z2314">
        <v>0</v>
      </c>
      <c r="AA2314">
        <v>0</v>
      </c>
      <c r="AB2314" s="3">
        <v>42562</v>
      </c>
      <c r="AC2314" t="s">
        <v>53</v>
      </c>
      <c r="AD2314" t="s">
        <v>53</v>
      </c>
      <c r="AK2314">
        <v>0</v>
      </c>
      <c r="AU2314" s="3">
        <v>42492</v>
      </c>
      <c r="AV2314" s="3">
        <v>42492</v>
      </c>
      <c r="AW2314" t="s">
        <v>54</v>
      </c>
      <c r="AX2314" t="str">
        <f t="shared" si="294"/>
        <v>FOR</v>
      </c>
      <c r="AY2314" t="s">
        <v>55</v>
      </c>
    </row>
    <row r="2315" spans="1:51">
      <c r="A2315">
        <v>103852</v>
      </c>
      <c r="B2315" t="s">
        <v>342</v>
      </c>
      <c r="C2315" t="str">
        <f t="shared" si="297"/>
        <v>02790240101</v>
      </c>
      <c r="D2315" t="str">
        <f t="shared" si="297"/>
        <v>02790240101</v>
      </c>
      <c r="E2315" t="s">
        <v>52</v>
      </c>
      <c r="F2315">
        <v>2015</v>
      </c>
      <c r="G2315" t="str">
        <f>"               10910"</f>
        <v xml:space="preserve">               10910</v>
      </c>
      <c r="H2315" s="3">
        <v>42185</v>
      </c>
      <c r="I2315" s="3">
        <v>42212</v>
      </c>
      <c r="J2315" s="3">
        <v>42207</v>
      </c>
      <c r="K2315" s="3">
        <v>42267</v>
      </c>
      <c r="L2315" s="5">
        <v>1041.5999999999999</v>
      </c>
      <c r="M2315">
        <v>225</v>
      </c>
      <c r="N2315" s="5">
        <v>234360</v>
      </c>
      <c r="O2315" s="4">
        <v>1041.5999999999999</v>
      </c>
      <c r="P2315">
        <v>225</v>
      </c>
      <c r="Q2315" s="4">
        <v>234360</v>
      </c>
      <c r="R2315">
        <v>0</v>
      </c>
      <c r="V2315">
        <v>0</v>
      </c>
      <c r="W2315">
        <v>0</v>
      </c>
      <c r="X2315">
        <v>0</v>
      </c>
      <c r="Y2315">
        <v>0</v>
      </c>
      <c r="Z2315">
        <v>0</v>
      </c>
      <c r="AA2315">
        <v>0</v>
      </c>
      <c r="AB2315" s="3">
        <v>42562</v>
      </c>
      <c r="AC2315" t="s">
        <v>53</v>
      </c>
      <c r="AD2315" t="s">
        <v>53</v>
      </c>
      <c r="AK2315">
        <v>0</v>
      </c>
      <c r="AU2315" s="3">
        <v>42492</v>
      </c>
      <c r="AV2315" s="3">
        <v>42492</v>
      </c>
      <c r="AW2315" t="s">
        <v>54</v>
      </c>
      <c r="AX2315" t="str">
        <f t="shared" ref="AX2315:AX2378" si="298">"FOR"</f>
        <v>FOR</v>
      </c>
      <c r="AY2315" t="s">
        <v>55</v>
      </c>
    </row>
    <row r="2316" spans="1:51" hidden="1">
      <c r="A2316">
        <v>103853</v>
      </c>
      <c r="B2316" t="s">
        <v>343</v>
      </c>
      <c r="C2316" t="str">
        <f>"08086280156"</f>
        <v>08086280156</v>
      </c>
      <c r="D2316" t="str">
        <f>""</f>
        <v/>
      </c>
      <c r="E2316" t="s">
        <v>52</v>
      </c>
      <c r="F2316">
        <v>2015</v>
      </c>
      <c r="G2316" t="str">
        <f>"          FV15-00987"</f>
        <v xml:space="preserve">          FV15-00987</v>
      </c>
      <c r="H2316" s="3">
        <v>42181</v>
      </c>
      <c r="I2316" s="3">
        <v>42186</v>
      </c>
      <c r="J2316" s="3">
        <v>42181</v>
      </c>
      <c r="K2316" s="3">
        <v>42241</v>
      </c>
      <c r="L2316">
        <v>943</v>
      </c>
      <c r="M2316">
        <v>246</v>
      </c>
      <c r="N2316" s="4">
        <v>231978</v>
      </c>
      <c r="O2316">
        <v>943</v>
      </c>
      <c r="P2316">
        <v>246</v>
      </c>
      <c r="Q2316" s="4">
        <v>231978</v>
      </c>
      <c r="R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 s="3">
        <v>42562</v>
      </c>
      <c r="AC2316" t="s">
        <v>53</v>
      </c>
      <c r="AD2316" t="s">
        <v>53</v>
      </c>
      <c r="AK2316">
        <v>0</v>
      </c>
      <c r="AU2316" s="3">
        <v>42487</v>
      </c>
      <c r="AV2316" s="3">
        <v>42487</v>
      </c>
      <c r="AW2316" t="s">
        <v>54</v>
      </c>
      <c r="AX2316" t="str">
        <f t="shared" si="298"/>
        <v>FOR</v>
      </c>
      <c r="AY2316" t="s">
        <v>55</v>
      </c>
    </row>
    <row r="2317" spans="1:51" hidden="1">
      <c r="A2317">
        <v>103853</v>
      </c>
      <c r="B2317" t="s">
        <v>343</v>
      </c>
      <c r="C2317" t="str">
        <f>"08086280156"</f>
        <v>08086280156</v>
      </c>
      <c r="D2317" t="str">
        <f>""</f>
        <v/>
      </c>
      <c r="E2317" t="s">
        <v>52</v>
      </c>
      <c r="F2317">
        <v>2015</v>
      </c>
      <c r="G2317" t="str">
        <f>"          FV15-01628"</f>
        <v xml:space="preserve">          FV15-01628</v>
      </c>
      <c r="H2317" s="3">
        <v>42320</v>
      </c>
      <c r="I2317" s="3">
        <v>42325</v>
      </c>
      <c r="J2317" s="3">
        <v>42321</v>
      </c>
      <c r="K2317" s="3">
        <v>42381</v>
      </c>
      <c r="L2317" s="4">
        <v>2949.3</v>
      </c>
      <c r="M2317">
        <v>106</v>
      </c>
      <c r="N2317" s="4">
        <v>312625.8</v>
      </c>
      <c r="O2317" s="4">
        <v>2949.3</v>
      </c>
      <c r="P2317">
        <v>106</v>
      </c>
      <c r="Q2317" s="4">
        <v>312625.8</v>
      </c>
      <c r="R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 s="3">
        <v>42562</v>
      </c>
      <c r="AC2317" t="s">
        <v>53</v>
      </c>
      <c r="AD2317" t="s">
        <v>53</v>
      </c>
      <c r="AK2317">
        <v>0</v>
      </c>
      <c r="AU2317" s="3">
        <v>42487</v>
      </c>
      <c r="AV2317" s="3">
        <v>42487</v>
      </c>
      <c r="AW2317" t="s">
        <v>54</v>
      </c>
      <c r="AX2317" t="str">
        <f t="shared" si="298"/>
        <v>FOR</v>
      </c>
      <c r="AY2317" t="s">
        <v>55</v>
      </c>
    </row>
    <row r="2318" spans="1:51" hidden="1">
      <c r="A2318">
        <v>103853</v>
      </c>
      <c r="B2318" t="s">
        <v>343</v>
      </c>
      <c r="C2318" t="str">
        <f>"08086280156"</f>
        <v>08086280156</v>
      </c>
      <c r="D2318" t="str">
        <f>""</f>
        <v/>
      </c>
      <c r="E2318" t="s">
        <v>52</v>
      </c>
      <c r="F2318">
        <v>2015</v>
      </c>
      <c r="G2318" t="str">
        <f>"          FV15-01790"</f>
        <v xml:space="preserve">          FV15-01790</v>
      </c>
      <c r="H2318" s="3">
        <v>42348</v>
      </c>
      <c r="I2318" s="3">
        <v>42352</v>
      </c>
      <c r="J2318" s="3">
        <v>42348</v>
      </c>
      <c r="K2318" s="3">
        <v>42408</v>
      </c>
      <c r="L2318">
        <v>16.2</v>
      </c>
      <c r="M2318">
        <v>79</v>
      </c>
      <c r="N2318" s="4">
        <v>1279.8</v>
      </c>
      <c r="O2318">
        <v>16.2</v>
      </c>
      <c r="P2318">
        <v>79</v>
      </c>
      <c r="Q2318" s="4">
        <v>1279.8</v>
      </c>
      <c r="R2318">
        <v>0</v>
      </c>
      <c r="V2318">
        <v>0</v>
      </c>
      <c r="W2318">
        <v>0</v>
      </c>
      <c r="X2318">
        <v>0</v>
      </c>
      <c r="Y2318">
        <v>0</v>
      </c>
      <c r="Z2318">
        <v>0</v>
      </c>
      <c r="AA2318">
        <v>0</v>
      </c>
      <c r="AB2318" s="3">
        <v>42562</v>
      </c>
      <c r="AC2318" t="s">
        <v>53</v>
      </c>
      <c r="AD2318" t="s">
        <v>53</v>
      </c>
      <c r="AK2318">
        <v>0</v>
      </c>
      <c r="AU2318" s="3">
        <v>42487</v>
      </c>
      <c r="AV2318" s="3">
        <v>42487</v>
      </c>
      <c r="AW2318" t="s">
        <v>54</v>
      </c>
      <c r="AX2318" t="str">
        <f t="shared" si="298"/>
        <v>FOR</v>
      </c>
      <c r="AY2318" t="s">
        <v>55</v>
      </c>
    </row>
    <row r="2319" spans="1:51" hidden="1">
      <c r="A2319">
        <v>103855</v>
      </c>
      <c r="B2319" t="s">
        <v>344</v>
      </c>
      <c r="C2319" t="str">
        <f t="shared" ref="C2319:D2321" si="299">"01740391204"</f>
        <v>01740391204</v>
      </c>
      <c r="D2319" t="str">
        <f t="shared" si="299"/>
        <v>01740391204</v>
      </c>
      <c r="E2319" t="s">
        <v>52</v>
      </c>
      <c r="F2319">
        <v>2015</v>
      </c>
      <c r="G2319" t="str">
        <f>"                 236"</f>
        <v xml:space="preserve">                 236</v>
      </c>
      <c r="H2319" s="3">
        <v>42061</v>
      </c>
      <c r="I2319" s="3">
        <v>42073</v>
      </c>
      <c r="J2319" s="3">
        <v>42073</v>
      </c>
      <c r="K2319" s="3">
        <v>42133</v>
      </c>
      <c r="L2319"/>
      <c r="N2319"/>
      <c r="O2319" s="4">
        <v>18849.599999999999</v>
      </c>
      <c r="P2319">
        <v>268</v>
      </c>
      <c r="Q2319" s="4">
        <v>5051692.8</v>
      </c>
      <c r="R2319">
        <v>0</v>
      </c>
      <c r="V2319">
        <v>0</v>
      </c>
      <c r="W2319">
        <v>0</v>
      </c>
      <c r="X2319">
        <v>0</v>
      </c>
      <c r="Y2319">
        <v>0</v>
      </c>
      <c r="Z2319">
        <v>0</v>
      </c>
      <c r="AA2319">
        <v>0</v>
      </c>
      <c r="AB2319" s="3">
        <v>42562</v>
      </c>
      <c r="AC2319" t="s">
        <v>53</v>
      </c>
      <c r="AD2319" t="s">
        <v>53</v>
      </c>
      <c r="AK2319">
        <v>0</v>
      </c>
      <c r="AU2319" s="3">
        <v>42401</v>
      </c>
      <c r="AV2319" s="3">
        <v>42401</v>
      </c>
      <c r="AW2319" t="s">
        <v>54</v>
      </c>
      <c r="AX2319" t="str">
        <f t="shared" si="298"/>
        <v>FOR</v>
      </c>
      <c r="AY2319" t="s">
        <v>55</v>
      </c>
    </row>
    <row r="2320" spans="1:51" hidden="1">
      <c r="A2320">
        <v>103855</v>
      </c>
      <c r="B2320" t="s">
        <v>344</v>
      </c>
      <c r="C2320" t="str">
        <f t="shared" si="299"/>
        <v>01740391204</v>
      </c>
      <c r="D2320" t="str">
        <f t="shared" si="299"/>
        <v>01740391204</v>
      </c>
      <c r="E2320" t="s">
        <v>52</v>
      </c>
      <c r="F2320">
        <v>2015</v>
      </c>
      <c r="G2320" t="str">
        <f>"               16037"</f>
        <v xml:space="preserve">               16037</v>
      </c>
      <c r="H2320" s="3">
        <v>42296</v>
      </c>
      <c r="I2320" s="3">
        <v>42298</v>
      </c>
      <c r="J2320" s="3">
        <v>42296</v>
      </c>
      <c r="K2320" s="3">
        <v>42356</v>
      </c>
      <c r="L2320"/>
      <c r="N2320"/>
      <c r="O2320" s="4">
        <v>5925</v>
      </c>
      <c r="P2320">
        <v>96</v>
      </c>
      <c r="Q2320" s="4">
        <v>568800</v>
      </c>
      <c r="R2320">
        <v>0</v>
      </c>
      <c r="V2320">
        <v>0</v>
      </c>
      <c r="W2320">
        <v>0</v>
      </c>
      <c r="X2320">
        <v>0</v>
      </c>
      <c r="Y2320">
        <v>0</v>
      </c>
      <c r="Z2320">
        <v>0</v>
      </c>
      <c r="AA2320">
        <v>0</v>
      </c>
      <c r="AB2320" s="3">
        <v>42562</v>
      </c>
      <c r="AC2320" t="s">
        <v>53</v>
      </c>
      <c r="AD2320" t="s">
        <v>53</v>
      </c>
      <c r="AK2320">
        <v>0</v>
      </c>
      <c r="AU2320" s="3">
        <v>42452</v>
      </c>
      <c r="AV2320" s="3">
        <v>42452</v>
      </c>
      <c r="AW2320" t="s">
        <v>54</v>
      </c>
      <c r="AX2320" t="str">
        <f t="shared" si="298"/>
        <v>FOR</v>
      </c>
      <c r="AY2320" t="s">
        <v>55</v>
      </c>
    </row>
    <row r="2321" spans="1:51" hidden="1">
      <c r="A2321">
        <v>103855</v>
      </c>
      <c r="B2321" t="s">
        <v>344</v>
      </c>
      <c r="C2321" t="str">
        <f t="shared" si="299"/>
        <v>01740391204</v>
      </c>
      <c r="D2321" t="str">
        <f t="shared" si="299"/>
        <v>01740391204</v>
      </c>
      <c r="E2321" t="s">
        <v>52</v>
      </c>
      <c r="F2321">
        <v>2015</v>
      </c>
      <c r="G2321" t="str">
        <f>"               16072"</f>
        <v xml:space="preserve">               16072</v>
      </c>
      <c r="H2321" s="3">
        <v>42303</v>
      </c>
      <c r="I2321" s="3">
        <v>42305</v>
      </c>
      <c r="J2321" s="3">
        <v>42303</v>
      </c>
      <c r="K2321" s="3">
        <v>42363</v>
      </c>
      <c r="L2321"/>
      <c r="N2321"/>
      <c r="O2321" s="4">
        <v>1012.5</v>
      </c>
      <c r="P2321">
        <v>89</v>
      </c>
      <c r="Q2321" s="4">
        <v>90112.5</v>
      </c>
      <c r="R2321">
        <v>0</v>
      </c>
      <c r="V2321">
        <v>0</v>
      </c>
      <c r="W2321">
        <v>0</v>
      </c>
      <c r="X2321">
        <v>0</v>
      </c>
      <c r="Y2321">
        <v>0</v>
      </c>
      <c r="Z2321">
        <v>0</v>
      </c>
      <c r="AA2321">
        <v>0</v>
      </c>
      <c r="AB2321" s="3">
        <v>42562</v>
      </c>
      <c r="AC2321" t="s">
        <v>53</v>
      </c>
      <c r="AD2321" t="s">
        <v>53</v>
      </c>
      <c r="AK2321">
        <v>0</v>
      </c>
      <c r="AU2321" s="3">
        <v>42452</v>
      </c>
      <c r="AV2321" s="3">
        <v>42452</v>
      </c>
      <c r="AW2321" t="s">
        <v>54</v>
      </c>
      <c r="AX2321" t="str">
        <f t="shared" si="298"/>
        <v>FOR</v>
      </c>
      <c r="AY2321" t="s">
        <v>55</v>
      </c>
    </row>
    <row r="2322" spans="1:51" hidden="1">
      <c r="A2322">
        <v>104007</v>
      </c>
      <c r="B2322" t="s">
        <v>345</v>
      </c>
      <c r="C2322" t="str">
        <f t="shared" ref="C2322:D2330" si="300">"12693140159"</f>
        <v>12693140159</v>
      </c>
      <c r="D2322" t="str">
        <f t="shared" si="300"/>
        <v>12693140159</v>
      </c>
      <c r="E2322" t="s">
        <v>52</v>
      </c>
      <c r="F2322">
        <v>2015</v>
      </c>
      <c r="G2322" t="str">
        <f>"               10492"</f>
        <v xml:space="preserve">               10492</v>
      </c>
      <c r="H2322" s="3">
        <v>42079</v>
      </c>
      <c r="I2322" s="3">
        <v>42087</v>
      </c>
      <c r="J2322" s="3">
        <v>42087</v>
      </c>
      <c r="K2322" s="3">
        <v>42147</v>
      </c>
      <c r="L2322"/>
      <c r="N2322"/>
      <c r="O2322">
        <v>630</v>
      </c>
      <c r="P2322">
        <v>268</v>
      </c>
      <c r="Q2322" s="4">
        <v>168840</v>
      </c>
      <c r="R2322">
        <v>0</v>
      </c>
      <c r="V2322">
        <v>0</v>
      </c>
      <c r="W2322">
        <v>0</v>
      </c>
      <c r="X2322">
        <v>0</v>
      </c>
      <c r="Y2322">
        <v>0</v>
      </c>
      <c r="Z2322">
        <v>0</v>
      </c>
      <c r="AA2322">
        <v>0</v>
      </c>
      <c r="AB2322" s="3">
        <v>42562</v>
      </c>
      <c r="AC2322" t="s">
        <v>53</v>
      </c>
      <c r="AD2322" t="s">
        <v>53</v>
      </c>
      <c r="AK2322">
        <v>0</v>
      </c>
      <c r="AU2322" s="3">
        <v>42415</v>
      </c>
      <c r="AV2322" s="3">
        <v>42415</v>
      </c>
      <c r="AW2322" t="s">
        <v>54</v>
      </c>
      <c r="AX2322" t="str">
        <f t="shared" si="298"/>
        <v>FOR</v>
      </c>
      <c r="AY2322" t="s">
        <v>55</v>
      </c>
    </row>
    <row r="2323" spans="1:51" hidden="1">
      <c r="A2323">
        <v>104007</v>
      </c>
      <c r="B2323" t="s">
        <v>345</v>
      </c>
      <c r="C2323" t="str">
        <f t="shared" si="300"/>
        <v>12693140159</v>
      </c>
      <c r="D2323" t="str">
        <f t="shared" si="300"/>
        <v>12693140159</v>
      </c>
      <c r="E2323" t="s">
        <v>52</v>
      </c>
      <c r="F2323">
        <v>2015</v>
      </c>
      <c r="G2323" t="str">
        <f>"             10264/A"</f>
        <v xml:space="preserve">             10264/A</v>
      </c>
      <c r="H2323" s="3">
        <v>42061</v>
      </c>
      <c r="I2323" s="3">
        <v>42073</v>
      </c>
      <c r="J2323" s="3">
        <v>42073</v>
      </c>
      <c r="K2323" s="3">
        <v>42133</v>
      </c>
      <c r="L2323"/>
      <c r="N2323"/>
      <c r="O2323">
        <v>630</v>
      </c>
      <c r="P2323">
        <v>275</v>
      </c>
      <c r="Q2323" s="4">
        <v>173250</v>
      </c>
      <c r="R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 s="3">
        <v>42562</v>
      </c>
      <c r="AC2323" t="s">
        <v>53</v>
      </c>
      <c r="AD2323" t="s">
        <v>53</v>
      </c>
      <c r="AK2323">
        <v>0</v>
      </c>
      <c r="AU2323" s="3">
        <v>42408</v>
      </c>
      <c r="AV2323" s="3">
        <v>42408</v>
      </c>
      <c r="AW2323" t="s">
        <v>54</v>
      </c>
      <c r="AX2323" t="str">
        <f t="shared" si="298"/>
        <v>FOR</v>
      </c>
      <c r="AY2323" t="s">
        <v>55</v>
      </c>
    </row>
    <row r="2324" spans="1:51" hidden="1">
      <c r="A2324">
        <v>104007</v>
      </c>
      <c r="B2324" t="s">
        <v>345</v>
      </c>
      <c r="C2324" t="str">
        <f t="shared" si="300"/>
        <v>12693140159</v>
      </c>
      <c r="D2324" t="str">
        <f t="shared" si="300"/>
        <v>12693140159</v>
      </c>
      <c r="E2324" t="s">
        <v>52</v>
      </c>
      <c r="F2324">
        <v>2015</v>
      </c>
      <c r="G2324" t="str">
        <f>"             10493/A"</f>
        <v xml:space="preserve">             10493/A</v>
      </c>
      <c r="H2324" s="3">
        <v>42079</v>
      </c>
      <c r="I2324" s="3">
        <v>42089</v>
      </c>
      <c r="J2324" s="3">
        <v>42089</v>
      </c>
      <c r="K2324" s="3">
        <v>42149</v>
      </c>
      <c r="L2324"/>
      <c r="N2324"/>
      <c r="O2324">
        <v>896.4</v>
      </c>
      <c r="P2324">
        <v>266</v>
      </c>
      <c r="Q2324" s="4">
        <v>238442.4</v>
      </c>
      <c r="R2324">
        <v>0</v>
      </c>
      <c r="V2324">
        <v>0</v>
      </c>
      <c r="W2324">
        <v>0</v>
      </c>
      <c r="X2324">
        <v>0</v>
      </c>
      <c r="Y2324">
        <v>0</v>
      </c>
      <c r="Z2324">
        <v>0</v>
      </c>
      <c r="AA2324">
        <v>0</v>
      </c>
      <c r="AB2324" s="3">
        <v>42562</v>
      </c>
      <c r="AC2324" t="s">
        <v>53</v>
      </c>
      <c r="AD2324" t="s">
        <v>53</v>
      </c>
      <c r="AK2324">
        <v>0</v>
      </c>
      <c r="AU2324" s="3">
        <v>42415</v>
      </c>
      <c r="AV2324" s="3">
        <v>42415</v>
      </c>
      <c r="AW2324" t="s">
        <v>54</v>
      </c>
      <c r="AX2324" t="str">
        <f t="shared" si="298"/>
        <v>FOR</v>
      </c>
      <c r="AY2324" t="s">
        <v>55</v>
      </c>
    </row>
    <row r="2325" spans="1:51" hidden="1">
      <c r="A2325">
        <v>104007</v>
      </c>
      <c r="B2325" t="s">
        <v>345</v>
      </c>
      <c r="C2325" t="str">
        <f t="shared" si="300"/>
        <v>12693140159</v>
      </c>
      <c r="D2325" t="str">
        <f t="shared" si="300"/>
        <v>12693140159</v>
      </c>
      <c r="E2325" t="s">
        <v>52</v>
      </c>
      <c r="F2325">
        <v>2015</v>
      </c>
      <c r="G2325" t="str">
        <f>"             10738/A"</f>
        <v xml:space="preserve">             10738/A</v>
      </c>
      <c r="H2325" s="3">
        <v>42117</v>
      </c>
      <c r="I2325" s="3">
        <v>42149</v>
      </c>
      <c r="J2325" s="3">
        <v>42138</v>
      </c>
      <c r="K2325" s="3">
        <v>42198</v>
      </c>
      <c r="L2325"/>
      <c r="N2325"/>
      <c r="O2325">
        <v>945</v>
      </c>
      <c r="P2325">
        <v>254</v>
      </c>
      <c r="Q2325" s="4">
        <v>240030</v>
      </c>
      <c r="R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 s="3">
        <v>42562</v>
      </c>
      <c r="AC2325" t="s">
        <v>53</v>
      </c>
      <c r="AD2325" t="s">
        <v>53</v>
      </c>
      <c r="AK2325">
        <v>0</v>
      </c>
      <c r="AU2325" s="3">
        <v>42452</v>
      </c>
      <c r="AV2325" s="3">
        <v>42452</v>
      </c>
      <c r="AW2325" t="s">
        <v>54</v>
      </c>
      <c r="AX2325" t="str">
        <f t="shared" si="298"/>
        <v>FOR</v>
      </c>
      <c r="AY2325" t="s">
        <v>55</v>
      </c>
    </row>
    <row r="2326" spans="1:51" hidden="1">
      <c r="A2326">
        <v>104007</v>
      </c>
      <c r="B2326" t="s">
        <v>345</v>
      </c>
      <c r="C2326" t="str">
        <f t="shared" si="300"/>
        <v>12693140159</v>
      </c>
      <c r="D2326" t="str">
        <f t="shared" si="300"/>
        <v>12693140159</v>
      </c>
      <c r="E2326" t="s">
        <v>52</v>
      </c>
      <c r="F2326">
        <v>2015</v>
      </c>
      <c r="G2326" t="str">
        <f>"             10739/A"</f>
        <v xml:space="preserve">             10739/A</v>
      </c>
      <c r="H2326" s="3">
        <v>42117</v>
      </c>
      <c r="I2326" s="3">
        <v>42150</v>
      </c>
      <c r="J2326" s="3">
        <v>42138</v>
      </c>
      <c r="K2326" s="3">
        <v>42198</v>
      </c>
      <c r="L2326"/>
      <c r="N2326"/>
      <c r="O2326" s="4">
        <v>1494</v>
      </c>
      <c r="P2326">
        <v>254</v>
      </c>
      <c r="Q2326" s="4">
        <v>379476</v>
      </c>
      <c r="R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 s="3">
        <v>42562</v>
      </c>
      <c r="AC2326" t="s">
        <v>53</v>
      </c>
      <c r="AD2326" t="s">
        <v>53</v>
      </c>
      <c r="AK2326">
        <v>0</v>
      </c>
      <c r="AU2326" s="3">
        <v>42452</v>
      </c>
      <c r="AV2326" s="3">
        <v>42452</v>
      </c>
      <c r="AW2326" t="s">
        <v>54</v>
      </c>
      <c r="AX2326" t="str">
        <f t="shared" si="298"/>
        <v>FOR</v>
      </c>
      <c r="AY2326" t="s">
        <v>55</v>
      </c>
    </row>
    <row r="2327" spans="1:51" hidden="1">
      <c r="A2327">
        <v>104007</v>
      </c>
      <c r="B2327" t="s">
        <v>345</v>
      </c>
      <c r="C2327" t="str">
        <f t="shared" si="300"/>
        <v>12693140159</v>
      </c>
      <c r="D2327" t="str">
        <f t="shared" si="300"/>
        <v>12693140159</v>
      </c>
      <c r="E2327" t="s">
        <v>52</v>
      </c>
      <c r="F2327">
        <v>2015</v>
      </c>
      <c r="G2327" t="str">
        <f>"             10975/A"</f>
        <v xml:space="preserve">             10975/A</v>
      </c>
      <c r="H2327" s="3">
        <v>42138</v>
      </c>
      <c r="I2327" s="3">
        <v>42165</v>
      </c>
      <c r="J2327" s="3">
        <v>42142</v>
      </c>
      <c r="K2327" s="3">
        <v>42202</v>
      </c>
      <c r="L2327"/>
      <c r="N2327"/>
      <c r="O2327">
        <v>896.4</v>
      </c>
      <c r="P2327">
        <v>250</v>
      </c>
      <c r="Q2327" s="4">
        <v>224100</v>
      </c>
      <c r="R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>
        <v>0</v>
      </c>
      <c r="AB2327" s="3">
        <v>42562</v>
      </c>
      <c r="AC2327" t="s">
        <v>53</v>
      </c>
      <c r="AD2327" t="s">
        <v>53</v>
      </c>
      <c r="AK2327">
        <v>0</v>
      </c>
      <c r="AU2327" s="3">
        <v>42452</v>
      </c>
      <c r="AV2327" s="3">
        <v>42452</v>
      </c>
      <c r="AW2327" t="s">
        <v>54</v>
      </c>
      <c r="AX2327" t="str">
        <f t="shared" si="298"/>
        <v>FOR</v>
      </c>
      <c r="AY2327" t="s">
        <v>55</v>
      </c>
    </row>
    <row r="2328" spans="1:51">
      <c r="A2328">
        <v>104007</v>
      </c>
      <c r="B2328" t="s">
        <v>345</v>
      </c>
      <c r="C2328" t="str">
        <f t="shared" si="300"/>
        <v>12693140159</v>
      </c>
      <c r="D2328" t="str">
        <f t="shared" si="300"/>
        <v>12693140159</v>
      </c>
      <c r="E2328" t="s">
        <v>52</v>
      </c>
      <c r="F2328">
        <v>2015</v>
      </c>
      <c r="G2328" t="str">
        <f>"             11245/A"</f>
        <v xml:space="preserve">             11245/A</v>
      </c>
      <c r="H2328" s="3">
        <v>42160</v>
      </c>
      <c r="I2328" s="3">
        <v>42167</v>
      </c>
      <c r="J2328" s="3">
        <v>42160</v>
      </c>
      <c r="K2328" s="3">
        <v>42220</v>
      </c>
      <c r="L2328" s="1">
        <v>630</v>
      </c>
      <c r="M2328">
        <v>307</v>
      </c>
      <c r="N2328" s="5">
        <v>193410</v>
      </c>
      <c r="O2328">
        <v>630</v>
      </c>
      <c r="P2328">
        <v>307</v>
      </c>
      <c r="Q2328" s="4">
        <v>193410</v>
      </c>
      <c r="R2328">
        <v>138.6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 s="3">
        <v>42562</v>
      </c>
      <c r="AC2328" t="s">
        <v>53</v>
      </c>
      <c r="AD2328" t="s">
        <v>53</v>
      </c>
      <c r="AK2328">
        <v>138.6</v>
      </c>
      <c r="AU2328" s="3">
        <v>42527</v>
      </c>
      <c r="AV2328" s="3">
        <v>42527</v>
      </c>
      <c r="AW2328" t="s">
        <v>54</v>
      </c>
      <c r="AX2328" t="str">
        <f t="shared" si="298"/>
        <v>FOR</v>
      </c>
      <c r="AY2328" t="s">
        <v>55</v>
      </c>
    </row>
    <row r="2329" spans="1:51">
      <c r="A2329">
        <v>104007</v>
      </c>
      <c r="B2329" t="s">
        <v>345</v>
      </c>
      <c r="C2329" t="str">
        <f t="shared" si="300"/>
        <v>12693140159</v>
      </c>
      <c r="D2329" t="str">
        <f t="shared" si="300"/>
        <v>12693140159</v>
      </c>
      <c r="E2329" t="s">
        <v>52</v>
      </c>
      <c r="F2329">
        <v>2015</v>
      </c>
      <c r="G2329" t="str">
        <f>"             11297/A"</f>
        <v xml:space="preserve">             11297/A</v>
      </c>
      <c r="H2329" s="3">
        <v>42172</v>
      </c>
      <c r="I2329" s="3">
        <v>42174</v>
      </c>
      <c r="J2329" s="3">
        <v>42172</v>
      </c>
      <c r="K2329" s="3">
        <v>42232</v>
      </c>
      <c r="L2329" s="5">
        <v>1195.2</v>
      </c>
      <c r="M2329">
        <v>295</v>
      </c>
      <c r="N2329" s="5">
        <v>352584</v>
      </c>
      <c r="O2329" s="4">
        <v>1195.2</v>
      </c>
      <c r="P2329">
        <v>295</v>
      </c>
      <c r="Q2329" s="4">
        <v>352584</v>
      </c>
      <c r="R2329">
        <v>47.81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 s="3">
        <v>42562</v>
      </c>
      <c r="AC2329" t="s">
        <v>53</v>
      </c>
      <c r="AD2329" t="s">
        <v>53</v>
      </c>
      <c r="AK2329">
        <v>47.81</v>
      </c>
      <c r="AU2329" s="3">
        <v>42527</v>
      </c>
      <c r="AV2329" s="3">
        <v>42527</v>
      </c>
      <c r="AW2329" t="s">
        <v>54</v>
      </c>
      <c r="AX2329" t="str">
        <f t="shared" si="298"/>
        <v>FOR</v>
      </c>
      <c r="AY2329" t="s">
        <v>55</v>
      </c>
    </row>
    <row r="2330" spans="1:51">
      <c r="A2330">
        <v>104007</v>
      </c>
      <c r="B2330" t="s">
        <v>345</v>
      </c>
      <c r="C2330" t="str">
        <f t="shared" si="300"/>
        <v>12693140159</v>
      </c>
      <c r="D2330" t="str">
        <f t="shared" si="300"/>
        <v>12693140159</v>
      </c>
      <c r="E2330" t="s">
        <v>52</v>
      </c>
      <c r="F2330">
        <v>2015</v>
      </c>
      <c r="G2330" t="str">
        <f>"             11373/A"</f>
        <v xml:space="preserve">             11373/A</v>
      </c>
      <c r="H2330" s="3">
        <v>42174</v>
      </c>
      <c r="I2330" s="3">
        <v>42178</v>
      </c>
      <c r="J2330" s="3">
        <v>42177</v>
      </c>
      <c r="K2330" s="3">
        <v>42237</v>
      </c>
      <c r="L2330" s="5">
        <v>1260</v>
      </c>
      <c r="M2330">
        <v>290</v>
      </c>
      <c r="N2330" s="5">
        <v>365400</v>
      </c>
      <c r="O2330" s="4">
        <v>1260</v>
      </c>
      <c r="P2330">
        <v>290</v>
      </c>
      <c r="Q2330" s="4">
        <v>365400</v>
      </c>
      <c r="R2330">
        <v>277.2</v>
      </c>
      <c r="V2330">
        <v>0</v>
      </c>
      <c r="W2330">
        <v>0</v>
      </c>
      <c r="X2330">
        <v>0</v>
      </c>
      <c r="Y2330">
        <v>0</v>
      </c>
      <c r="Z2330">
        <v>0</v>
      </c>
      <c r="AA2330">
        <v>0</v>
      </c>
      <c r="AB2330" s="3">
        <v>42562</v>
      </c>
      <c r="AC2330" t="s">
        <v>53</v>
      </c>
      <c r="AD2330" t="s">
        <v>53</v>
      </c>
      <c r="AK2330">
        <v>277.2</v>
      </c>
      <c r="AU2330" s="3">
        <v>42527</v>
      </c>
      <c r="AV2330" s="3">
        <v>42527</v>
      </c>
      <c r="AW2330" t="s">
        <v>54</v>
      </c>
      <c r="AX2330" t="str">
        <f t="shared" si="298"/>
        <v>FOR</v>
      </c>
      <c r="AY2330" t="s">
        <v>55</v>
      </c>
    </row>
    <row r="2331" spans="1:51" hidden="1">
      <c r="A2331">
        <v>104009</v>
      </c>
      <c r="B2331" t="s">
        <v>346</v>
      </c>
      <c r="C2331" t="str">
        <f t="shared" ref="C2331:D2350" si="301">"08641790152"</f>
        <v>08641790152</v>
      </c>
      <c r="D2331" t="str">
        <f t="shared" si="301"/>
        <v>08641790152</v>
      </c>
      <c r="E2331" t="s">
        <v>52</v>
      </c>
      <c r="F2331">
        <v>2015</v>
      </c>
      <c r="G2331" t="str">
        <f>"             F039480"</f>
        <v xml:space="preserve">             F039480</v>
      </c>
      <c r="H2331" s="3">
        <v>42095</v>
      </c>
      <c r="I2331" s="3">
        <v>42142</v>
      </c>
      <c r="J2331" s="3">
        <v>42137</v>
      </c>
      <c r="K2331" s="3">
        <v>42197</v>
      </c>
      <c r="L2331"/>
      <c r="N2331"/>
      <c r="O2331">
        <v>415</v>
      </c>
      <c r="P2331">
        <v>205</v>
      </c>
      <c r="Q2331" s="4">
        <v>85075</v>
      </c>
      <c r="R2331">
        <v>0</v>
      </c>
      <c r="V2331">
        <v>0</v>
      </c>
      <c r="W2331">
        <v>0</v>
      </c>
      <c r="X2331">
        <v>0</v>
      </c>
      <c r="Y2331">
        <v>0</v>
      </c>
      <c r="Z2331">
        <v>0</v>
      </c>
      <c r="AA2331">
        <v>0</v>
      </c>
      <c r="AB2331" s="3">
        <v>42562</v>
      </c>
      <c r="AC2331" t="s">
        <v>53</v>
      </c>
      <c r="AD2331" t="s">
        <v>53</v>
      </c>
      <c r="AK2331">
        <v>0</v>
      </c>
      <c r="AU2331" s="3">
        <v>42402</v>
      </c>
      <c r="AV2331" s="3">
        <v>42402</v>
      </c>
      <c r="AW2331" t="s">
        <v>54</v>
      </c>
      <c r="AX2331" t="str">
        <f t="shared" si="298"/>
        <v>FOR</v>
      </c>
      <c r="AY2331" t="s">
        <v>55</v>
      </c>
    </row>
    <row r="2332" spans="1:51" hidden="1">
      <c r="A2332">
        <v>104009</v>
      </c>
      <c r="B2332" t="s">
        <v>346</v>
      </c>
      <c r="C2332" t="str">
        <f t="shared" si="301"/>
        <v>08641790152</v>
      </c>
      <c r="D2332" t="str">
        <f t="shared" si="301"/>
        <v>08641790152</v>
      </c>
      <c r="E2332" t="s">
        <v>52</v>
      </c>
      <c r="F2332">
        <v>2015</v>
      </c>
      <c r="G2332" t="str">
        <f>"             F040396"</f>
        <v xml:space="preserve">             F040396</v>
      </c>
      <c r="H2332" s="3">
        <v>42096</v>
      </c>
      <c r="I2332" s="3">
        <v>42142</v>
      </c>
      <c r="J2332" s="3">
        <v>42137</v>
      </c>
      <c r="K2332" s="3">
        <v>42197</v>
      </c>
      <c r="L2332"/>
      <c r="N2332"/>
      <c r="O2332" s="4">
        <v>1270</v>
      </c>
      <c r="P2332">
        <v>205</v>
      </c>
      <c r="Q2332" s="4">
        <v>260350</v>
      </c>
      <c r="R2332">
        <v>0</v>
      </c>
      <c r="V2332">
        <v>0</v>
      </c>
      <c r="W2332">
        <v>0</v>
      </c>
      <c r="X2332">
        <v>0</v>
      </c>
      <c r="Y2332">
        <v>0</v>
      </c>
      <c r="Z2332">
        <v>0</v>
      </c>
      <c r="AA2332">
        <v>0</v>
      </c>
      <c r="AB2332" s="3">
        <v>42562</v>
      </c>
      <c r="AC2332" t="s">
        <v>53</v>
      </c>
      <c r="AD2332" t="s">
        <v>53</v>
      </c>
      <c r="AK2332">
        <v>0</v>
      </c>
      <c r="AU2332" s="3">
        <v>42402</v>
      </c>
      <c r="AV2332" s="3">
        <v>42402</v>
      </c>
      <c r="AW2332" t="s">
        <v>54</v>
      </c>
      <c r="AX2332" t="str">
        <f t="shared" si="298"/>
        <v>FOR</v>
      </c>
      <c r="AY2332" t="s">
        <v>55</v>
      </c>
    </row>
    <row r="2333" spans="1:51" hidden="1">
      <c r="A2333">
        <v>104009</v>
      </c>
      <c r="B2333" t="s">
        <v>346</v>
      </c>
      <c r="C2333" t="str">
        <f t="shared" si="301"/>
        <v>08641790152</v>
      </c>
      <c r="D2333" t="str">
        <f t="shared" si="301"/>
        <v>08641790152</v>
      </c>
      <c r="E2333" t="s">
        <v>52</v>
      </c>
      <c r="F2333">
        <v>2015</v>
      </c>
      <c r="G2333" t="str">
        <f>"             F041184"</f>
        <v xml:space="preserve">             F041184</v>
      </c>
      <c r="H2333" s="3">
        <v>42101</v>
      </c>
      <c r="I2333" s="3">
        <v>42123</v>
      </c>
      <c r="J2333" s="3">
        <v>42123</v>
      </c>
      <c r="K2333" s="3">
        <v>42183</v>
      </c>
      <c r="L2333"/>
      <c r="N2333"/>
      <c r="O2333" s="4">
        <v>4250</v>
      </c>
      <c r="P2333">
        <v>219</v>
      </c>
      <c r="Q2333" s="4">
        <v>930750</v>
      </c>
      <c r="R2333">
        <v>0</v>
      </c>
      <c r="V2333">
        <v>0</v>
      </c>
      <c r="W2333">
        <v>0</v>
      </c>
      <c r="X2333">
        <v>0</v>
      </c>
      <c r="Y2333">
        <v>0</v>
      </c>
      <c r="Z2333">
        <v>0</v>
      </c>
      <c r="AA2333">
        <v>0</v>
      </c>
      <c r="AB2333" s="3">
        <v>42562</v>
      </c>
      <c r="AC2333" t="s">
        <v>53</v>
      </c>
      <c r="AD2333" t="s">
        <v>53</v>
      </c>
      <c r="AK2333">
        <v>0</v>
      </c>
      <c r="AU2333" s="3">
        <v>42402</v>
      </c>
      <c r="AV2333" s="3">
        <v>42402</v>
      </c>
      <c r="AW2333" t="s">
        <v>54</v>
      </c>
      <c r="AX2333" t="str">
        <f t="shared" si="298"/>
        <v>FOR</v>
      </c>
      <c r="AY2333" t="s">
        <v>55</v>
      </c>
    </row>
    <row r="2334" spans="1:51" hidden="1">
      <c r="A2334">
        <v>104009</v>
      </c>
      <c r="B2334" t="s">
        <v>346</v>
      </c>
      <c r="C2334" t="str">
        <f t="shared" si="301"/>
        <v>08641790152</v>
      </c>
      <c r="D2334" t="str">
        <f t="shared" si="301"/>
        <v>08641790152</v>
      </c>
      <c r="E2334" t="s">
        <v>52</v>
      </c>
      <c r="F2334">
        <v>2015</v>
      </c>
      <c r="G2334" t="str">
        <f>"             F041371"</f>
        <v xml:space="preserve">             F041371</v>
      </c>
      <c r="H2334" s="3">
        <v>42101</v>
      </c>
      <c r="I2334" s="3">
        <v>42123</v>
      </c>
      <c r="J2334" s="3">
        <v>42123</v>
      </c>
      <c r="K2334" s="3">
        <v>42183</v>
      </c>
      <c r="L2334"/>
      <c r="N2334"/>
      <c r="O2334" s="4">
        <v>4930</v>
      </c>
      <c r="P2334">
        <v>219</v>
      </c>
      <c r="Q2334" s="4">
        <v>1079670</v>
      </c>
      <c r="R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 s="3">
        <v>42562</v>
      </c>
      <c r="AC2334" t="s">
        <v>53</v>
      </c>
      <c r="AD2334" t="s">
        <v>53</v>
      </c>
      <c r="AK2334">
        <v>0</v>
      </c>
      <c r="AU2334" s="3">
        <v>42402</v>
      </c>
      <c r="AV2334" s="3">
        <v>42402</v>
      </c>
      <c r="AW2334" t="s">
        <v>54</v>
      </c>
      <c r="AX2334" t="str">
        <f t="shared" si="298"/>
        <v>FOR</v>
      </c>
      <c r="AY2334" t="s">
        <v>55</v>
      </c>
    </row>
    <row r="2335" spans="1:51" hidden="1">
      <c r="A2335">
        <v>104009</v>
      </c>
      <c r="B2335" t="s">
        <v>346</v>
      </c>
      <c r="C2335" t="str">
        <f t="shared" si="301"/>
        <v>08641790152</v>
      </c>
      <c r="D2335" t="str">
        <f t="shared" si="301"/>
        <v>08641790152</v>
      </c>
      <c r="E2335" t="s">
        <v>52</v>
      </c>
      <c r="F2335">
        <v>2015</v>
      </c>
      <c r="G2335" t="str">
        <f>"             F045473"</f>
        <v xml:space="preserve">             F045473</v>
      </c>
      <c r="H2335" s="3">
        <v>42110</v>
      </c>
      <c r="I2335" s="3">
        <v>42124</v>
      </c>
      <c r="J2335" s="3">
        <v>42123</v>
      </c>
      <c r="K2335" s="3">
        <v>42183</v>
      </c>
      <c r="L2335"/>
      <c r="N2335"/>
      <c r="O2335" s="4">
        <v>1116</v>
      </c>
      <c r="P2335">
        <v>219</v>
      </c>
      <c r="Q2335" s="4">
        <v>244404</v>
      </c>
      <c r="R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 s="3">
        <v>42562</v>
      </c>
      <c r="AC2335" t="s">
        <v>53</v>
      </c>
      <c r="AD2335" t="s">
        <v>53</v>
      </c>
      <c r="AK2335">
        <v>0</v>
      </c>
      <c r="AU2335" s="3">
        <v>42402</v>
      </c>
      <c r="AV2335" s="3">
        <v>42402</v>
      </c>
      <c r="AW2335" t="s">
        <v>54</v>
      </c>
      <c r="AX2335" t="str">
        <f t="shared" si="298"/>
        <v>FOR</v>
      </c>
      <c r="AY2335" t="s">
        <v>55</v>
      </c>
    </row>
    <row r="2336" spans="1:51" hidden="1">
      <c r="A2336">
        <v>104009</v>
      </c>
      <c r="B2336" t="s">
        <v>346</v>
      </c>
      <c r="C2336" t="str">
        <f t="shared" si="301"/>
        <v>08641790152</v>
      </c>
      <c r="D2336" t="str">
        <f t="shared" si="301"/>
        <v>08641790152</v>
      </c>
      <c r="E2336" t="s">
        <v>52</v>
      </c>
      <c r="F2336">
        <v>2015</v>
      </c>
      <c r="G2336" t="str">
        <f>"             F047064"</f>
        <v xml:space="preserve">             F047064</v>
      </c>
      <c r="H2336" s="3">
        <v>42114</v>
      </c>
      <c r="I2336" s="3">
        <v>42124</v>
      </c>
      <c r="J2336" s="3">
        <v>42123</v>
      </c>
      <c r="K2336" s="3">
        <v>42183</v>
      </c>
      <c r="L2336"/>
      <c r="N2336"/>
      <c r="O2336">
        <v>190.84</v>
      </c>
      <c r="P2336">
        <v>219</v>
      </c>
      <c r="Q2336" s="4">
        <v>41793.96</v>
      </c>
      <c r="R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 s="3">
        <v>42562</v>
      </c>
      <c r="AC2336" t="s">
        <v>53</v>
      </c>
      <c r="AD2336" t="s">
        <v>53</v>
      </c>
      <c r="AK2336">
        <v>0</v>
      </c>
      <c r="AU2336" s="3">
        <v>42402</v>
      </c>
      <c r="AV2336" s="3">
        <v>42402</v>
      </c>
      <c r="AW2336" t="s">
        <v>54</v>
      </c>
      <c r="AX2336" t="str">
        <f t="shared" si="298"/>
        <v>FOR</v>
      </c>
      <c r="AY2336" t="s">
        <v>55</v>
      </c>
    </row>
    <row r="2337" spans="1:51" hidden="1">
      <c r="A2337">
        <v>104009</v>
      </c>
      <c r="B2337" t="s">
        <v>346</v>
      </c>
      <c r="C2337" t="str">
        <f t="shared" si="301"/>
        <v>08641790152</v>
      </c>
      <c r="D2337" t="str">
        <f t="shared" si="301"/>
        <v>08641790152</v>
      </c>
      <c r="E2337" t="s">
        <v>52</v>
      </c>
      <c r="F2337">
        <v>2015</v>
      </c>
      <c r="G2337" t="str">
        <f>"             F047673"</f>
        <v xml:space="preserve">             F047673</v>
      </c>
      <c r="H2337" s="3">
        <v>42115</v>
      </c>
      <c r="I2337" s="3">
        <v>42142</v>
      </c>
      <c r="J2337" s="3">
        <v>42137</v>
      </c>
      <c r="K2337" s="3">
        <v>42197</v>
      </c>
      <c r="L2337"/>
      <c r="N2337"/>
      <c r="O2337">
        <v>950</v>
      </c>
      <c r="P2337">
        <v>205</v>
      </c>
      <c r="Q2337" s="4">
        <v>194750</v>
      </c>
      <c r="R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 s="3">
        <v>42562</v>
      </c>
      <c r="AC2337" t="s">
        <v>53</v>
      </c>
      <c r="AD2337" t="s">
        <v>53</v>
      </c>
      <c r="AK2337">
        <v>0</v>
      </c>
      <c r="AU2337" s="3">
        <v>42402</v>
      </c>
      <c r="AV2337" s="3">
        <v>42402</v>
      </c>
      <c r="AW2337" t="s">
        <v>54</v>
      </c>
      <c r="AX2337" t="str">
        <f t="shared" si="298"/>
        <v>FOR</v>
      </c>
      <c r="AY2337" t="s">
        <v>55</v>
      </c>
    </row>
    <row r="2338" spans="1:51" hidden="1">
      <c r="A2338">
        <v>104009</v>
      </c>
      <c r="B2338" t="s">
        <v>346</v>
      </c>
      <c r="C2338" t="str">
        <f t="shared" si="301"/>
        <v>08641790152</v>
      </c>
      <c r="D2338" t="str">
        <f t="shared" si="301"/>
        <v>08641790152</v>
      </c>
      <c r="E2338" t="s">
        <v>52</v>
      </c>
      <c r="F2338">
        <v>2015</v>
      </c>
      <c r="G2338" t="str">
        <f>"             F047685"</f>
        <v xml:space="preserve">             F047685</v>
      </c>
      <c r="H2338" s="3">
        <v>42115</v>
      </c>
      <c r="I2338" s="3">
        <v>42124</v>
      </c>
      <c r="J2338" s="3">
        <v>42123</v>
      </c>
      <c r="K2338" s="3">
        <v>42183</v>
      </c>
      <c r="L2338"/>
      <c r="N2338"/>
      <c r="O2338">
        <v>950</v>
      </c>
      <c r="P2338">
        <v>219</v>
      </c>
      <c r="Q2338" s="4">
        <v>208050</v>
      </c>
      <c r="R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 s="3">
        <v>42562</v>
      </c>
      <c r="AC2338" t="s">
        <v>53</v>
      </c>
      <c r="AD2338" t="s">
        <v>53</v>
      </c>
      <c r="AK2338">
        <v>0</v>
      </c>
      <c r="AU2338" s="3">
        <v>42402</v>
      </c>
      <c r="AV2338" s="3">
        <v>42402</v>
      </c>
      <c r="AW2338" t="s">
        <v>54</v>
      </c>
      <c r="AX2338" t="str">
        <f t="shared" si="298"/>
        <v>FOR</v>
      </c>
      <c r="AY2338" t="s">
        <v>55</v>
      </c>
    </row>
    <row r="2339" spans="1:51" hidden="1">
      <c r="A2339">
        <v>104009</v>
      </c>
      <c r="B2339" t="s">
        <v>346</v>
      </c>
      <c r="C2339" t="str">
        <f t="shared" si="301"/>
        <v>08641790152</v>
      </c>
      <c r="D2339" t="str">
        <f t="shared" si="301"/>
        <v>08641790152</v>
      </c>
      <c r="E2339" t="s">
        <v>52</v>
      </c>
      <c r="F2339">
        <v>2015</v>
      </c>
      <c r="G2339" t="str">
        <f>"             F047700"</f>
        <v xml:space="preserve">             F047700</v>
      </c>
      <c r="H2339" s="3">
        <v>42115</v>
      </c>
      <c r="I2339" s="3">
        <v>42124</v>
      </c>
      <c r="J2339" s="3">
        <v>42123</v>
      </c>
      <c r="K2339" s="3">
        <v>42183</v>
      </c>
      <c r="L2339"/>
      <c r="N2339"/>
      <c r="O2339">
        <v>950</v>
      </c>
      <c r="P2339">
        <v>219</v>
      </c>
      <c r="Q2339" s="4">
        <v>208050</v>
      </c>
      <c r="R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 s="3">
        <v>42562</v>
      </c>
      <c r="AC2339" t="s">
        <v>53</v>
      </c>
      <c r="AD2339" t="s">
        <v>53</v>
      </c>
      <c r="AK2339">
        <v>0</v>
      </c>
      <c r="AU2339" s="3">
        <v>42402</v>
      </c>
      <c r="AV2339" s="3">
        <v>42402</v>
      </c>
      <c r="AW2339" t="s">
        <v>54</v>
      </c>
      <c r="AX2339" t="str">
        <f t="shared" si="298"/>
        <v>FOR</v>
      </c>
      <c r="AY2339" t="s">
        <v>55</v>
      </c>
    </row>
    <row r="2340" spans="1:51" hidden="1">
      <c r="A2340">
        <v>104009</v>
      </c>
      <c r="B2340" t="s">
        <v>346</v>
      </c>
      <c r="C2340" t="str">
        <f t="shared" si="301"/>
        <v>08641790152</v>
      </c>
      <c r="D2340" t="str">
        <f t="shared" si="301"/>
        <v>08641790152</v>
      </c>
      <c r="E2340" t="s">
        <v>52</v>
      </c>
      <c r="F2340">
        <v>2015</v>
      </c>
      <c r="G2340" t="str">
        <f>"             F049116"</f>
        <v xml:space="preserve">             F049116</v>
      </c>
      <c r="H2340" s="3">
        <v>42117</v>
      </c>
      <c r="I2340" s="3">
        <v>42124</v>
      </c>
      <c r="J2340" s="3">
        <v>42123</v>
      </c>
      <c r="K2340" s="3">
        <v>42183</v>
      </c>
      <c r="L2340"/>
      <c r="N2340"/>
      <c r="O2340" s="4">
        <v>3315</v>
      </c>
      <c r="P2340">
        <v>219</v>
      </c>
      <c r="Q2340" s="4">
        <v>725985</v>
      </c>
      <c r="R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 s="3">
        <v>42562</v>
      </c>
      <c r="AC2340" t="s">
        <v>53</v>
      </c>
      <c r="AD2340" t="s">
        <v>53</v>
      </c>
      <c r="AK2340">
        <v>0</v>
      </c>
      <c r="AU2340" s="3">
        <v>42402</v>
      </c>
      <c r="AV2340" s="3">
        <v>42402</v>
      </c>
      <c r="AW2340" t="s">
        <v>54</v>
      </c>
      <c r="AX2340" t="str">
        <f t="shared" si="298"/>
        <v>FOR</v>
      </c>
      <c r="AY2340" t="s">
        <v>55</v>
      </c>
    </row>
    <row r="2341" spans="1:51" hidden="1">
      <c r="A2341">
        <v>104009</v>
      </c>
      <c r="B2341" t="s">
        <v>346</v>
      </c>
      <c r="C2341" t="str">
        <f t="shared" si="301"/>
        <v>08641790152</v>
      </c>
      <c r="D2341" t="str">
        <f t="shared" si="301"/>
        <v>08641790152</v>
      </c>
      <c r="E2341" t="s">
        <v>52</v>
      </c>
      <c r="F2341">
        <v>2015</v>
      </c>
      <c r="G2341" t="str">
        <f>"             F049166"</f>
        <v xml:space="preserve">             F049166</v>
      </c>
      <c r="H2341" s="3">
        <v>42117</v>
      </c>
      <c r="I2341" s="3">
        <v>42124</v>
      </c>
      <c r="J2341" s="3">
        <v>42123</v>
      </c>
      <c r="K2341" s="3">
        <v>42183</v>
      </c>
      <c r="L2341"/>
      <c r="N2341"/>
      <c r="O2341">
        <v>871</v>
      </c>
      <c r="P2341">
        <v>220</v>
      </c>
      <c r="Q2341" s="4">
        <v>191620</v>
      </c>
      <c r="R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 s="3">
        <v>42562</v>
      </c>
      <c r="AC2341" t="s">
        <v>53</v>
      </c>
      <c r="AD2341" t="s">
        <v>53</v>
      </c>
      <c r="AK2341">
        <v>0</v>
      </c>
      <c r="AU2341" s="3">
        <v>42403</v>
      </c>
      <c r="AV2341" s="3">
        <v>42403</v>
      </c>
      <c r="AW2341" t="s">
        <v>54</v>
      </c>
      <c r="AX2341" t="str">
        <f t="shared" si="298"/>
        <v>FOR</v>
      </c>
      <c r="AY2341" t="s">
        <v>55</v>
      </c>
    </row>
    <row r="2342" spans="1:51" hidden="1">
      <c r="A2342">
        <v>104009</v>
      </c>
      <c r="B2342" t="s">
        <v>346</v>
      </c>
      <c r="C2342" t="str">
        <f t="shared" si="301"/>
        <v>08641790152</v>
      </c>
      <c r="D2342" t="str">
        <f t="shared" si="301"/>
        <v>08641790152</v>
      </c>
      <c r="E2342" t="s">
        <v>52</v>
      </c>
      <c r="F2342">
        <v>2015</v>
      </c>
      <c r="G2342" t="str">
        <f>"             F051602"</f>
        <v xml:space="preserve">             F051602</v>
      </c>
      <c r="H2342" s="3">
        <v>42124</v>
      </c>
      <c r="I2342" s="3">
        <v>42142</v>
      </c>
      <c r="J2342" s="3">
        <v>42137</v>
      </c>
      <c r="K2342" s="3">
        <v>42197</v>
      </c>
      <c r="L2342"/>
      <c r="N2342"/>
      <c r="O2342">
        <v>180</v>
      </c>
      <c r="P2342">
        <v>205</v>
      </c>
      <c r="Q2342" s="4">
        <v>36900</v>
      </c>
      <c r="R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 s="3">
        <v>42562</v>
      </c>
      <c r="AC2342" t="s">
        <v>53</v>
      </c>
      <c r="AD2342" t="s">
        <v>53</v>
      </c>
      <c r="AK2342">
        <v>0</v>
      </c>
      <c r="AU2342" s="3">
        <v>42402</v>
      </c>
      <c r="AV2342" s="3">
        <v>42402</v>
      </c>
      <c r="AW2342" t="s">
        <v>54</v>
      </c>
      <c r="AX2342" t="str">
        <f t="shared" si="298"/>
        <v>FOR</v>
      </c>
      <c r="AY2342" t="s">
        <v>55</v>
      </c>
    </row>
    <row r="2343" spans="1:51" hidden="1">
      <c r="A2343">
        <v>104009</v>
      </c>
      <c r="B2343" t="s">
        <v>346</v>
      </c>
      <c r="C2343" t="str">
        <f t="shared" si="301"/>
        <v>08641790152</v>
      </c>
      <c r="D2343" t="str">
        <f t="shared" si="301"/>
        <v>08641790152</v>
      </c>
      <c r="E2343" t="s">
        <v>52</v>
      </c>
      <c r="F2343">
        <v>2015</v>
      </c>
      <c r="G2343" t="str">
        <f>"             F051754"</f>
        <v xml:space="preserve">             F051754</v>
      </c>
      <c r="H2343" s="3">
        <v>42124</v>
      </c>
      <c r="I2343" s="3">
        <v>42142</v>
      </c>
      <c r="J2343" s="3">
        <v>42137</v>
      </c>
      <c r="K2343" s="3">
        <v>42197</v>
      </c>
      <c r="L2343"/>
      <c r="N2343"/>
      <c r="O2343" s="4">
        <v>1898.4</v>
      </c>
      <c r="P2343">
        <v>205</v>
      </c>
      <c r="Q2343" s="4">
        <v>389172</v>
      </c>
      <c r="R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 s="3">
        <v>42562</v>
      </c>
      <c r="AC2343" t="s">
        <v>53</v>
      </c>
      <c r="AD2343" t="s">
        <v>53</v>
      </c>
      <c r="AK2343">
        <v>0</v>
      </c>
      <c r="AU2343" s="3">
        <v>42402</v>
      </c>
      <c r="AV2343" s="3">
        <v>42402</v>
      </c>
      <c r="AW2343" t="s">
        <v>54</v>
      </c>
      <c r="AX2343" t="str">
        <f t="shared" si="298"/>
        <v>FOR</v>
      </c>
      <c r="AY2343" t="s">
        <v>55</v>
      </c>
    </row>
    <row r="2344" spans="1:51" hidden="1">
      <c r="A2344">
        <v>104009</v>
      </c>
      <c r="B2344" t="s">
        <v>346</v>
      </c>
      <c r="C2344" t="str">
        <f t="shared" si="301"/>
        <v>08641790152</v>
      </c>
      <c r="D2344" t="str">
        <f t="shared" si="301"/>
        <v>08641790152</v>
      </c>
      <c r="E2344" t="s">
        <v>52</v>
      </c>
      <c r="F2344">
        <v>2015</v>
      </c>
      <c r="G2344" t="str">
        <f>"             F052492"</f>
        <v xml:space="preserve">             F052492</v>
      </c>
      <c r="H2344" s="3">
        <v>42128</v>
      </c>
      <c r="I2344" s="3">
        <v>42174</v>
      </c>
      <c r="J2344" s="3">
        <v>42138</v>
      </c>
      <c r="K2344" s="3">
        <v>42198</v>
      </c>
      <c r="L2344"/>
      <c r="N2344"/>
      <c r="O2344">
        <v>474.6</v>
      </c>
      <c r="P2344">
        <v>204</v>
      </c>
      <c r="Q2344" s="4">
        <v>96818.4</v>
      </c>
      <c r="R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 s="3">
        <v>42562</v>
      </c>
      <c r="AC2344" t="s">
        <v>53</v>
      </c>
      <c r="AD2344" t="s">
        <v>53</v>
      </c>
      <c r="AK2344">
        <v>0</v>
      </c>
      <c r="AU2344" s="3">
        <v>42402</v>
      </c>
      <c r="AV2344" s="3">
        <v>42402</v>
      </c>
      <c r="AW2344" t="s">
        <v>54</v>
      </c>
      <c r="AX2344" t="str">
        <f t="shared" si="298"/>
        <v>FOR</v>
      </c>
      <c r="AY2344" t="s">
        <v>55</v>
      </c>
    </row>
    <row r="2345" spans="1:51" hidden="1">
      <c r="A2345">
        <v>104009</v>
      </c>
      <c r="B2345" t="s">
        <v>346</v>
      </c>
      <c r="C2345" t="str">
        <f t="shared" si="301"/>
        <v>08641790152</v>
      </c>
      <c r="D2345" t="str">
        <f t="shared" si="301"/>
        <v>08641790152</v>
      </c>
      <c r="E2345" t="s">
        <v>52</v>
      </c>
      <c r="F2345">
        <v>2015</v>
      </c>
      <c r="G2345" t="str">
        <f>"             F052565"</f>
        <v xml:space="preserve">             F052565</v>
      </c>
      <c r="H2345" s="3">
        <v>42128</v>
      </c>
      <c r="I2345" s="3">
        <v>42129</v>
      </c>
      <c r="J2345" s="3">
        <v>42129</v>
      </c>
      <c r="K2345" s="3">
        <v>42189</v>
      </c>
      <c r="L2345"/>
      <c r="N2345"/>
      <c r="O2345">
        <v>864</v>
      </c>
      <c r="P2345">
        <v>213</v>
      </c>
      <c r="Q2345" s="4">
        <v>184032</v>
      </c>
      <c r="R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 s="3">
        <v>42562</v>
      </c>
      <c r="AC2345" t="s">
        <v>53</v>
      </c>
      <c r="AD2345" t="s">
        <v>53</v>
      </c>
      <c r="AK2345">
        <v>0</v>
      </c>
      <c r="AU2345" s="3">
        <v>42402</v>
      </c>
      <c r="AV2345" s="3">
        <v>42402</v>
      </c>
      <c r="AW2345" t="s">
        <v>54</v>
      </c>
      <c r="AX2345" t="str">
        <f t="shared" si="298"/>
        <v>FOR</v>
      </c>
      <c r="AY2345" t="s">
        <v>55</v>
      </c>
    </row>
    <row r="2346" spans="1:51" hidden="1">
      <c r="A2346">
        <v>104009</v>
      </c>
      <c r="B2346" t="s">
        <v>346</v>
      </c>
      <c r="C2346" t="str">
        <f t="shared" si="301"/>
        <v>08641790152</v>
      </c>
      <c r="D2346" t="str">
        <f t="shared" si="301"/>
        <v>08641790152</v>
      </c>
      <c r="E2346" t="s">
        <v>52</v>
      </c>
      <c r="F2346">
        <v>2015</v>
      </c>
      <c r="G2346" t="str">
        <f>"             F052588"</f>
        <v xml:space="preserve">             F052588</v>
      </c>
      <c r="H2346" s="3">
        <v>42128</v>
      </c>
      <c r="I2346" s="3">
        <v>42129</v>
      </c>
      <c r="J2346" s="3">
        <v>42129</v>
      </c>
      <c r="K2346" s="3">
        <v>42189</v>
      </c>
      <c r="L2346"/>
      <c r="N2346"/>
      <c r="O2346" s="4">
        <v>1044</v>
      </c>
      <c r="P2346">
        <v>213</v>
      </c>
      <c r="Q2346" s="4">
        <v>222372</v>
      </c>
      <c r="R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 s="3">
        <v>42562</v>
      </c>
      <c r="AC2346" t="s">
        <v>53</v>
      </c>
      <c r="AD2346" t="s">
        <v>53</v>
      </c>
      <c r="AK2346">
        <v>0</v>
      </c>
      <c r="AU2346" s="3">
        <v>42402</v>
      </c>
      <c r="AV2346" s="3">
        <v>42402</v>
      </c>
      <c r="AW2346" t="s">
        <v>54</v>
      </c>
      <c r="AX2346" t="str">
        <f t="shared" si="298"/>
        <v>FOR</v>
      </c>
      <c r="AY2346" t="s">
        <v>55</v>
      </c>
    </row>
    <row r="2347" spans="1:51" hidden="1">
      <c r="A2347">
        <v>104009</v>
      </c>
      <c r="B2347" t="s">
        <v>346</v>
      </c>
      <c r="C2347" t="str">
        <f t="shared" si="301"/>
        <v>08641790152</v>
      </c>
      <c r="D2347" t="str">
        <f t="shared" si="301"/>
        <v>08641790152</v>
      </c>
      <c r="E2347" t="s">
        <v>52</v>
      </c>
      <c r="F2347">
        <v>2015</v>
      </c>
      <c r="G2347" t="str">
        <f>"             F052629"</f>
        <v xml:space="preserve">             F052629</v>
      </c>
      <c r="H2347" s="3">
        <v>42128</v>
      </c>
      <c r="I2347" s="3">
        <v>42129</v>
      </c>
      <c r="J2347" s="3">
        <v>42129</v>
      </c>
      <c r="K2347" s="3">
        <v>42189</v>
      </c>
      <c r="L2347"/>
      <c r="N2347"/>
      <c r="O2347">
        <v>355</v>
      </c>
      <c r="P2347">
        <v>213</v>
      </c>
      <c r="Q2347" s="4">
        <v>75615</v>
      </c>
      <c r="R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 s="3">
        <v>42562</v>
      </c>
      <c r="AC2347" t="s">
        <v>53</v>
      </c>
      <c r="AD2347" t="s">
        <v>53</v>
      </c>
      <c r="AK2347">
        <v>0</v>
      </c>
      <c r="AU2347" s="3">
        <v>42402</v>
      </c>
      <c r="AV2347" s="3">
        <v>42402</v>
      </c>
      <c r="AW2347" t="s">
        <v>54</v>
      </c>
      <c r="AX2347" t="str">
        <f t="shared" si="298"/>
        <v>FOR</v>
      </c>
      <c r="AY2347" t="s">
        <v>55</v>
      </c>
    </row>
    <row r="2348" spans="1:51" hidden="1">
      <c r="A2348">
        <v>104009</v>
      </c>
      <c r="B2348" t="s">
        <v>346</v>
      </c>
      <c r="C2348" t="str">
        <f t="shared" si="301"/>
        <v>08641790152</v>
      </c>
      <c r="D2348" t="str">
        <f t="shared" si="301"/>
        <v>08641790152</v>
      </c>
      <c r="E2348" t="s">
        <v>52</v>
      </c>
      <c r="F2348">
        <v>2015</v>
      </c>
      <c r="G2348" t="str">
        <f>"             F052657"</f>
        <v xml:space="preserve">             F052657</v>
      </c>
      <c r="H2348" s="3">
        <v>42128</v>
      </c>
      <c r="I2348" s="3">
        <v>42129</v>
      </c>
      <c r="J2348" s="3">
        <v>42129</v>
      </c>
      <c r="K2348" s="3">
        <v>42189</v>
      </c>
      <c r="L2348"/>
      <c r="N2348"/>
      <c r="O2348">
        <v>420</v>
      </c>
      <c r="P2348">
        <v>213</v>
      </c>
      <c r="Q2348" s="4">
        <v>89460</v>
      </c>
      <c r="R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 s="3">
        <v>42562</v>
      </c>
      <c r="AC2348" t="s">
        <v>53</v>
      </c>
      <c r="AD2348" t="s">
        <v>53</v>
      </c>
      <c r="AK2348">
        <v>0</v>
      </c>
      <c r="AU2348" s="3">
        <v>42402</v>
      </c>
      <c r="AV2348" s="3">
        <v>42402</v>
      </c>
      <c r="AW2348" t="s">
        <v>54</v>
      </c>
      <c r="AX2348" t="str">
        <f t="shared" si="298"/>
        <v>FOR</v>
      </c>
      <c r="AY2348" t="s">
        <v>55</v>
      </c>
    </row>
    <row r="2349" spans="1:51" hidden="1">
      <c r="A2349">
        <v>104009</v>
      </c>
      <c r="B2349" t="s">
        <v>346</v>
      </c>
      <c r="C2349" t="str">
        <f t="shared" si="301"/>
        <v>08641790152</v>
      </c>
      <c r="D2349" t="str">
        <f t="shared" si="301"/>
        <v>08641790152</v>
      </c>
      <c r="E2349" t="s">
        <v>52</v>
      </c>
      <c r="F2349">
        <v>2015</v>
      </c>
      <c r="G2349" t="str">
        <f>"             F052773"</f>
        <v xml:space="preserve">             F052773</v>
      </c>
      <c r="H2349" s="3">
        <v>42128</v>
      </c>
      <c r="I2349" s="3">
        <v>42131</v>
      </c>
      <c r="J2349" s="3">
        <v>42130</v>
      </c>
      <c r="K2349" s="3">
        <v>42190</v>
      </c>
      <c r="L2349"/>
      <c r="N2349"/>
      <c r="O2349">
        <v>510</v>
      </c>
      <c r="P2349">
        <v>212</v>
      </c>
      <c r="Q2349" s="4">
        <v>108120</v>
      </c>
      <c r="R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 s="3">
        <v>42562</v>
      </c>
      <c r="AC2349" t="s">
        <v>53</v>
      </c>
      <c r="AD2349" t="s">
        <v>53</v>
      </c>
      <c r="AK2349">
        <v>0</v>
      </c>
      <c r="AU2349" s="3">
        <v>42402</v>
      </c>
      <c r="AV2349" s="3">
        <v>42402</v>
      </c>
      <c r="AW2349" t="s">
        <v>54</v>
      </c>
      <c r="AX2349" t="str">
        <f t="shared" si="298"/>
        <v>FOR</v>
      </c>
      <c r="AY2349" t="s">
        <v>55</v>
      </c>
    </row>
    <row r="2350" spans="1:51" hidden="1">
      <c r="A2350">
        <v>104009</v>
      </c>
      <c r="B2350" t="s">
        <v>346</v>
      </c>
      <c r="C2350" t="str">
        <f t="shared" si="301"/>
        <v>08641790152</v>
      </c>
      <c r="D2350" t="str">
        <f t="shared" si="301"/>
        <v>08641790152</v>
      </c>
      <c r="E2350" t="s">
        <v>52</v>
      </c>
      <c r="F2350">
        <v>2015</v>
      </c>
      <c r="G2350" t="str">
        <f>"             F054532"</f>
        <v xml:space="preserve">             F054532</v>
      </c>
      <c r="H2350" s="3">
        <v>42131</v>
      </c>
      <c r="I2350" s="3">
        <v>42135</v>
      </c>
      <c r="J2350" s="3">
        <v>42133</v>
      </c>
      <c r="K2350" s="3">
        <v>42193</v>
      </c>
      <c r="L2350"/>
      <c r="N2350"/>
      <c r="O2350">
        <v>950</v>
      </c>
      <c r="P2350">
        <v>209</v>
      </c>
      <c r="Q2350" s="4">
        <v>198550</v>
      </c>
      <c r="R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 s="3">
        <v>42562</v>
      </c>
      <c r="AC2350" t="s">
        <v>53</v>
      </c>
      <c r="AD2350" t="s">
        <v>53</v>
      </c>
      <c r="AK2350">
        <v>0</v>
      </c>
      <c r="AU2350" s="3">
        <v>42402</v>
      </c>
      <c r="AV2350" s="3">
        <v>42402</v>
      </c>
      <c r="AW2350" t="s">
        <v>54</v>
      </c>
      <c r="AX2350" t="str">
        <f t="shared" si="298"/>
        <v>FOR</v>
      </c>
      <c r="AY2350" t="s">
        <v>55</v>
      </c>
    </row>
    <row r="2351" spans="1:51" hidden="1">
      <c r="A2351">
        <v>104009</v>
      </c>
      <c r="B2351" t="s">
        <v>346</v>
      </c>
      <c r="C2351" t="str">
        <f t="shared" ref="C2351:D2370" si="302">"08641790152"</f>
        <v>08641790152</v>
      </c>
      <c r="D2351" t="str">
        <f t="shared" si="302"/>
        <v>08641790152</v>
      </c>
      <c r="E2351" t="s">
        <v>52</v>
      </c>
      <c r="F2351">
        <v>2015</v>
      </c>
      <c r="G2351" t="str">
        <f>"             F054540"</f>
        <v xml:space="preserve">             F054540</v>
      </c>
      <c r="H2351" s="3">
        <v>42131</v>
      </c>
      <c r="I2351" s="3">
        <v>42135</v>
      </c>
      <c r="J2351" s="3">
        <v>42133</v>
      </c>
      <c r="K2351" s="3">
        <v>42193</v>
      </c>
      <c r="L2351"/>
      <c r="N2351"/>
      <c r="O2351">
        <v>950</v>
      </c>
      <c r="P2351">
        <v>209</v>
      </c>
      <c r="Q2351" s="4">
        <v>198550</v>
      </c>
      <c r="R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 s="3">
        <v>42562</v>
      </c>
      <c r="AC2351" t="s">
        <v>53</v>
      </c>
      <c r="AD2351" t="s">
        <v>53</v>
      </c>
      <c r="AK2351">
        <v>0</v>
      </c>
      <c r="AU2351" s="3">
        <v>42402</v>
      </c>
      <c r="AV2351" s="3">
        <v>42402</v>
      </c>
      <c r="AW2351" t="s">
        <v>54</v>
      </c>
      <c r="AX2351" t="str">
        <f t="shared" si="298"/>
        <v>FOR</v>
      </c>
      <c r="AY2351" t="s">
        <v>55</v>
      </c>
    </row>
    <row r="2352" spans="1:51" hidden="1">
      <c r="A2352">
        <v>104009</v>
      </c>
      <c r="B2352" t="s">
        <v>346</v>
      </c>
      <c r="C2352" t="str">
        <f t="shared" si="302"/>
        <v>08641790152</v>
      </c>
      <c r="D2352" t="str">
        <f t="shared" si="302"/>
        <v>08641790152</v>
      </c>
      <c r="E2352" t="s">
        <v>52</v>
      </c>
      <c r="F2352">
        <v>2015</v>
      </c>
      <c r="G2352" t="str">
        <f>"             F054954"</f>
        <v xml:space="preserve">             F054954</v>
      </c>
      <c r="H2352" s="3">
        <v>42132</v>
      </c>
      <c r="I2352" s="3">
        <v>42135</v>
      </c>
      <c r="J2352" s="3">
        <v>42133</v>
      </c>
      <c r="K2352" s="3">
        <v>42193</v>
      </c>
      <c r="L2352"/>
      <c r="N2352"/>
      <c r="O2352">
        <v>950</v>
      </c>
      <c r="P2352">
        <v>209</v>
      </c>
      <c r="Q2352" s="4">
        <v>198550</v>
      </c>
      <c r="R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 s="3">
        <v>42562</v>
      </c>
      <c r="AC2352" t="s">
        <v>53</v>
      </c>
      <c r="AD2352" t="s">
        <v>53</v>
      </c>
      <c r="AK2352">
        <v>0</v>
      </c>
      <c r="AU2352" s="3">
        <v>42402</v>
      </c>
      <c r="AV2352" s="3">
        <v>42402</v>
      </c>
      <c r="AW2352" t="s">
        <v>54</v>
      </c>
      <c r="AX2352" t="str">
        <f t="shared" si="298"/>
        <v>FOR</v>
      </c>
      <c r="AY2352" t="s">
        <v>55</v>
      </c>
    </row>
    <row r="2353" spans="1:51" hidden="1">
      <c r="A2353">
        <v>104009</v>
      </c>
      <c r="B2353" t="s">
        <v>346</v>
      </c>
      <c r="C2353" t="str">
        <f t="shared" si="302"/>
        <v>08641790152</v>
      </c>
      <c r="D2353" t="str">
        <f t="shared" si="302"/>
        <v>08641790152</v>
      </c>
      <c r="E2353" t="s">
        <v>52</v>
      </c>
      <c r="F2353">
        <v>2015</v>
      </c>
      <c r="G2353" t="str">
        <f>"             F056639"</f>
        <v xml:space="preserve">             F056639</v>
      </c>
      <c r="H2353" s="3">
        <v>42136</v>
      </c>
      <c r="I2353" s="3">
        <v>42142</v>
      </c>
      <c r="J2353" s="3">
        <v>42137</v>
      </c>
      <c r="K2353" s="3">
        <v>42197</v>
      </c>
      <c r="L2353"/>
      <c r="N2353"/>
      <c r="O2353" s="4">
        <v>1264</v>
      </c>
      <c r="P2353">
        <v>205</v>
      </c>
      <c r="Q2353" s="4">
        <v>259120</v>
      </c>
      <c r="R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 s="3">
        <v>42562</v>
      </c>
      <c r="AC2353" t="s">
        <v>53</v>
      </c>
      <c r="AD2353" t="s">
        <v>53</v>
      </c>
      <c r="AK2353">
        <v>0</v>
      </c>
      <c r="AU2353" s="3">
        <v>42402</v>
      </c>
      <c r="AV2353" s="3">
        <v>42402</v>
      </c>
      <c r="AW2353" t="s">
        <v>54</v>
      </c>
      <c r="AX2353" t="str">
        <f t="shared" si="298"/>
        <v>FOR</v>
      </c>
      <c r="AY2353" t="s">
        <v>55</v>
      </c>
    </row>
    <row r="2354" spans="1:51" hidden="1">
      <c r="A2354">
        <v>104009</v>
      </c>
      <c r="B2354" t="s">
        <v>346</v>
      </c>
      <c r="C2354" t="str">
        <f t="shared" si="302"/>
        <v>08641790152</v>
      </c>
      <c r="D2354" t="str">
        <f t="shared" si="302"/>
        <v>08641790152</v>
      </c>
      <c r="E2354" t="s">
        <v>52</v>
      </c>
      <c r="F2354">
        <v>2015</v>
      </c>
      <c r="G2354" t="str">
        <f>"             F056774"</f>
        <v xml:space="preserve">             F056774</v>
      </c>
      <c r="H2354" s="3">
        <v>42137</v>
      </c>
      <c r="I2354" s="3">
        <v>42158</v>
      </c>
      <c r="J2354" s="3">
        <v>42138</v>
      </c>
      <c r="K2354" s="3">
        <v>42198</v>
      </c>
      <c r="L2354"/>
      <c r="N2354"/>
      <c r="O2354">
        <v>549</v>
      </c>
      <c r="P2354">
        <v>204</v>
      </c>
      <c r="Q2354" s="4">
        <v>111996</v>
      </c>
      <c r="R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 s="3">
        <v>42562</v>
      </c>
      <c r="AC2354" t="s">
        <v>53</v>
      </c>
      <c r="AD2354" t="s">
        <v>53</v>
      </c>
      <c r="AK2354">
        <v>0</v>
      </c>
      <c r="AU2354" s="3">
        <v>42402</v>
      </c>
      <c r="AV2354" s="3">
        <v>42402</v>
      </c>
      <c r="AW2354" t="s">
        <v>54</v>
      </c>
      <c r="AX2354" t="str">
        <f t="shared" si="298"/>
        <v>FOR</v>
      </c>
      <c r="AY2354" t="s">
        <v>55</v>
      </c>
    </row>
    <row r="2355" spans="1:51" hidden="1">
      <c r="A2355">
        <v>104009</v>
      </c>
      <c r="B2355" t="s">
        <v>346</v>
      </c>
      <c r="C2355" t="str">
        <f t="shared" si="302"/>
        <v>08641790152</v>
      </c>
      <c r="D2355" t="str">
        <f t="shared" si="302"/>
        <v>08641790152</v>
      </c>
      <c r="E2355" t="s">
        <v>52</v>
      </c>
      <c r="F2355">
        <v>2015</v>
      </c>
      <c r="G2355" t="str">
        <f>"             F057002"</f>
        <v xml:space="preserve">             F057002</v>
      </c>
      <c r="H2355" s="3">
        <v>42137</v>
      </c>
      <c r="I2355" s="3">
        <v>42158</v>
      </c>
      <c r="J2355" s="3">
        <v>42138</v>
      </c>
      <c r="K2355" s="3">
        <v>42198</v>
      </c>
      <c r="L2355"/>
      <c r="N2355"/>
      <c r="O2355">
        <v>624</v>
      </c>
      <c r="P2355">
        <v>204</v>
      </c>
      <c r="Q2355" s="4">
        <v>127296</v>
      </c>
      <c r="R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 s="3">
        <v>42562</v>
      </c>
      <c r="AC2355" t="s">
        <v>53</v>
      </c>
      <c r="AD2355" t="s">
        <v>53</v>
      </c>
      <c r="AK2355">
        <v>0</v>
      </c>
      <c r="AU2355" s="3">
        <v>42402</v>
      </c>
      <c r="AV2355" s="3">
        <v>42402</v>
      </c>
      <c r="AW2355" t="s">
        <v>54</v>
      </c>
      <c r="AX2355" t="str">
        <f t="shared" si="298"/>
        <v>FOR</v>
      </c>
      <c r="AY2355" t="s">
        <v>55</v>
      </c>
    </row>
    <row r="2356" spans="1:51" hidden="1">
      <c r="A2356">
        <v>104009</v>
      </c>
      <c r="B2356" t="s">
        <v>346</v>
      </c>
      <c r="C2356" t="str">
        <f t="shared" si="302"/>
        <v>08641790152</v>
      </c>
      <c r="D2356" t="str">
        <f t="shared" si="302"/>
        <v>08641790152</v>
      </c>
      <c r="E2356" t="s">
        <v>52</v>
      </c>
      <c r="F2356">
        <v>2015</v>
      </c>
      <c r="G2356" t="str">
        <f>"             F057293"</f>
        <v xml:space="preserve">             F057293</v>
      </c>
      <c r="H2356" s="3">
        <v>42137</v>
      </c>
      <c r="I2356" s="3">
        <v>42158</v>
      </c>
      <c r="J2356" s="3">
        <v>42138</v>
      </c>
      <c r="K2356" s="3">
        <v>42198</v>
      </c>
      <c r="L2356"/>
      <c r="N2356"/>
      <c r="O2356" s="4">
        <v>3480</v>
      </c>
      <c r="P2356">
        <v>204</v>
      </c>
      <c r="Q2356" s="4">
        <v>709920</v>
      </c>
      <c r="R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 s="3">
        <v>42562</v>
      </c>
      <c r="AC2356" t="s">
        <v>53</v>
      </c>
      <c r="AD2356" t="s">
        <v>53</v>
      </c>
      <c r="AK2356">
        <v>0</v>
      </c>
      <c r="AU2356" s="3">
        <v>42402</v>
      </c>
      <c r="AV2356" s="3">
        <v>42402</v>
      </c>
      <c r="AW2356" t="s">
        <v>54</v>
      </c>
      <c r="AX2356" t="str">
        <f t="shared" si="298"/>
        <v>FOR</v>
      </c>
      <c r="AY2356" t="s">
        <v>55</v>
      </c>
    </row>
    <row r="2357" spans="1:51" hidden="1">
      <c r="A2357">
        <v>104009</v>
      </c>
      <c r="B2357" t="s">
        <v>346</v>
      </c>
      <c r="C2357" t="str">
        <f t="shared" si="302"/>
        <v>08641790152</v>
      </c>
      <c r="D2357" t="str">
        <f t="shared" si="302"/>
        <v>08641790152</v>
      </c>
      <c r="E2357" t="s">
        <v>52</v>
      </c>
      <c r="F2357">
        <v>2015</v>
      </c>
      <c r="G2357" t="str">
        <f>"             F057312"</f>
        <v xml:space="preserve">             F057312</v>
      </c>
      <c r="H2357" s="3">
        <v>42138</v>
      </c>
      <c r="I2357" s="3">
        <v>42174</v>
      </c>
      <c r="J2357" s="3">
        <v>42139</v>
      </c>
      <c r="K2357" s="3">
        <v>42199</v>
      </c>
      <c r="L2357"/>
      <c r="N2357"/>
      <c r="O2357">
        <v>624</v>
      </c>
      <c r="P2357">
        <v>203</v>
      </c>
      <c r="Q2357" s="4">
        <v>126672</v>
      </c>
      <c r="R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 s="3">
        <v>42562</v>
      </c>
      <c r="AC2357" t="s">
        <v>53</v>
      </c>
      <c r="AD2357" t="s">
        <v>53</v>
      </c>
      <c r="AK2357">
        <v>0</v>
      </c>
      <c r="AU2357" s="3">
        <v>42402</v>
      </c>
      <c r="AV2357" s="3">
        <v>42402</v>
      </c>
      <c r="AW2357" t="s">
        <v>54</v>
      </c>
      <c r="AX2357" t="str">
        <f t="shared" si="298"/>
        <v>FOR</v>
      </c>
      <c r="AY2357" t="s">
        <v>55</v>
      </c>
    </row>
    <row r="2358" spans="1:51" hidden="1">
      <c r="A2358">
        <v>104009</v>
      </c>
      <c r="B2358" t="s">
        <v>346</v>
      </c>
      <c r="C2358" t="str">
        <f t="shared" si="302"/>
        <v>08641790152</v>
      </c>
      <c r="D2358" t="str">
        <f t="shared" si="302"/>
        <v>08641790152</v>
      </c>
      <c r="E2358" t="s">
        <v>52</v>
      </c>
      <c r="F2358">
        <v>2015</v>
      </c>
      <c r="G2358" t="str">
        <f>"             F057324"</f>
        <v xml:space="preserve">             F057324</v>
      </c>
      <c r="H2358" s="3">
        <v>42138</v>
      </c>
      <c r="I2358" s="3">
        <v>42174</v>
      </c>
      <c r="J2358" s="3">
        <v>42139</v>
      </c>
      <c r="K2358" s="3">
        <v>42199</v>
      </c>
      <c r="L2358"/>
      <c r="N2358"/>
      <c r="O2358">
        <v>453.6</v>
      </c>
      <c r="P2358">
        <v>203</v>
      </c>
      <c r="Q2358" s="4">
        <v>92080.8</v>
      </c>
      <c r="R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 s="3">
        <v>42562</v>
      </c>
      <c r="AC2358" t="s">
        <v>53</v>
      </c>
      <c r="AD2358" t="s">
        <v>53</v>
      </c>
      <c r="AK2358">
        <v>0</v>
      </c>
      <c r="AU2358" s="3">
        <v>42402</v>
      </c>
      <c r="AV2358" s="3">
        <v>42402</v>
      </c>
      <c r="AW2358" t="s">
        <v>54</v>
      </c>
      <c r="AX2358" t="str">
        <f t="shared" si="298"/>
        <v>FOR</v>
      </c>
      <c r="AY2358" t="s">
        <v>55</v>
      </c>
    </row>
    <row r="2359" spans="1:51" hidden="1">
      <c r="A2359">
        <v>104009</v>
      </c>
      <c r="B2359" t="s">
        <v>346</v>
      </c>
      <c r="C2359" t="str">
        <f t="shared" si="302"/>
        <v>08641790152</v>
      </c>
      <c r="D2359" t="str">
        <f t="shared" si="302"/>
        <v>08641790152</v>
      </c>
      <c r="E2359" t="s">
        <v>52</v>
      </c>
      <c r="F2359">
        <v>2015</v>
      </c>
      <c r="G2359" t="str">
        <f>"             F057352"</f>
        <v xml:space="preserve">             F057352</v>
      </c>
      <c r="H2359" s="3">
        <v>42138</v>
      </c>
      <c r="I2359" s="3">
        <v>42174</v>
      </c>
      <c r="J2359" s="3">
        <v>42139</v>
      </c>
      <c r="K2359" s="3">
        <v>42199</v>
      </c>
      <c r="L2359"/>
      <c r="N2359"/>
      <c r="O2359">
        <v>675.36</v>
      </c>
      <c r="P2359">
        <v>203</v>
      </c>
      <c r="Q2359" s="4">
        <v>137098.07999999999</v>
      </c>
      <c r="R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 s="3">
        <v>42562</v>
      </c>
      <c r="AC2359" t="s">
        <v>53</v>
      </c>
      <c r="AD2359" t="s">
        <v>53</v>
      </c>
      <c r="AK2359">
        <v>0</v>
      </c>
      <c r="AU2359" s="3">
        <v>42402</v>
      </c>
      <c r="AV2359" s="3">
        <v>42402</v>
      </c>
      <c r="AW2359" t="s">
        <v>54</v>
      </c>
      <c r="AX2359" t="str">
        <f t="shared" si="298"/>
        <v>FOR</v>
      </c>
      <c r="AY2359" t="s">
        <v>55</v>
      </c>
    </row>
    <row r="2360" spans="1:51" hidden="1">
      <c r="A2360">
        <v>104009</v>
      </c>
      <c r="B2360" t="s">
        <v>346</v>
      </c>
      <c r="C2360" t="str">
        <f t="shared" si="302"/>
        <v>08641790152</v>
      </c>
      <c r="D2360" t="str">
        <f t="shared" si="302"/>
        <v>08641790152</v>
      </c>
      <c r="E2360" t="s">
        <v>52</v>
      </c>
      <c r="F2360">
        <v>2015</v>
      </c>
      <c r="G2360" t="str">
        <f>"             F057353"</f>
        <v xml:space="preserve">             F057353</v>
      </c>
      <c r="H2360" s="3">
        <v>42138</v>
      </c>
      <c r="I2360" s="3">
        <v>42174</v>
      </c>
      <c r="J2360" s="3">
        <v>42139</v>
      </c>
      <c r="K2360" s="3">
        <v>42199</v>
      </c>
      <c r="L2360"/>
      <c r="N2360"/>
      <c r="O2360">
        <v>936.68</v>
      </c>
      <c r="P2360">
        <v>203</v>
      </c>
      <c r="Q2360" s="4">
        <v>190146.04</v>
      </c>
      <c r="R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 s="3">
        <v>42562</v>
      </c>
      <c r="AC2360" t="s">
        <v>53</v>
      </c>
      <c r="AD2360" t="s">
        <v>53</v>
      </c>
      <c r="AK2360">
        <v>0</v>
      </c>
      <c r="AU2360" s="3">
        <v>42402</v>
      </c>
      <c r="AV2360" s="3">
        <v>42402</v>
      </c>
      <c r="AW2360" t="s">
        <v>54</v>
      </c>
      <c r="AX2360" t="str">
        <f t="shared" si="298"/>
        <v>FOR</v>
      </c>
      <c r="AY2360" t="s">
        <v>55</v>
      </c>
    </row>
    <row r="2361" spans="1:51" hidden="1">
      <c r="A2361">
        <v>104009</v>
      </c>
      <c r="B2361" t="s">
        <v>346</v>
      </c>
      <c r="C2361" t="str">
        <f t="shared" si="302"/>
        <v>08641790152</v>
      </c>
      <c r="D2361" t="str">
        <f t="shared" si="302"/>
        <v>08641790152</v>
      </c>
      <c r="E2361" t="s">
        <v>52</v>
      </c>
      <c r="F2361">
        <v>2015</v>
      </c>
      <c r="G2361" t="str">
        <f>"             F057365"</f>
        <v xml:space="preserve">             F057365</v>
      </c>
      <c r="H2361" s="3">
        <v>42138</v>
      </c>
      <c r="I2361" s="3">
        <v>42174</v>
      </c>
      <c r="J2361" s="3">
        <v>42139</v>
      </c>
      <c r="K2361" s="3">
        <v>42199</v>
      </c>
      <c r="L2361"/>
      <c r="N2361"/>
      <c r="O2361">
        <v>276.48</v>
      </c>
      <c r="P2361">
        <v>203</v>
      </c>
      <c r="Q2361" s="4">
        <v>56125.440000000002</v>
      </c>
      <c r="R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 s="3">
        <v>42562</v>
      </c>
      <c r="AC2361" t="s">
        <v>53</v>
      </c>
      <c r="AD2361" t="s">
        <v>53</v>
      </c>
      <c r="AK2361">
        <v>0</v>
      </c>
      <c r="AU2361" s="3">
        <v>42402</v>
      </c>
      <c r="AV2361" s="3">
        <v>42402</v>
      </c>
      <c r="AW2361" t="s">
        <v>54</v>
      </c>
      <c r="AX2361" t="str">
        <f t="shared" si="298"/>
        <v>FOR</v>
      </c>
      <c r="AY2361" t="s">
        <v>55</v>
      </c>
    </row>
    <row r="2362" spans="1:51" hidden="1">
      <c r="A2362">
        <v>104009</v>
      </c>
      <c r="B2362" t="s">
        <v>346</v>
      </c>
      <c r="C2362" t="str">
        <f t="shared" si="302"/>
        <v>08641790152</v>
      </c>
      <c r="D2362" t="str">
        <f t="shared" si="302"/>
        <v>08641790152</v>
      </c>
      <c r="E2362" t="s">
        <v>52</v>
      </c>
      <c r="F2362">
        <v>2015</v>
      </c>
      <c r="G2362" t="str">
        <f>"             F057474"</f>
        <v xml:space="preserve">             F057474</v>
      </c>
      <c r="H2362" s="3">
        <v>42138</v>
      </c>
      <c r="I2362" s="3">
        <v>42174</v>
      </c>
      <c r="J2362" s="3">
        <v>42139</v>
      </c>
      <c r="K2362" s="3">
        <v>42199</v>
      </c>
      <c r="L2362"/>
      <c r="N2362"/>
      <c r="O2362">
        <v>624</v>
      </c>
      <c r="P2362">
        <v>203</v>
      </c>
      <c r="Q2362" s="4">
        <v>126672</v>
      </c>
      <c r="R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 s="3">
        <v>42562</v>
      </c>
      <c r="AC2362" t="s">
        <v>53</v>
      </c>
      <c r="AD2362" t="s">
        <v>53</v>
      </c>
      <c r="AK2362">
        <v>0</v>
      </c>
      <c r="AU2362" s="3">
        <v>42402</v>
      </c>
      <c r="AV2362" s="3">
        <v>42402</v>
      </c>
      <c r="AW2362" t="s">
        <v>54</v>
      </c>
      <c r="AX2362" t="str">
        <f t="shared" si="298"/>
        <v>FOR</v>
      </c>
      <c r="AY2362" t="s">
        <v>55</v>
      </c>
    </row>
    <row r="2363" spans="1:51" hidden="1">
      <c r="A2363">
        <v>104009</v>
      </c>
      <c r="B2363" t="s">
        <v>346</v>
      </c>
      <c r="C2363" t="str">
        <f t="shared" si="302"/>
        <v>08641790152</v>
      </c>
      <c r="D2363" t="str">
        <f t="shared" si="302"/>
        <v>08641790152</v>
      </c>
      <c r="E2363" t="s">
        <v>52</v>
      </c>
      <c r="F2363">
        <v>2015</v>
      </c>
      <c r="G2363" t="str">
        <f>"             F057533"</f>
        <v xml:space="preserve">             F057533</v>
      </c>
      <c r="H2363" s="3">
        <v>42138</v>
      </c>
      <c r="I2363" s="3">
        <v>42174</v>
      </c>
      <c r="J2363" s="3">
        <v>42139</v>
      </c>
      <c r="K2363" s="3">
        <v>42199</v>
      </c>
      <c r="L2363"/>
      <c r="N2363"/>
      <c r="O2363">
        <v>225</v>
      </c>
      <c r="P2363">
        <v>203</v>
      </c>
      <c r="Q2363" s="4">
        <v>45675</v>
      </c>
      <c r="R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 s="3">
        <v>42562</v>
      </c>
      <c r="AC2363" t="s">
        <v>53</v>
      </c>
      <c r="AD2363" t="s">
        <v>53</v>
      </c>
      <c r="AK2363">
        <v>0</v>
      </c>
      <c r="AU2363" s="3">
        <v>42402</v>
      </c>
      <c r="AV2363" s="3">
        <v>42402</v>
      </c>
      <c r="AW2363" t="s">
        <v>54</v>
      </c>
      <c r="AX2363" t="str">
        <f t="shared" si="298"/>
        <v>FOR</v>
      </c>
      <c r="AY2363" t="s">
        <v>55</v>
      </c>
    </row>
    <row r="2364" spans="1:51" hidden="1">
      <c r="A2364">
        <v>104009</v>
      </c>
      <c r="B2364" t="s">
        <v>346</v>
      </c>
      <c r="C2364" t="str">
        <f t="shared" si="302"/>
        <v>08641790152</v>
      </c>
      <c r="D2364" t="str">
        <f t="shared" si="302"/>
        <v>08641790152</v>
      </c>
      <c r="E2364" t="s">
        <v>52</v>
      </c>
      <c r="F2364">
        <v>2015</v>
      </c>
      <c r="G2364" t="str">
        <f>"             F057662"</f>
        <v xml:space="preserve">             F057662</v>
      </c>
      <c r="H2364" s="3">
        <v>42138</v>
      </c>
      <c r="I2364" s="3">
        <v>42174</v>
      </c>
      <c r="J2364" s="3">
        <v>42139</v>
      </c>
      <c r="K2364" s="3">
        <v>42199</v>
      </c>
      <c r="L2364"/>
      <c r="N2364"/>
      <c r="O2364">
        <v>624</v>
      </c>
      <c r="P2364">
        <v>203</v>
      </c>
      <c r="Q2364" s="4">
        <v>126672</v>
      </c>
      <c r="R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 s="3">
        <v>42562</v>
      </c>
      <c r="AC2364" t="s">
        <v>53</v>
      </c>
      <c r="AD2364" t="s">
        <v>53</v>
      </c>
      <c r="AK2364">
        <v>0</v>
      </c>
      <c r="AU2364" s="3">
        <v>42402</v>
      </c>
      <c r="AV2364" s="3">
        <v>42402</v>
      </c>
      <c r="AW2364" t="s">
        <v>54</v>
      </c>
      <c r="AX2364" t="str">
        <f t="shared" si="298"/>
        <v>FOR</v>
      </c>
      <c r="AY2364" t="s">
        <v>55</v>
      </c>
    </row>
    <row r="2365" spans="1:51" hidden="1">
      <c r="A2365">
        <v>104009</v>
      </c>
      <c r="B2365" t="s">
        <v>346</v>
      </c>
      <c r="C2365" t="str">
        <f t="shared" si="302"/>
        <v>08641790152</v>
      </c>
      <c r="D2365" t="str">
        <f t="shared" si="302"/>
        <v>08641790152</v>
      </c>
      <c r="E2365" t="s">
        <v>52</v>
      </c>
      <c r="F2365">
        <v>2015</v>
      </c>
      <c r="G2365" t="str">
        <f>"             F058173"</f>
        <v xml:space="preserve">             F058173</v>
      </c>
      <c r="H2365" s="3">
        <v>42139</v>
      </c>
      <c r="I2365" s="3">
        <v>42158</v>
      </c>
      <c r="J2365" s="3">
        <v>42140</v>
      </c>
      <c r="K2365" s="3">
        <v>42200</v>
      </c>
      <c r="L2365"/>
      <c r="N2365"/>
      <c r="O2365">
        <v>240</v>
      </c>
      <c r="P2365">
        <v>202</v>
      </c>
      <c r="Q2365" s="4">
        <v>48480</v>
      </c>
      <c r="R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 s="3">
        <v>42562</v>
      </c>
      <c r="AC2365" t="s">
        <v>53</v>
      </c>
      <c r="AD2365" t="s">
        <v>53</v>
      </c>
      <c r="AK2365">
        <v>0</v>
      </c>
      <c r="AU2365" s="3">
        <v>42402</v>
      </c>
      <c r="AV2365" s="3">
        <v>42402</v>
      </c>
      <c r="AW2365" t="s">
        <v>54</v>
      </c>
      <c r="AX2365" t="str">
        <f t="shared" si="298"/>
        <v>FOR</v>
      </c>
      <c r="AY2365" t="s">
        <v>55</v>
      </c>
    </row>
    <row r="2366" spans="1:51" hidden="1">
      <c r="A2366">
        <v>104009</v>
      </c>
      <c r="B2366" t="s">
        <v>346</v>
      </c>
      <c r="C2366" t="str">
        <f t="shared" si="302"/>
        <v>08641790152</v>
      </c>
      <c r="D2366" t="str">
        <f t="shared" si="302"/>
        <v>08641790152</v>
      </c>
      <c r="E2366" t="s">
        <v>52</v>
      </c>
      <c r="F2366">
        <v>2015</v>
      </c>
      <c r="G2366" t="str">
        <f>"             F058714"</f>
        <v xml:space="preserve">             F058714</v>
      </c>
      <c r="H2366" s="3">
        <v>42142</v>
      </c>
      <c r="I2366" s="3">
        <v>42160</v>
      </c>
      <c r="J2366" s="3">
        <v>42143</v>
      </c>
      <c r="K2366" s="3">
        <v>42203</v>
      </c>
      <c r="L2366"/>
      <c r="N2366"/>
      <c r="O2366">
        <v>769</v>
      </c>
      <c r="P2366">
        <v>199</v>
      </c>
      <c r="Q2366" s="4">
        <v>153031</v>
      </c>
      <c r="R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 s="3">
        <v>42562</v>
      </c>
      <c r="AC2366" t="s">
        <v>53</v>
      </c>
      <c r="AD2366" t="s">
        <v>53</v>
      </c>
      <c r="AK2366">
        <v>0</v>
      </c>
      <c r="AU2366" s="3">
        <v>42402</v>
      </c>
      <c r="AV2366" s="3">
        <v>42402</v>
      </c>
      <c r="AW2366" t="s">
        <v>54</v>
      </c>
      <c r="AX2366" t="str">
        <f t="shared" si="298"/>
        <v>FOR</v>
      </c>
      <c r="AY2366" t="s">
        <v>55</v>
      </c>
    </row>
    <row r="2367" spans="1:51" hidden="1">
      <c r="A2367">
        <v>104009</v>
      </c>
      <c r="B2367" t="s">
        <v>346</v>
      </c>
      <c r="C2367" t="str">
        <f t="shared" si="302"/>
        <v>08641790152</v>
      </c>
      <c r="D2367" t="str">
        <f t="shared" si="302"/>
        <v>08641790152</v>
      </c>
      <c r="E2367" t="s">
        <v>52</v>
      </c>
      <c r="F2367">
        <v>2015</v>
      </c>
      <c r="G2367" t="str">
        <f>"             F058721"</f>
        <v xml:space="preserve">             F058721</v>
      </c>
      <c r="H2367" s="3">
        <v>42142</v>
      </c>
      <c r="I2367" s="3">
        <v>42160</v>
      </c>
      <c r="J2367" s="3">
        <v>42143</v>
      </c>
      <c r="K2367" s="3">
        <v>42203</v>
      </c>
      <c r="L2367"/>
      <c r="N2367"/>
      <c r="O2367">
        <v>882</v>
      </c>
      <c r="P2367">
        <v>199</v>
      </c>
      <c r="Q2367" s="4">
        <v>175518</v>
      </c>
      <c r="R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 s="3">
        <v>42562</v>
      </c>
      <c r="AC2367" t="s">
        <v>53</v>
      </c>
      <c r="AD2367" t="s">
        <v>53</v>
      </c>
      <c r="AK2367">
        <v>0</v>
      </c>
      <c r="AU2367" s="3">
        <v>42402</v>
      </c>
      <c r="AV2367" s="3">
        <v>42402</v>
      </c>
      <c r="AW2367" t="s">
        <v>54</v>
      </c>
      <c r="AX2367" t="str">
        <f t="shared" si="298"/>
        <v>FOR</v>
      </c>
      <c r="AY2367" t="s">
        <v>55</v>
      </c>
    </row>
    <row r="2368" spans="1:51" hidden="1">
      <c r="A2368">
        <v>104009</v>
      </c>
      <c r="B2368" t="s">
        <v>346</v>
      </c>
      <c r="C2368" t="str">
        <f t="shared" si="302"/>
        <v>08641790152</v>
      </c>
      <c r="D2368" t="str">
        <f t="shared" si="302"/>
        <v>08641790152</v>
      </c>
      <c r="E2368" t="s">
        <v>52</v>
      </c>
      <c r="F2368">
        <v>2015</v>
      </c>
      <c r="G2368" t="str">
        <f>"             F058867"</f>
        <v xml:space="preserve">             F058867</v>
      </c>
      <c r="H2368" s="3">
        <v>42142</v>
      </c>
      <c r="I2368" s="3">
        <v>42158</v>
      </c>
      <c r="J2368" s="3">
        <v>42143</v>
      </c>
      <c r="K2368" s="3">
        <v>42203</v>
      </c>
      <c r="L2368"/>
      <c r="N2368"/>
      <c r="O2368">
        <v>255</v>
      </c>
      <c r="P2368">
        <v>199</v>
      </c>
      <c r="Q2368" s="4">
        <v>50745</v>
      </c>
      <c r="R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 s="3">
        <v>42562</v>
      </c>
      <c r="AC2368" t="s">
        <v>53</v>
      </c>
      <c r="AD2368" t="s">
        <v>53</v>
      </c>
      <c r="AK2368">
        <v>0</v>
      </c>
      <c r="AU2368" s="3">
        <v>42402</v>
      </c>
      <c r="AV2368" s="3">
        <v>42402</v>
      </c>
      <c r="AW2368" t="s">
        <v>54</v>
      </c>
      <c r="AX2368" t="str">
        <f t="shared" si="298"/>
        <v>FOR</v>
      </c>
      <c r="AY2368" t="s">
        <v>55</v>
      </c>
    </row>
    <row r="2369" spans="1:51" hidden="1">
      <c r="A2369">
        <v>104009</v>
      </c>
      <c r="B2369" t="s">
        <v>346</v>
      </c>
      <c r="C2369" t="str">
        <f t="shared" si="302"/>
        <v>08641790152</v>
      </c>
      <c r="D2369" t="str">
        <f t="shared" si="302"/>
        <v>08641790152</v>
      </c>
      <c r="E2369" t="s">
        <v>52</v>
      </c>
      <c r="F2369">
        <v>2015</v>
      </c>
      <c r="G2369" t="str">
        <f>"             F059213"</f>
        <v xml:space="preserve">             F059213</v>
      </c>
      <c r="H2369" s="3">
        <v>42143</v>
      </c>
      <c r="I2369" s="3">
        <v>42158</v>
      </c>
      <c r="J2369" s="3">
        <v>42144</v>
      </c>
      <c r="K2369" s="3">
        <v>42204</v>
      </c>
      <c r="L2369"/>
      <c r="N2369"/>
      <c r="O2369">
        <v>552.5</v>
      </c>
      <c r="P2369">
        <v>198</v>
      </c>
      <c r="Q2369" s="4">
        <v>109395</v>
      </c>
      <c r="R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 s="3">
        <v>42562</v>
      </c>
      <c r="AC2369" t="s">
        <v>53</v>
      </c>
      <c r="AD2369" t="s">
        <v>53</v>
      </c>
      <c r="AK2369">
        <v>0</v>
      </c>
      <c r="AU2369" s="3">
        <v>42402</v>
      </c>
      <c r="AV2369" s="3">
        <v>42402</v>
      </c>
      <c r="AW2369" t="s">
        <v>54</v>
      </c>
      <c r="AX2369" t="str">
        <f t="shared" si="298"/>
        <v>FOR</v>
      </c>
      <c r="AY2369" t="s">
        <v>55</v>
      </c>
    </row>
    <row r="2370" spans="1:51" hidden="1">
      <c r="A2370">
        <v>104009</v>
      </c>
      <c r="B2370" t="s">
        <v>346</v>
      </c>
      <c r="C2370" t="str">
        <f t="shared" si="302"/>
        <v>08641790152</v>
      </c>
      <c r="D2370" t="str">
        <f t="shared" si="302"/>
        <v>08641790152</v>
      </c>
      <c r="E2370" t="s">
        <v>52</v>
      </c>
      <c r="F2370">
        <v>2015</v>
      </c>
      <c r="G2370" t="str">
        <f>"             F059538"</f>
        <v xml:space="preserve">             F059538</v>
      </c>
      <c r="H2370" s="3">
        <v>42143</v>
      </c>
      <c r="I2370" s="3">
        <v>42158</v>
      </c>
      <c r="J2370" s="3">
        <v>42144</v>
      </c>
      <c r="K2370" s="3">
        <v>42204</v>
      </c>
      <c r="L2370"/>
      <c r="N2370"/>
      <c r="O2370">
        <v>40</v>
      </c>
      <c r="P2370">
        <v>198</v>
      </c>
      <c r="Q2370" s="4">
        <v>7920</v>
      </c>
      <c r="R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 s="3">
        <v>42562</v>
      </c>
      <c r="AC2370" t="s">
        <v>53</v>
      </c>
      <c r="AD2370" t="s">
        <v>53</v>
      </c>
      <c r="AK2370">
        <v>0</v>
      </c>
      <c r="AU2370" s="3">
        <v>42402</v>
      </c>
      <c r="AV2370" s="3">
        <v>42402</v>
      </c>
      <c r="AW2370" t="s">
        <v>54</v>
      </c>
      <c r="AX2370" t="str">
        <f t="shared" si="298"/>
        <v>FOR</v>
      </c>
      <c r="AY2370" t="s">
        <v>55</v>
      </c>
    </row>
    <row r="2371" spans="1:51" hidden="1">
      <c r="A2371">
        <v>104009</v>
      </c>
      <c r="B2371" t="s">
        <v>346</v>
      </c>
      <c r="C2371" t="str">
        <f t="shared" ref="C2371:D2390" si="303">"08641790152"</f>
        <v>08641790152</v>
      </c>
      <c r="D2371" t="str">
        <f t="shared" si="303"/>
        <v>08641790152</v>
      </c>
      <c r="E2371" t="s">
        <v>52</v>
      </c>
      <c r="F2371">
        <v>2015</v>
      </c>
      <c r="G2371" t="str">
        <f>"             F060493"</f>
        <v xml:space="preserve">             F060493</v>
      </c>
      <c r="H2371" s="3">
        <v>42145</v>
      </c>
      <c r="I2371" s="3">
        <v>42160</v>
      </c>
      <c r="J2371" s="3">
        <v>42146</v>
      </c>
      <c r="K2371" s="3">
        <v>42206</v>
      </c>
      <c r="L2371"/>
      <c r="N2371"/>
      <c r="O2371">
        <v>120</v>
      </c>
      <c r="P2371">
        <v>196</v>
      </c>
      <c r="Q2371" s="4">
        <v>23520</v>
      </c>
      <c r="R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 s="3">
        <v>42562</v>
      </c>
      <c r="AC2371" t="s">
        <v>53</v>
      </c>
      <c r="AD2371" t="s">
        <v>53</v>
      </c>
      <c r="AK2371">
        <v>0</v>
      </c>
      <c r="AU2371" s="3">
        <v>42402</v>
      </c>
      <c r="AV2371" s="3">
        <v>42402</v>
      </c>
      <c r="AW2371" t="s">
        <v>54</v>
      </c>
      <c r="AX2371" t="str">
        <f t="shared" si="298"/>
        <v>FOR</v>
      </c>
      <c r="AY2371" t="s">
        <v>55</v>
      </c>
    </row>
    <row r="2372" spans="1:51" hidden="1">
      <c r="A2372">
        <v>104009</v>
      </c>
      <c r="B2372" t="s">
        <v>346</v>
      </c>
      <c r="C2372" t="str">
        <f t="shared" si="303"/>
        <v>08641790152</v>
      </c>
      <c r="D2372" t="str">
        <f t="shared" si="303"/>
        <v>08641790152</v>
      </c>
      <c r="E2372" t="s">
        <v>52</v>
      </c>
      <c r="F2372">
        <v>2015</v>
      </c>
      <c r="G2372" t="str">
        <f>"             F060634"</f>
        <v xml:space="preserve">             F060634</v>
      </c>
      <c r="H2372" s="3">
        <v>42145</v>
      </c>
      <c r="I2372" s="3">
        <v>42160</v>
      </c>
      <c r="J2372" s="3">
        <v>42146</v>
      </c>
      <c r="K2372" s="3">
        <v>42206</v>
      </c>
      <c r="L2372"/>
      <c r="N2372"/>
      <c r="O2372" s="4">
        <v>2040</v>
      </c>
      <c r="P2372">
        <v>196</v>
      </c>
      <c r="Q2372" s="4">
        <v>399840</v>
      </c>
      <c r="R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 s="3">
        <v>42562</v>
      </c>
      <c r="AC2372" t="s">
        <v>53</v>
      </c>
      <c r="AD2372" t="s">
        <v>53</v>
      </c>
      <c r="AK2372">
        <v>0</v>
      </c>
      <c r="AU2372" s="3">
        <v>42402</v>
      </c>
      <c r="AV2372" s="3">
        <v>42402</v>
      </c>
      <c r="AW2372" t="s">
        <v>54</v>
      </c>
      <c r="AX2372" t="str">
        <f t="shared" si="298"/>
        <v>FOR</v>
      </c>
      <c r="AY2372" t="s">
        <v>55</v>
      </c>
    </row>
    <row r="2373" spans="1:51" hidden="1">
      <c r="A2373">
        <v>104009</v>
      </c>
      <c r="B2373" t="s">
        <v>346</v>
      </c>
      <c r="C2373" t="str">
        <f t="shared" si="303"/>
        <v>08641790152</v>
      </c>
      <c r="D2373" t="str">
        <f t="shared" si="303"/>
        <v>08641790152</v>
      </c>
      <c r="E2373" t="s">
        <v>52</v>
      </c>
      <c r="F2373">
        <v>2015</v>
      </c>
      <c r="G2373" t="str">
        <f>"             F062935"</f>
        <v xml:space="preserve">             F062935</v>
      </c>
      <c r="H2373" s="3">
        <v>42151</v>
      </c>
      <c r="I2373" s="3">
        <v>42160</v>
      </c>
      <c r="J2373" s="3">
        <v>42152</v>
      </c>
      <c r="K2373" s="3">
        <v>42212</v>
      </c>
      <c r="L2373"/>
      <c r="N2373"/>
      <c r="O2373" s="4">
        <v>1423.8</v>
      </c>
      <c r="P2373">
        <v>190</v>
      </c>
      <c r="Q2373" s="4">
        <v>270522</v>
      </c>
      <c r="R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 s="3">
        <v>42562</v>
      </c>
      <c r="AC2373" t="s">
        <v>53</v>
      </c>
      <c r="AD2373" t="s">
        <v>53</v>
      </c>
      <c r="AK2373">
        <v>0</v>
      </c>
      <c r="AU2373" s="3">
        <v>42402</v>
      </c>
      <c r="AV2373" s="3">
        <v>42402</v>
      </c>
      <c r="AW2373" t="s">
        <v>54</v>
      </c>
      <c r="AX2373" t="str">
        <f t="shared" si="298"/>
        <v>FOR</v>
      </c>
      <c r="AY2373" t="s">
        <v>55</v>
      </c>
    </row>
    <row r="2374" spans="1:51" hidden="1">
      <c r="A2374">
        <v>104009</v>
      </c>
      <c r="B2374" t="s">
        <v>346</v>
      </c>
      <c r="C2374" t="str">
        <f t="shared" si="303"/>
        <v>08641790152</v>
      </c>
      <c r="D2374" t="str">
        <f t="shared" si="303"/>
        <v>08641790152</v>
      </c>
      <c r="E2374" t="s">
        <v>52</v>
      </c>
      <c r="F2374">
        <v>2015</v>
      </c>
      <c r="G2374" t="str">
        <f>"             F063656"</f>
        <v xml:space="preserve">             F063656</v>
      </c>
      <c r="H2374" s="3">
        <v>42152</v>
      </c>
      <c r="I2374" s="3">
        <v>42160</v>
      </c>
      <c r="J2374" s="3">
        <v>42153</v>
      </c>
      <c r="K2374" s="3">
        <v>42213</v>
      </c>
      <c r="L2374"/>
      <c r="N2374"/>
      <c r="O2374">
        <v>152</v>
      </c>
      <c r="P2374">
        <v>189</v>
      </c>
      <c r="Q2374" s="4">
        <v>28728</v>
      </c>
      <c r="R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 s="3">
        <v>42562</v>
      </c>
      <c r="AC2374" t="s">
        <v>53</v>
      </c>
      <c r="AD2374" t="s">
        <v>53</v>
      </c>
      <c r="AK2374">
        <v>0</v>
      </c>
      <c r="AU2374" s="3">
        <v>42402</v>
      </c>
      <c r="AV2374" s="3">
        <v>42402</v>
      </c>
      <c r="AW2374" t="s">
        <v>54</v>
      </c>
      <c r="AX2374" t="str">
        <f t="shared" si="298"/>
        <v>FOR</v>
      </c>
      <c r="AY2374" t="s">
        <v>55</v>
      </c>
    </row>
    <row r="2375" spans="1:51" hidden="1">
      <c r="A2375">
        <v>104009</v>
      </c>
      <c r="B2375" t="s">
        <v>346</v>
      </c>
      <c r="C2375" t="str">
        <f t="shared" si="303"/>
        <v>08641790152</v>
      </c>
      <c r="D2375" t="str">
        <f t="shared" si="303"/>
        <v>08641790152</v>
      </c>
      <c r="E2375" t="s">
        <v>52</v>
      </c>
      <c r="F2375">
        <v>2015</v>
      </c>
      <c r="G2375" t="str">
        <f>"             F063696"</f>
        <v xml:space="preserve">             F063696</v>
      </c>
      <c r="H2375" s="3">
        <v>42152</v>
      </c>
      <c r="I2375" s="3">
        <v>42160</v>
      </c>
      <c r="J2375" s="3">
        <v>42153</v>
      </c>
      <c r="K2375" s="3">
        <v>42213</v>
      </c>
      <c r="L2375"/>
      <c r="N2375"/>
      <c r="O2375" s="4">
        <v>1152</v>
      </c>
      <c r="P2375">
        <v>189</v>
      </c>
      <c r="Q2375" s="4">
        <v>217728</v>
      </c>
      <c r="R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 s="3">
        <v>42562</v>
      </c>
      <c r="AC2375" t="s">
        <v>53</v>
      </c>
      <c r="AD2375" t="s">
        <v>53</v>
      </c>
      <c r="AK2375">
        <v>0</v>
      </c>
      <c r="AU2375" s="3">
        <v>42402</v>
      </c>
      <c r="AV2375" s="3">
        <v>42402</v>
      </c>
      <c r="AW2375" t="s">
        <v>54</v>
      </c>
      <c r="AX2375" t="str">
        <f t="shared" si="298"/>
        <v>FOR</v>
      </c>
      <c r="AY2375" t="s">
        <v>55</v>
      </c>
    </row>
    <row r="2376" spans="1:51" hidden="1">
      <c r="A2376">
        <v>104009</v>
      </c>
      <c r="B2376" t="s">
        <v>346</v>
      </c>
      <c r="C2376" t="str">
        <f t="shared" si="303"/>
        <v>08641790152</v>
      </c>
      <c r="D2376" t="str">
        <f t="shared" si="303"/>
        <v>08641790152</v>
      </c>
      <c r="E2376" t="s">
        <v>52</v>
      </c>
      <c r="F2376">
        <v>2015</v>
      </c>
      <c r="G2376" t="str">
        <f>"             F064747"</f>
        <v xml:space="preserve">             F064747</v>
      </c>
      <c r="H2376" s="3">
        <v>42156</v>
      </c>
      <c r="I2376" s="3">
        <v>42158</v>
      </c>
      <c r="J2376" s="3">
        <v>42157</v>
      </c>
      <c r="K2376" s="3">
        <v>42217</v>
      </c>
      <c r="L2376"/>
      <c r="N2376"/>
      <c r="O2376">
        <v>710</v>
      </c>
      <c r="P2376">
        <v>199</v>
      </c>
      <c r="Q2376" s="4">
        <v>141290</v>
      </c>
      <c r="R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 s="3">
        <v>42562</v>
      </c>
      <c r="AC2376" t="s">
        <v>53</v>
      </c>
      <c r="AD2376" t="s">
        <v>53</v>
      </c>
      <c r="AK2376">
        <v>0</v>
      </c>
      <c r="AU2376" s="3">
        <v>42416</v>
      </c>
      <c r="AV2376" s="3">
        <v>42416</v>
      </c>
      <c r="AW2376" t="s">
        <v>54</v>
      </c>
      <c r="AX2376" t="str">
        <f t="shared" si="298"/>
        <v>FOR</v>
      </c>
      <c r="AY2376" t="s">
        <v>55</v>
      </c>
    </row>
    <row r="2377" spans="1:51" hidden="1">
      <c r="A2377">
        <v>104009</v>
      </c>
      <c r="B2377" t="s">
        <v>346</v>
      </c>
      <c r="C2377" t="str">
        <f t="shared" si="303"/>
        <v>08641790152</v>
      </c>
      <c r="D2377" t="str">
        <f t="shared" si="303"/>
        <v>08641790152</v>
      </c>
      <c r="E2377" t="s">
        <v>52</v>
      </c>
      <c r="F2377">
        <v>2015</v>
      </c>
      <c r="G2377" t="str">
        <f>"             F064773"</f>
        <v xml:space="preserve">             F064773</v>
      </c>
      <c r="H2377" s="3">
        <v>42156</v>
      </c>
      <c r="I2377" s="3">
        <v>42158</v>
      </c>
      <c r="J2377" s="3">
        <v>42157</v>
      </c>
      <c r="K2377" s="3">
        <v>42217</v>
      </c>
      <c r="L2377"/>
      <c r="N2377"/>
      <c r="O2377" s="4">
        <v>1443</v>
      </c>
      <c r="P2377">
        <v>199</v>
      </c>
      <c r="Q2377" s="4">
        <v>287157</v>
      </c>
      <c r="R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 s="3">
        <v>42562</v>
      </c>
      <c r="AC2377" t="s">
        <v>53</v>
      </c>
      <c r="AD2377" t="s">
        <v>53</v>
      </c>
      <c r="AK2377">
        <v>0</v>
      </c>
      <c r="AU2377" s="3">
        <v>42416</v>
      </c>
      <c r="AV2377" s="3">
        <v>42416</v>
      </c>
      <c r="AW2377" t="s">
        <v>54</v>
      </c>
      <c r="AX2377" t="str">
        <f t="shared" si="298"/>
        <v>FOR</v>
      </c>
      <c r="AY2377" t="s">
        <v>55</v>
      </c>
    </row>
    <row r="2378" spans="1:51" hidden="1">
      <c r="A2378">
        <v>104009</v>
      </c>
      <c r="B2378" t="s">
        <v>346</v>
      </c>
      <c r="C2378" t="str">
        <f t="shared" si="303"/>
        <v>08641790152</v>
      </c>
      <c r="D2378" t="str">
        <f t="shared" si="303"/>
        <v>08641790152</v>
      </c>
      <c r="E2378" t="s">
        <v>52</v>
      </c>
      <c r="F2378">
        <v>2015</v>
      </c>
      <c r="G2378" t="str">
        <f>"             F064804"</f>
        <v xml:space="preserve">             F064804</v>
      </c>
      <c r="H2378" s="3">
        <v>42156</v>
      </c>
      <c r="I2378" s="3">
        <v>42158</v>
      </c>
      <c r="J2378" s="3">
        <v>42157</v>
      </c>
      <c r="K2378" s="3">
        <v>42217</v>
      </c>
      <c r="L2378"/>
      <c r="N2378"/>
      <c r="O2378" s="4">
        <v>2540</v>
      </c>
      <c r="P2378">
        <v>199</v>
      </c>
      <c r="Q2378" s="4">
        <v>505460</v>
      </c>
      <c r="R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 s="3">
        <v>42562</v>
      </c>
      <c r="AC2378" t="s">
        <v>53</v>
      </c>
      <c r="AD2378" t="s">
        <v>53</v>
      </c>
      <c r="AK2378">
        <v>0</v>
      </c>
      <c r="AU2378" s="3">
        <v>42416</v>
      </c>
      <c r="AV2378" s="3">
        <v>42416</v>
      </c>
      <c r="AW2378" t="s">
        <v>54</v>
      </c>
      <c r="AX2378" t="str">
        <f t="shared" si="298"/>
        <v>FOR</v>
      </c>
      <c r="AY2378" t="s">
        <v>55</v>
      </c>
    </row>
    <row r="2379" spans="1:51" hidden="1">
      <c r="A2379">
        <v>104009</v>
      </c>
      <c r="B2379" t="s">
        <v>346</v>
      </c>
      <c r="C2379" t="str">
        <f t="shared" si="303"/>
        <v>08641790152</v>
      </c>
      <c r="D2379" t="str">
        <f t="shared" si="303"/>
        <v>08641790152</v>
      </c>
      <c r="E2379" t="s">
        <v>52</v>
      </c>
      <c r="F2379">
        <v>2015</v>
      </c>
      <c r="G2379" t="str">
        <f>"             F067338"</f>
        <v xml:space="preserve">             F067338</v>
      </c>
      <c r="H2379" s="3">
        <v>42163</v>
      </c>
      <c r="I2379" s="3">
        <v>42165</v>
      </c>
      <c r="J2379" s="3">
        <v>42164</v>
      </c>
      <c r="K2379" s="3">
        <v>42224</v>
      </c>
      <c r="L2379"/>
      <c r="N2379"/>
      <c r="O2379">
        <v>950</v>
      </c>
      <c r="P2379">
        <v>192</v>
      </c>
      <c r="Q2379" s="4">
        <v>182400</v>
      </c>
      <c r="R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 s="3">
        <v>42562</v>
      </c>
      <c r="AC2379" t="s">
        <v>53</v>
      </c>
      <c r="AD2379" t="s">
        <v>53</v>
      </c>
      <c r="AK2379">
        <v>0</v>
      </c>
      <c r="AU2379" s="3">
        <v>42416</v>
      </c>
      <c r="AV2379" s="3">
        <v>42416</v>
      </c>
      <c r="AW2379" t="s">
        <v>54</v>
      </c>
      <c r="AX2379" t="str">
        <f t="shared" ref="AX2379:AX2442" si="304">"FOR"</f>
        <v>FOR</v>
      </c>
      <c r="AY2379" t="s">
        <v>55</v>
      </c>
    </row>
    <row r="2380" spans="1:51" hidden="1">
      <c r="A2380">
        <v>104009</v>
      </c>
      <c r="B2380" t="s">
        <v>346</v>
      </c>
      <c r="C2380" t="str">
        <f t="shared" si="303"/>
        <v>08641790152</v>
      </c>
      <c r="D2380" t="str">
        <f t="shared" si="303"/>
        <v>08641790152</v>
      </c>
      <c r="E2380" t="s">
        <v>52</v>
      </c>
      <c r="F2380">
        <v>2015</v>
      </c>
      <c r="G2380" t="str">
        <f>"             F067343"</f>
        <v xml:space="preserve">             F067343</v>
      </c>
      <c r="H2380" s="3">
        <v>42163</v>
      </c>
      <c r="I2380" s="3">
        <v>42165</v>
      </c>
      <c r="J2380" s="3">
        <v>42164</v>
      </c>
      <c r="K2380" s="3">
        <v>42224</v>
      </c>
      <c r="L2380"/>
      <c r="N2380"/>
      <c r="O2380">
        <v>950</v>
      </c>
      <c r="P2380">
        <v>192</v>
      </c>
      <c r="Q2380" s="4">
        <v>182400</v>
      </c>
      <c r="R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 s="3">
        <v>42562</v>
      </c>
      <c r="AC2380" t="s">
        <v>53</v>
      </c>
      <c r="AD2380" t="s">
        <v>53</v>
      </c>
      <c r="AK2380">
        <v>0</v>
      </c>
      <c r="AU2380" s="3">
        <v>42416</v>
      </c>
      <c r="AV2380" s="3">
        <v>42416</v>
      </c>
      <c r="AW2380" t="s">
        <v>54</v>
      </c>
      <c r="AX2380" t="str">
        <f t="shared" si="304"/>
        <v>FOR</v>
      </c>
      <c r="AY2380" t="s">
        <v>55</v>
      </c>
    </row>
    <row r="2381" spans="1:51" hidden="1">
      <c r="A2381">
        <v>104009</v>
      </c>
      <c r="B2381" t="s">
        <v>346</v>
      </c>
      <c r="C2381" t="str">
        <f t="shared" si="303"/>
        <v>08641790152</v>
      </c>
      <c r="D2381" t="str">
        <f t="shared" si="303"/>
        <v>08641790152</v>
      </c>
      <c r="E2381" t="s">
        <v>52</v>
      </c>
      <c r="F2381">
        <v>2015</v>
      </c>
      <c r="G2381" t="str">
        <f>"             F067355"</f>
        <v xml:space="preserve">             F067355</v>
      </c>
      <c r="H2381" s="3">
        <v>42163</v>
      </c>
      <c r="I2381" s="3">
        <v>42165</v>
      </c>
      <c r="J2381" s="3">
        <v>42164</v>
      </c>
      <c r="K2381" s="3">
        <v>42224</v>
      </c>
      <c r="L2381"/>
      <c r="N2381"/>
      <c r="O2381">
        <v>950</v>
      </c>
      <c r="P2381">
        <v>192</v>
      </c>
      <c r="Q2381" s="4">
        <v>182400</v>
      </c>
      <c r="R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 s="3">
        <v>42562</v>
      </c>
      <c r="AC2381" t="s">
        <v>53</v>
      </c>
      <c r="AD2381" t="s">
        <v>53</v>
      </c>
      <c r="AK2381">
        <v>0</v>
      </c>
      <c r="AU2381" s="3">
        <v>42416</v>
      </c>
      <c r="AV2381" s="3">
        <v>42416</v>
      </c>
      <c r="AW2381" t="s">
        <v>54</v>
      </c>
      <c r="AX2381" t="str">
        <f t="shared" si="304"/>
        <v>FOR</v>
      </c>
      <c r="AY2381" t="s">
        <v>55</v>
      </c>
    </row>
    <row r="2382" spans="1:51" hidden="1">
      <c r="A2382">
        <v>104009</v>
      </c>
      <c r="B2382" t="s">
        <v>346</v>
      </c>
      <c r="C2382" t="str">
        <f t="shared" si="303"/>
        <v>08641790152</v>
      </c>
      <c r="D2382" t="str">
        <f t="shared" si="303"/>
        <v>08641790152</v>
      </c>
      <c r="E2382" t="s">
        <v>52</v>
      </c>
      <c r="F2382">
        <v>2015</v>
      </c>
      <c r="G2382" t="str">
        <f>"             F067358"</f>
        <v xml:space="preserve">             F067358</v>
      </c>
      <c r="H2382" s="3">
        <v>42163</v>
      </c>
      <c r="I2382" s="3">
        <v>42165</v>
      </c>
      <c r="J2382" s="3">
        <v>42164</v>
      </c>
      <c r="K2382" s="3">
        <v>42224</v>
      </c>
      <c r="L2382"/>
      <c r="N2382"/>
      <c r="O2382">
        <v>950</v>
      </c>
      <c r="P2382">
        <v>192</v>
      </c>
      <c r="Q2382" s="4">
        <v>182400</v>
      </c>
      <c r="R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 s="3">
        <v>42562</v>
      </c>
      <c r="AC2382" t="s">
        <v>53</v>
      </c>
      <c r="AD2382" t="s">
        <v>53</v>
      </c>
      <c r="AK2382">
        <v>0</v>
      </c>
      <c r="AU2382" s="3">
        <v>42416</v>
      </c>
      <c r="AV2382" s="3">
        <v>42416</v>
      </c>
      <c r="AW2382" t="s">
        <v>54</v>
      </c>
      <c r="AX2382" t="str">
        <f t="shared" si="304"/>
        <v>FOR</v>
      </c>
      <c r="AY2382" t="s">
        <v>55</v>
      </c>
    </row>
    <row r="2383" spans="1:51" hidden="1">
      <c r="A2383">
        <v>104009</v>
      </c>
      <c r="B2383" t="s">
        <v>346</v>
      </c>
      <c r="C2383" t="str">
        <f t="shared" si="303"/>
        <v>08641790152</v>
      </c>
      <c r="D2383" t="str">
        <f t="shared" si="303"/>
        <v>08641790152</v>
      </c>
      <c r="E2383" t="s">
        <v>52</v>
      </c>
      <c r="F2383">
        <v>2015</v>
      </c>
      <c r="G2383" t="str">
        <f>"             F067360"</f>
        <v xml:space="preserve">             F067360</v>
      </c>
      <c r="H2383" s="3">
        <v>42163</v>
      </c>
      <c r="I2383" s="3">
        <v>42165</v>
      </c>
      <c r="J2383" s="3">
        <v>42164</v>
      </c>
      <c r="K2383" s="3">
        <v>42224</v>
      </c>
      <c r="L2383"/>
      <c r="N2383"/>
      <c r="O2383">
        <v>950</v>
      </c>
      <c r="P2383">
        <v>192</v>
      </c>
      <c r="Q2383" s="4">
        <v>182400</v>
      </c>
      <c r="R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 s="3">
        <v>42562</v>
      </c>
      <c r="AC2383" t="s">
        <v>53</v>
      </c>
      <c r="AD2383" t="s">
        <v>53</v>
      </c>
      <c r="AK2383">
        <v>0</v>
      </c>
      <c r="AU2383" s="3">
        <v>42416</v>
      </c>
      <c r="AV2383" s="3">
        <v>42416</v>
      </c>
      <c r="AW2383" t="s">
        <v>54</v>
      </c>
      <c r="AX2383" t="str">
        <f t="shared" si="304"/>
        <v>FOR</v>
      </c>
      <c r="AY2383" t="s">
        <v>55</v>
      </c>
    </row>
    <row r="2384" spans="1:51" hidden="1">
      <c r="A2384">
        <v>104009</v>
      </c>
      <c r="B2384" t="s">
        <v>346</v>
      </c>
      <c r="C2384" t="str">
        <f t="shared" si="303"/>
        <v>08641790152</v>
      </c>
      <c r="D2384" t="str">
        <f t="shared" si="303"/>
        <v>08641790152</v>
      </c>
      <c r="E2384" t="s">
        <v>52</v>
      </c>
      <c r="F2384">
        <v>2015</v>
      </c>
      <c r="G2384" t="str">
        <f>"             F067370"</f>
        <v xml:space="preserve">             F067370</v>
      </c>
      <c r="H2384" s="3">
        <v>42163</v>
      </c>
      <c r="I2384" s="3">
        <v>42165</v>
      </c>
      <c r="J2384" s="3">
        <v>42164</v>
      </c>
      <c r="K2384" s="3">
        <v>42224</v>
      </c>
      <c r="L2384"/>
      <c r="N2384"/>
      <c r="O2384" s="4">
        <v>1800</v>
      </c>
      <c r="P2384">
        <v>192</v>
      </c>
      <c r="Q2384" s="4">
        <v>345600</v>
      </c>
      <c r="R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 s="3">
        <v>42562</v>
      </c>
      <c r="AC2384" t="s">
        <v>53</v>
      </c>
      <c r="AD2384" t="s">
        <v>53</v>
      </c>
      <c r="AK2384">
        <v>0</v>
      </c>
      <c r="AU2384" s="3">
        <v>42416</v>
      </c>
      <c r="AV2384" s="3">
        <v>42416</v>
      </c>
      <c r="AW2384" t="s">
        <v>54</v>
      </c>
      <c r="AX2384" t="str">
        <f t="shared" si="304"/>
        <v>FOR</v>
      </c>
      <c r="AY2384" t="s">
        <v>55</v>
      </c>
    </row>
    <row r="2385" spans="1:51" hidden="1">
      <c r="A2385">
        <v>104009</v>
      </c>
      <c r="B2385" t="s">
        <v>346</v>
      </c>
      <c r="C2385" t="str">
        <f t="shared" si="303"/>
        <v>08641790152</v>
      </c>
      <c r="D2385" t="str">
        <f t="shared" si="303"/>
        <v>08641790152</v>
      </c>
      <c r="E2385" t="s">
        <v>52</v>
      </c>
      <c r="F2385">
        <v>2015</v>
      </c>
      <c r="G2385" t="str">
        <f>"             F067384"</f>
        <v xml:space="preserve">             F067384</v>
      </c>
      <c r="H2385" s="3">
        <v>42163</v>
      </c>
      <c r="I2385" s="3">
        <v>42165</v>
      </c>
      <c r="J2385" s="3">
        <v>42164</v>
      </c>
      <c r="K2385" s="3">
        <v>42224</v>
      </c>
      <c r="L2385"/>
      <c r="N2385"/>
      <c r="O2385">
        <v>950</v>
      </c>
      <c r="P2385">
        <v>192</v>
      </c>
      <c r="Q2385" s="4">
        <v>182400</v>
      </c>
      <c r="R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 s="3">
        <v>42562</v>
      </c>
      <c r="AC2385" t="s">
        <v>53</v>
      </c>
      <c r="AD2385" t="s">
        <v>53</v>
      </c>
      <c r="AK2385">
        <v>0</v>
      </c>
      <c r="AU2385" s="3">
        <v>42416</v>
      </c>
      <c r="AV2385" s="3">
        <v>42416</v>
      </c>
      <c r="AW2385" t="s">
        <v>54</v>
      </c>
      <c r="AX2385" t="str">
        <f t="shared" si="304"/>
        <v>FOR</v>
      </c>
      <c r="AY2385" t="s">
        <v>55</v>
      </c>
    </row>
    <row r="2386" spans="1:51" hidden="1">
      <c r="A2386">
        <v>104009</v>
      </c>
      <c r="B2386" t="s">
        <v>346</v>
      </c>
      <c r="C2386" t="str">
        <f t="shared" si="303"/>
        <v>08641790152</v>
      </c>
      <c r="D2386" t="str">
        <f t="shared" si="303"/>
        <v>08641790152</v>
      </c>
      <c r="E2386" t="s">
        <v>52</v>
      </c>
      <c r="F2386">
        <v>2015</v>
      </c>
      <c r="G2386" t="str">
        <f>"             F067558"</f>
        <v xml:space="preserve">             F067558</v>
      </c>
      <c r="H2386" s="3">
        <v>42163</v>
      </c>
      <c r="I2386" s="3">
        <v>42165</v>
      </c>
      <c r="J2386" s="3">
        <v>42164</v>
      </c>
      <c r="K2386" s="3">
        <v>42224</v>
      </c>
      <c r="L2386"/>
      <c r="N2386"/>
      <c r="O2386" s="4">
        <v>4500</v>
      </c>
      <c r="P2386">
        <v>192</v>
      </c>
      <c r="Q2386" s="4">
        <v>864000</v>
      </c>
      <c r="R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 s="3">
        <v>42562</v>
      </c>
      <c r="AC2386" t="s">
        <v>53</v>
      </c>
      <c r="AD2386" t="s">
        <v>53</v>
      </c>
      <c r="AK2386">
        <v>0</v>
      </c>
      <c r="AU2386" s="3">
        <v>42416</v>
      </c>
      <c r="AV2386" s="3">
        <v>42416</v>
      </c>
      <c r="AW2386" t="s">
        <v>54</v>
      </c>
      <c r="AX2386" t="str">
        <f t="shared" si="304"/>
        <v>FOR</v>
      </c>
      <c r="AY2386" t="s">
        <v>55</v>
      </c>
    </row>
    <row r="2387" spans="1:51" hidden="1">
      <c r="A2387">
        <v>104009</v>
      </c>
      <c r="B2387" t="s">
        <v>346</v>
      </c>
      <c r="C2387" t="str">
        <f t="shared" si="303"/>
        <v>08641790152</v>
      </c>
      <c r="D2387" t="str">
        <f t="shared" si="303"/>
        <v>08641790152</v>
      </c>
      <c r="E2387" t="s">
        <v>52</v>
      </c>
      <c r="F2387">
        <v>2015</v>
      </c>
      <c r="G2387" t="str">
        <f>"             F067654"</f>
        <v xml:space="preserve">             F067654</v>
      </c>
      <c r="H2387" s="3">
        <v>42164</v>
      </c>
      <c r="I2387" s="3">
        <v>42167</v>
      </c>
      <c r="J2387" s="3">
        <v>42165</v>
      </c>
      <c r="K2387" s="3">
        <v>42225</v>
      </c>
      <c r="L2387"/>
      <c r="N2387"/>
      <c r="O2387">
        <v>800</v>
      </c>
      <c r="P2387">
        <v>191</v>
      </c>
      <c r="Q2387" s="4">
        <v>152800</v>
      </c>
      <c r="R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 s="3">
        <v>42562</v>
      </c>
      <c r="AC2387" t="s">
        <v>53</v>
      </c>
      <c r="AD2387" t="s">
        <v>53</v>
      </c>
      <c r="AK2387">
        <v>0</v>
      </c>
      <c r="AU2387" s="3">
        <v>42416</v>
      </c>
      <c r="AV2387" s="3">
        <v>42416</v>
      </c>
      <c r="AW2387" t="s">
        <v>54</v>
      </c>
      <c r="AX2387" t="str">
        <f t="shared" si="304"/>
        <v>FOR</v>
      </c>
      <c r="AY2387" t="s">
        <v>55</v>
      </c>
    </row>
    <row r="2388" spans="1:51" hidden="1">
      <c r="A2388">
        <v>104009</v>
      </c>
      <c r="B2388" t="s">
        <v>346</v>
      </c>
      <c r="C2388" t="str">
        <f t="shared" si="303"/>
        <v>08641790152</v>
      </c>
      <c r="D2388" t="str">
        <f t="shared" si="303"/>
        <v>08641790152</v>
      </c>
      <c r="E2388" t="s">
        <v>52</v>
      </c>
      <c r="F2388">
        <v>2015</v>
      </c>
      <c r="G2388" t="str">
        <f>"             F068098"</f>
        <v xml:space="preserve">             F068098</v>
      </c>
      <c r="H2388" s="3">
        <v>42164</v>
      </c>
      <c r="I2388" s="3">
        <v>42167</v>
      </c>
      <c r="J2388" s="3">
        <v>42165</v>
      </c>
      <c r="K2388" s="3">
        <v>42225</v>
      </c>
      <c r="L2388"/>
      <c r="N2388"/>
      <c r="O2388">
        <v>780</v>
      </c>
      <c r="P2388">
        <v>191</v>
      </c>
      <c r="Q2388" s="4">
        <v>148980</v>
      </c>
      <c r="R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 s="3">
        <v>42562</v>
      </c>
      <c r="AC2388" t="s">
        <v>53</v>
      </c>
      <c r="AD2388" t="s">
        <v>53</v>
      </c>
      <c r="AK2388">
        <v>0</v>
      </c>
      <c r="AU2388" s="3">
        <v>42416</v>
      </c>
      <c r="AV2388" s="3">
        <v>42416</v>
      </c>
      <c r="AW2388" t="s">
        <v>54</v>
      </c>
      <c r="AX2388" t="str">
        <f t="shared" si="304"/>
        <v>FOR</v>
      </c>
      <c r="AY2388" t="s">
        <v>55</v>
      </c>
    </row>
    <row r="2389" spans="1:51" hidden="1">
      <c r="A2389">
        <v>104009</v>
      </c>
      <c r="B2389" t="s">
        <v>346</v>
      </c>
      <c r="C2389" t="str">
        <f t="shared" si="303"/>
        <v>08641790152</v>
      </c>
      <c r="D2389" t="str">
        <f t="shared" si="303"/>
        <v>08641790152</v>
      </c>
      <c r="E2389" t="s">
        <v>52</v>
      </c>
      <c r="F2389">
        <v>2015</v>
      </c>
      <c r="G2389" t="str">
        <f>"             F068738"</f>
        <v xml:space="preserve">             F068738</v>
      </c>
      <c r="H2389" s="3">
        <v>42165</v>
      </c>
      <c r="I2389" s="3">
        <v>42167</v>
      </c>
      <c r="J2389" s="3">
        <v>42166</v>
      </c>
      <c r="K2389" s="3">
        <v>42226</v>
      </c>
      <c r="L2389"/>
      <c r="N2389"/>
      <c r="O2389" s="4">
        <v>3200</v>
      </c>
      <c r="P2389">
        <v>190</v>
      </c>
      <c r="Q2389" s="4">
        <v>608000</v>
      </c>
      <c r="R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 s="3">
        <v>42562</v>
      </c>
      <c r="AC2389" t="s">
        <v>53</v>
      </c>
      <c r="AD2389" t="s">
        <v>53</v>
      </c>
      <c r="AK2389">
        <v>0</v>
      </c>
      <c r="AU2389" s="3">
        <v>42416</v>
      </c>
      <c r="AV2389" s="3">
        <v>42416</v>
      </c>
      <c r="AW2389" t="s">
        <v>54</v>
      </c>
      <c r="AX2389" t="str">
        <f t="shared" si="304"/>
        <v>FOR</v>
      </c>
      <c r="AY2389" t="s">
        <v>55</v>
      </c>
    </row>
    <row r="2390" spans="1:51" hidden="1">
      <c r="A2390">
        <v>104009</v>
      </c>
      <c r="B2390" t="s">
        <v>346</v>
      </c>
      <c r="C2390" t="str">
        <f t="shared" si="303"/>
        <v>08641790152</v>
      </c>
      <c r="D2390" t="str">
        <f t="shared" si="303"/>
        <v>08641790152</v>
      </c>
      <c r="E2390" t="s">
        <v>52</v>
      </c>
      <c r="F2390">
        <v>2015</v>
      </c>
      <c r="G2390" t="str">
        <f>"             F068902"</f>
        <v xml:space="preserve">             F068902</v>
      </c>
      <c r="H2390" s="3">
        <v>42165</v>
      </c>
      <c r="I2390" s="3">
        <v>42167</v>
      </c>
      <c r="J2390" s="3">
        <v>42166</v>
      </c>
      <c r="K2390" s="3">
        <v>42226</v>
      </c>
      <c r="L2390"/>
      <c r="N2390"/>
      <c r="O2390" s="4">
        <v>2000</v>
      </c>
      <c r="P2390">
        <v>190</v>
      </c>
      <c r="Q2390" s="4">
        <v>380000</v>
      </c>
      <c r="R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 s="3">
        <v>42562</v>
      </c>
      <c r="AC2390" t="s">
        <v>53</v>
      </c>
      <c r="AD2390" t="s">
        <v>53</v>
      </c>
      <c r="AK2390">
        <v>0</v>
      </c>
      <c r="AU2390" s="3">
        <v>42416</v>
      </c>
      <c r="AV2390" s="3">
        <v>42416</v>
      </c>
      <c r="AW2390" t="s">
        <v>54</v>
      </c>
      <c r="AX2390" t="str">
        <f t="shared" si="304"/>
        <v>FOR</v>
      </c>
      <c r="AY2390" t="s">
        <v>55</v>
      </c>
    </row>
    <row r="2391" spans="1:51" hidden="1">
      <c r="A2391">
        <v>104009</v>
      </c>
      <c r="B2391" t="s">
        <v>346</v>
      </c>
      <c r="C2391" t="str">
        <f t="shared" ref="C2391:D2410" si="305">"08641790152"</f>
        <v>08641790152</v>
      </c>
      <c r="D2391" t="str">
        <f t="shared" si="305"/>
        <v>08641790152</v>
      </c>
      <c r="E2391" t="s">
        <v>52</v>
      </c>
      <c r="F2391">
        <v>2015</v>
      </c>
      <c r="G2391" t="str">
        <f>"             F070225"</f>
        <v xml:space="preserve">             F070225</v>
      </c>
      <c r="H2391" s="3">
        <v>42170</v>
      </c>
      <c r="I2391" s="3">
        <v>42172</v>
      </c>
      <c r="J2391" s="3">
        <v>42171</v>
      </c>
      <c r="K2391" s="3">
        <v>42231</v>
      </c>
      <c r="L2391"/>
      <c r="N2391"/>
      <c r="O2391">
        <v>684</v>
      </c>
      <c r="P2391">
        <v>185</v>
      </c>
      <c r="Q2391" s="4">
        <v>126540</v>
      </c>
      <c r="R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 s="3">
        <v>42562</v>
      </c>
      <c r="AC2391" t="s">
        <v>53</v>
      </c>
      <c r="AD2391" t="s">
        <v>53</v>
      </c>
      <c r="AK2391">
        <v>0</v>
      </c>
      <c r="AU2391" s="3">
        <v>42416</v>
      </c>
      <c r="AV2391" s="3">
        <v>42416</v>
      </c>
      <c r="AW2391" t="s">
        <v>54</v>
      </c>
      <c r="AX2391" t="str">
        <f t="shared" si="304"/>
        <v>FOR</v>
      </c>
      <c r="AY2391" t="s">
        <v>55</v>
      </c>
    </row>
    <row r="2392" spans="1:51" hidden="1">
      <c r="A2392">
        <v>104009</v>
      </c>
      <c r="B2392" t="s">
        <v>346</v>
      </c>
      <c r="C2392" t="str">
        <f t="shared" si="305"/>
        <v>08641790152</v>
      </c>
      <c r="D2392" t="str">
        <f t="shared" si="305"/>
        <v>08641790152</v>
      </c>
      <c r="E2392" t="s">
        <v>52</v>
      </c>
      <c r="F2392">
        <v>2015</v>
      </c>
      <c r="G2392" t="str">
        <f>"             F070621"</f>
        <v xml:space="preserve">             F070621</v>
      </c>
      <c r="H2392" s="3">
        <v>42170</v>
      </c>
      <c r="I2392" s="3">
        <v>42172</v>
      </c>
      <c r="J2392" s="3">
        <v>42171</v>
      </c>
      <c r="K2392" s="3">
        <v>42231</v>
      </c>
      <c r="L2392"/>
      <c r="N2392"/>
      <c r="O2392" s="4">
        <v>2287.8000000000002</v>
      </c>
      <c r="P2392">
        <v>185</v>
      </c>
      <c r="Q2392" s="4">
        <v>423243</v>
      </c>
      <c r="R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 s="3">
        <v>42562</v>
      </c>
      <c r="AC2392" t="s">
        <v>53</v>
      </c>
      <c r="AD2392" t="s">
        <v>53</v>
      </c>
      <c r="AK2392">
        <v>0</v>
      </c>
      <c r="AU2392" s="3">
        <v>42416</v>
      </c>
      <c r="AV2392" s="3">
        <v>42416</v>
      </c>
      <c r="AW2392" t="s">
        <v>54</v>
      </c>
      <c r="AX2392" t="str">
        <f t="shared" si="304"/>
        <v>FOR</v>
      </c>
      <c r="AY2392" t="s">
        <v>55</v>
      </c>
    </row>
    <row r="2393" spans="1:51" hidden="1">
      <c r="A2393">
        <v>104009</v>
      </c>
      <c r="B2393" t="s">
        <v>346</v>
      </c>
      <c r="C2393" t="str">
        <f t="shared" si="305"/>
        <v>08641790152</v>
      </c>
      <c r="D2393" t="str">
        <f t="shared" si="305"/>
        <v>08641790152</v>
      </c>
      <c r="E2393" t="s">
        <v>52</v>
      </c>
      <c r="F2393">
        <v>2015</v>
      </c>
      <c r="G2393" t="str">
        <f>"             F070951"</f>
        <v xml:space="preserve">             F070951</v>
      </c>
      <c r="H2393" s="3">
        <v>42171</v>
      </c>
      <c r="I2393" s="3">
        <v>42172</v>
      </c>
      <c r="J2393" s="3">
        <v>42172</v>
      </c>
      <c r="K2393" s="3">
        <v>42232</v>
      </c>
      <c r="L2393"/>
      <c r="N2393"/>
      <c r="O2393" s="4">
        <v>5015</v>
      </c>
      <c r="P2393">
        <v>184</v>
      </c>
      <c r="Q2393" s="4">
        <v>922760</v>
      </c>
      <c r="R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 s="3">
        <v>42562</v>
      </c>
      <c r="AC2393" t="s">
        <v>53</v>
      </c>
      <c r="AD2393" t="s">
        <v>53</v>
      </c>
      <c r="AK2393">
        <v>0</v>
      </c>
      <c r="AU2393" s="3">
        <v>42416</v>
      </c>
      <c r="AV2393" s="3">
        <v>42416</v>
      </c>
      <c r="AW2393" t="s">
        <v>54</v>
      </c>
      <c r="AX2393" t="str">
        <f t="shared" si="304"/>
        <v>FOR</v>
      </c>
      <c r="AY2393" t="s">
        <v>55</v>
      </c>
    </row>
    <row r="2394" spans="1:51" hidden="1">
      <c r="A2394">
        <v>104009</v>
      </c>
      <c r="B2394" t="s">
        <v>346</v>
      </c>
      <c r="C2394" t="str">
        <f t="shared" si="305"/>
        <v>08641790152</v>
      </c>
      <c r="D2394" t="str">
        <f t="shared" si="305"/>
        <v>08641790152</v>
      </c>
      <c r="E2394" t="s">
        <v>52</v>
      </c>
      <c r="F2394">
        <v>2015</v>
      </c>
      <c r="G2394" t="str">
        <f>"             F071236"</f>
        <v xml:space="preserve">             F071236</v>
      </c>
      <c r="H2394" s="3">
        <v>42171</v>
      </c>
      <c r="I2394" s="3">
        <v>42172</v>
      </c>
      <c r="J2394" s="3">
        <v>42172</v>
      </c>
      <c r="K2394" s="3">
        <v>42232</v>
      </c>
      <c r="L2394"/>
      <c r="N2394"/>
      <c r="O2394" s="4">
        <v>3480</v>
      </c>
      <c r="P2394">
        <v>184</v>
      </c>
      <c r="Q2394" s="4">
        <v>640320</v>
      </c>
      <c r="R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 s="3">
        <v>42562</v>
      </c>
      <c r="AC2394" t="s">
        <v>53</v>
      </c>
      <c r="AD2394" t="s">
        <v>53</v>
      </c>
      <c r="AK2394">
        <v>0</v>
      </c>
      <c r="AU2394" s="3">
        <v>42416</v>
      </c>
      <c r="AV2394" s="3">
        <v>42416</v>
      </c>
      <c r="AW2394" t="s">
        <v>54</v>
      </c>
      <c r="AX2394" t="str">
        <f t="shared" si="304"/>
        <v>FOR</v>
      </c>
      <c r="AY2394" t="s">
        <v>55</v>
      </c>
    </row>
    <row r="2395" spans="1:51" hidden="1">
      <c r="A2395">
        <v>104009</v>
      </c>
      <c r="B2395" t="s">
        <v>346</v>
      </c>
      <c r="C2395" t="str">
        <f t="shared" si="305"/>
        <v>08641790152</v>
      </c>
      <c r="D2395" t="str">
        <f t="shared" si="305"/>
        <v>08641790152</v>
      </c>
      <c r="E2395" t="s">
        <v>52</v>
      </c>
      <c r="F2395">
        <v>2015</v>
      </c>
      <c r="G2395" t="str">
        <f>"             F071416"</f>
        <v xml:space="preserve">             F071416</v>
      </c>
      <c r="H2395" s="3">
        <v>42172</v>
      </c>
      <c r="I2395" s="3">
        <v>42174</v>
      </c>
      <c r="J2395" s="3">
        <v>42173</v>
      </c>
      <c r="K2395" s="3">
        <v>42233</v>
      </c>
      <c r="L2395"/>
      <c r="N2395"/>
      <c r="O2395">
        <v>950</v>
      </c>
      <c r="P2395">
        <v>183</v>
      </c>
      <c r="Q2395" s="4">
        <v>173850</v>
      </c>
      <c r="R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 s="3">
        <v>42562</v>
      </c>
      <c r="AC2395" t="s">
        <v>53</v>
      </c>
      <c r="AD2395" t="s">
        <v>53</v>
      </c>
      <c r="AK2395">
        <v>0</v>
      </c>
      <c r="AU2395" s="3">
        <v>42416</v>
      </c>
      <c r="AV2395" s="3">
        <v>42416</v>
      </c>
      <c r="AW2395" t="s">
        <v>54</v>
      </c>
      <c r="AX2395" t="str">
        <f t="shared" si="304"/>
        <v>FOR</v>
      </c>
      <c r="AY2395" t="s">
        <v>55</v>
      </c>
    </row>
    <row r="2396" spans="1:51" hidden="1">
      <c r="A2396">
        <v>104009</v>
      </c>
      <c r="B2396" t="s">
        <v>346</v>
      </c>
      <c r="C2396" t="str">
        <f t="shared" si="305"/>
        <v>08641790152</v>
      </c>
      <c r="D2396" t="str">
        <f t="shared" si="305"/>
        <v>08641790152</v>
      </c>
      <c r="E2396" t="s">
        <v>52</v>
      </c>
      <c r="F2396">
        <v>2015</v>
      </c>
      <c r="G2396" t="str">
        <f>"             F071426"</f>
        <v xml:space="preserve">             F071426</v>
      </c>
      <c r="H2396" s="3">
        <v>42172</v>
      </c>
      <c r="I2396" s="3">
        <v>42174</v>
      </c>
      <c r="J2396" s="3">
        <v>42173</v>
      </c>
      <c r="K2396" s="3">
        <v>42233</v>
      </c>
      <c r="L2396"/>
      <c r="N2396"/>
      <c r="O2396">
        <v>950</v>
      </c>
      <c r="P2396">
        <v>183</v>
      </c>
      <c r="Q2396" s="4">
        <v>173850</v>
      </c>
      <c r="R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 s="3">
        <v>42562</v>
      </c>
      <c r="AC2396" t="s">
        <v>53</v>
      </c>
      <c r="AD2396" t="s">
        <v>53</v>
      </c>
      <c r="AK2396">
        <v>0</v>
      </c>
      <c r="AU2396" s="3">
        <v>42416</v>
      </c>
      <c r="AV2396" s="3">
        <v>42416</v>
      </c>
      <c r="AW2396" t="s">
        <v>54</v>
      </c>
      <c r="AX2396" t="str">
        <f t="shared" si="304"/>
        <v>FOR</v>
      </c>
      <c r="AY2396" t="s">
        <v>55</v>
      </c>
    </row>
    <row r="2397" spans="1:51" hidden="1">
      <c r="A2397">
        <v>104009</v>
      </c>
      <c r="B2397" t="s">
        <v>346</v>
      </c>
      <c r="C2397" t="str">
        <f t="shared" si="305"/>
        <v>08641790152</v>
      </c>
      <c r="D2397" t="str">
        <f t="shared" si="305"/>
        <v>08641790152</v>
      </c>
      <c r="E2397" t="s">
        <v>52</v>
      </c>
      <c r="F2397">
        <v>2015</v>
      </c>
      <c r="G2397" t="str">
        <f>"             F072212"</f>
        <v xml:space="preserve">             F072212</v>
      </c>
      <c r="H2397" s="3">
        <v>42173</v>
      </c>
      <c r="I2397" s="3">
        <v>42177</v>
      </c>
      <c r="J2397" s="3">
        <v>42174</v>
      </c>
      <c r="K2397" s="3">
        <v>42234</v>
      </c>
      <c r="L2397"/>
      <c r="N2397"/>
      <c r="O2397" s="4">
        <v>2160</v>
      </c>
      <c r="P2397">
        <v>182</v>
      </c>
      <c r="Q2397" s="4">
        <v>393120</v>
      </c>
      <c r="R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 s="3">
        <v>42562</v>
      </c>
      <c r="AC2397" t="s">
        <v>53</v>
      </c>
      <c r="AD2397" t="s">
        <v>53</v>
      </c>
      <c r="AK2397">
        <v>0</v>
      </c>
      <c r="AU2397" s="3">
        <v>42416</v>
      </c>
      <c r="AV2397" s="3">
        <v>42416</v>
      </c>
      <c r="AW2397" t="s">
        <v>54</v>
      </c>
      <c r="AX2397" t="str">
        <f t="shared" si="304"/>
        <v>FOR</v>
      </c>
      <c r="AY2397" t="s">
        <v>55</v>
      </c>
    </row>
    <row r="2398" spans="1:51" hidden="1">
      <c r="A2398">
        <v>104009</v>
      </c>
      <c r="B2398" t="s">
        <v>346</v>
      </c>
      <c r="C2398" t="str">
        <f t="shared" si="305"/>
        <v>08641790152</v>
      </c>
      <c r="D2398" t="str">
        <f t="shared" si="305"/>
        <v>08641790152</v>
      </c>
      <c r="E2398" t="s">
        <v>52</v>
      </c>
      <c r="F2398">
        <v>2015</v>
      </c>
      <c r="G2398" t="str">
        <f>"             F072515"</f>
        <v xml:space="preserve">             F072515</v>
      </c>
      <c r="H2398" s="3">
        <v>42174</v>
      </c>
      <c r="I2398" s="3">
        <v>42178</v>
      </c>
      <c r="J2398" s="3">
        <v>42175</v>
      </c>
      <c r="K2398" s="3">
        <v>42235</v>
      </c>
      <c r="L2398"/>
      <c r="N2398"/>
      <c r="O2398">
        <v>76</v>
      </c>
      <c r="P2398">
        <v>181</v>
      </c>
      <c r="Q2398" s="4">
        <v>13756</v>
      </c>
      <c r="R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 s="3">
        <v>42562</v>
      </c>
      <c r="AC2398" t="s">
        <v>53</v>
      </c>
      <c r="AD2398" t="s">
        <v>53</v>
      </c>
      <c r="AK2398">
        <v>0</v>
      </c>
      <c r="AU2398" s="3">
        <v>42416</v>
      </c>
      <c r="AV2398" s="3">
        <v>42416</v>
      </c>
      <c r="AW2398" t="s">
        <v>54</v>
      </c>
      <c r="AX2398" t="str">
        <f t="shared" si="304"/>
        <v>FOR</v>
      </c>
      <c r="AY2398" t="s">
        <v>55</v>
      </c>
    </row>
    <row r="2399" spans="1:51" hidden="1">
      <c r="A2399">
        <v>104009</v>
      </c>
      <c r="B2399" t="s">
        <v>346</v>
      </c>
      <c r="C2399" t="str">
        <f t="shared" si="305"/>
        <v>08641790152</v>
      </c>
      <c r="D2399" t="str">
        <f t="shared" si="305"/>
        <v>08641790152</v>
      </c>
      <c r="E2399" t="s">
        <v>52</v>
      </c>
      <c r="F2399">
        <v>2015</v>
      </c>
      <c r="G2399" t="str">
        <f>"             F072626"</f>
        <v xml:space="preserve">             F072626</v>
      </c>
      <c r="H2399" s="3">
        <v>42174</v>
      </c>
      <c r="I2399" s="3">
        <v>42178</v>
      </c>
      <c r="J2399" s="3">
        <v>42175</v>
      </c>
      <c r="K2399" s="3">
        <v>42235</v>
      </c>
      <c r="L2399"/>
      <c r="N2399"/>
      <c r="O2399">
        <v>950</v>
      </c>
      <c r="P2399">
        <v>181</v>
      </c>
      <c r="Q2399" s="4">
        <v>171950</v>
      </c>
      <c r="R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 s="3">
        <v>42562</v>
      </c>
      <c r="AC2399" t="s">
        <v>53</v>
      </c>
      <c r="AD2399" t="s">
        <v>53</v>
      </c>
      <c r="AK2399">
        <v>0</v>
      </c>
      <c r="AU2399" s="3">
        <v>42416</v>
      </c>
      <c r="AV2399" s="3">
        <v>42416</v>
      </c>
      <c r="AW2399" t="s">
        <v>54</v>
      </c>
      <c r="AX2399" t="str">
        <f t="shared" si="304"/>
        <v>FOR</v>
      </c>
      <c r="AY2399" t="s">
        <v>55</v>
      </c>
    </row>
    <row r="2400" spans="1:51" hidden="1">
      <c r="A2400">
        <v>104009</v>
      </c>
      <c r="B2400" t="s">
        <v>346</v>
      </c>
      <c r="C2400" t="str">
        <f t="shared" si="305"/>
        <v>08641790152</v>
      </c>
      <c r="D2400" t="str">
        <f t="shared" si="305"/>
        <v>08641790152</v>
      </c>
      <c r="E2400" t="s">
        <v>52</v>
      </c>
      <c r="F2400">
        <v>2015</v>
      </c>
      <c r="G2400" t="str">
        <f>"             F072631"</f>
        <v xml:space="preserve">             F072631</v>
      </c>
      <c r="H2400" s="3">
        <v>42174</v>
      </c>
      <c r="I2400" s="3">
        <v>42178</v>
      </c>
      <c r="J2400" s="3">
        <v>42175</v>
      </c>
      <c r="K2400" s="3">
        <v>42235</v>
      </c>
      <c r="L2400"/>
      <c r="N2400"/>
      <c r="O2400">
        <v>950</v>
      </c>
      <c r="P2400">
        <v>181</v>
      </c>
      <c r="Q2400" s="4">
        <v>171950</v>
      </c>
      <c r="R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 s="3">
        <v>42562</v>
      </c>
      <c r="AC2400" t="s">
        <v>53</v>
      </c>
      <c r="AD2400" t="s">
        <v>53</v>
      </c>
      <c r="AK2400">
        <v>0</v>
      </c>
      <c r="AU2400" s="3">
        <v>42416</v>
      </c>
      <c r="AV2400" s="3">
        <v>42416</v>
      </c>
      <c r="AW2400" t="s">
        <v>54</v>
      </c>
      <c r="AX2400" t="str">
        <f t="shared" si="304"/>
        <v>FOR</v>
      </c>
      <c r="AY2400" t="s">
        <v>55</v>
      </c>
    </row>
    <row r="2401" spans="1:51" hidden="1">
      <c r="A2401">
        <v>104009</v>
      </c>
      <c r="B2401" t="s">
        <v>346</v>
      </c>
      <c r="C2401" t="str">
        <f t="shared" si="305"/>
        <v>08641790152</v>
      </c>
      <c r="D2401" t="str">
        <f t="shared" si="305"/>
        <v>08641790152</v>
      </c>
      <c r="E2401" t="s">
        <v>52</v>
      </c>
      <c r="F2401">
        <v>2015</v>
      </c>
      <c r="G2401" t="str">
        <f>"             F072633"</f>
        <v xml:space="preserve">             F072633</v>
      </c>
      <c r="H2401" s="3">
        <v>42174</v>
      </c>
      <c r="I2401" s="3">
        <v>42178</v>
      </c>
      <c r="J2401" s="3">
        <v>42175</v>
      </c>
      <c r="K2401" s="3">
        <v>42235</v>
      </c>
      <c r="L2401"/>
      <c r="N2401"/>
      <c r="O2401">
        <v>950</v>
      </c>
      <c r="P2401">
        <v>181</v>
      </c>
      <c r="Q2401" s="4">
        <v>171950</v>
      </c>
      <c r="R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 s="3">
        <v>42562</v>
      </c>
      <c r="AC2401" t="s">
        <v>53</v>
      </c>
      <c r="AD2401" t="s">
        <v>53</v>
      </c>
      <c r="AK2401">
        <v>0</v>
      </c>
      <c r="AU2401" s="3">
        <v>42416</v>
      </c>
      <c r="AV2401" s="3">
        <v>42416</v>
      </c>
      <c r="AW2401" t="s">
        <v>54</v>
      </c>
      <c r="AX2401" t="str">
        <f t="shared" si="304"/>
        <v>FOR</v>
      </c>
      <c r="AY2401" t="s">
        <v>55</v>
      </c>
    </row>
    <row r="2402" spans="1:51" hidden="1">
      <c r="A2402">
        <v>104009</v>
      </c>
      <c r="B2402" t="s">
        <v>346</v>
      </c>
      <c r="C2402" t="str">
        <f t="shared" si="305"/>
        <v>08641790152</v>
      </c>
      <c r="D2402" t="str">
        <f t="shared" si="305"/>
        <v>08641790152</v>
      </c>
      <c r="E2402" t="s">
        <v>52</v>
      </c>
      <c r="F2402">
        <v>2015</v>
      </c>
      <c r="G2402" t="str">
        <f>"             F073492"</f>
        <v xml:space="preserve">             F073492</v>
      </c>
      <c r="H2402" s="3">
        <v>42177</v>
      </c>
      <c r="I2402" s="3">
        <v>42178</v>
      </c>
      <c r="J2402" s="3">
        <v>42178</v>
      </c>
      <c r="K2402" s="3">
        <v>42238</v>
      </c>
      <c r="L2402"/>
      <c r="N2402"/>
      <c r="O2402">
        <v>850</v>
      </c>
      <c r="P2402">
        <v>178</v>
      </c>
      <c r="Q2402" s="4">
        <v>151300</v>
      </c>
      <c r="R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 s="3">
        <v>42562</v>
      </c>
      <c r="AC2402" t="s">
        <v>53</v>
      </c>
      <c r="AD2402" t="s">
        <v>53</v>
      </c>
      <c r="AK2402">
        <v>0</v>
      </c>
      <c r="AU2402" s="3">
        <v>42416</v>
      </c>
      <c r="AV2402" s="3">
        <v>42416</v>
      </c>
      <c r="AW2402" t="s">
        <v>54</v>
      </c>
      <c r="AX2402" t="str">
        <f t="shared" si="304"/>
        <v>FOR</v>
      </c>
      <c r="AY2402" t="s">
        <v>55</v>
      </c>
    </row>
    <row r="2403" spans="1:51" hidden="1">
      <c r="A2403">
        <v>104009</v>
      </c>
      <c r="B2403" t="s">
        <v>346</v>
      </c>
      <c r="C2403" t="str">
        <f t="shared" si="305"/>
        <v>08641790152</v>
      </c>
      <c r="D2403" t="str">
        <f t="shared" si="305"/>
        <v>08641790152</v>
      </c>
      <c r="E2403" t="s">
        <v>52</v>
      </c>
      <c r="F2403">
        <v>2015</v>
      </c>
      <c r="G2403" t="str">
        <f>"             F073505"</f>
        <v xml:space="preserve">             F073505</v>
      </c>
      <c r="H2403" s="3">
        <v>42177</v>
      </c>
      <c r="I2403" s="3">
        <v>42178</v>
      </c>
      <c r="J2403" s="3">
        <v>42178</v>
      </c>
      <c r="K2403" s="3">
        <v>42238</v>
      </c>
      <c r="L2403"/>
      <c r="N2403"/>
      <c r="O2403" s="4">
        <v>1392</v>
      </c>
      <c r="P2403">
        <v>178</v>
      </c>
      <c r="Q2403" s="4">
        <v>247776</v>
      </c>
      <c r="R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 s="3">
        <v>42562</v>
      </c>
      <c r="AC2403" t="s">
        <v>53</v>
      </c>
      <c r="AD2403" t="s">
        <v>53</v>
      </c>
      <c r="AK2403">
        <v>0</v>
      </c>
      <c r="AU2403" s="3">
        <v>42416</v>
      </c>
      <c r="AV2403" s="3">
        <v>42416</v>
      </c>
      <c r="AW2403" t="s">
        <v>54</v>
      </c>
      <c r="AX2403" t="str">
        <f t="shared" si="304"/>
        <v>FOR</v>
      </c>
      <c r="AY2403" t="s">
        <v>55</v>
      </c>
    </row>
    <row r="2404" spans="1:51" hidden="1">
      <c r="A2404">
        <v>104009</v>
      </c>
      <c r="B2404" t="s">
        <v>346</v>
      </c>
      <c r="C2404" t="str">
        <f t="shared" si="305"/>
        <v>08641790152</v>
      </c>
      <c r="D2404" t="str">
        <f t="shared" si="305"/>
        <v>08641790152</v>
      </c>
      <c r="E2404" t="s">
        <v>52</v>
      </c>
      <c r="F2404">
        <v>2015</v>
      </c>
      <c r="G2404" t="str">
        <f>"             F073511"</f>
        <v xml:space="preserve">             F073511</v>
      </c>
      <c r="H2404" s="3">
        <v>42177</v>
      </c>
      <c r="I2404" s="3">
        <v>42178</v>
      </c>
      <c r="J2404" s="3">
        <v>42178</v>
      </c>
      <c r="K2404" s="3">
        <v>42238</v>
      </c>
      <c r="L2404"/>
      <c r="N2404"/>
      <c r="O2404">
        <v>294</v>
      </c>
      <c r="P2404">
        <v>178</v>
      </c>
      <c r="Q2404" s="4">
        <v>52332</v>
      </c>
      <c r="R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 s="3">
        <v>42562</v>
      </c>
      <c r="AC2404" t="s">
        <v>53</v>
      </c>
      <c r="AD2404" t="s">
        <v>53</v>
      </c>
      <c r="AK2404">
        <v>0</v>
      </c>
      <c r="AU2404" s="3">
        <v>42416</v>
      </c>
      <c r="AV2404" s="3">
        <v>42416</v>
      </c>
      <c r="AW2404" t="s">
        <v>54</v>
      </c>
      <c r="AX2404" t="str">
        <f t="shared" si="304"/>
        <v>FOR</v>
      </c>
      <c r="AY2404" t="s">
        <v>55</v>
      </c>
    </row>
    <row r="2405" spans="1:51" hidden="1">
      <c r="A2405">
        <v>104009</v>
      </c>
      <c r="B2405" t="s">
        <v>346</v>
      </c>
      <c r="C2405" t="str">
        <f t="shared" si="305"/>
        <v>08641790152</v>
      </c>
      <c r="D2405" t="str">
        <f t="shared" si="305"/>
        <v>08641790152</v>
      </c>
      <c r="E2405" t="s">
        <v>52</v>
      </c>
      <c r="F2405">
        <v>2015</v>
      </c>
      <c r="G2405" t="str">
        <f>"             F073541"</f>
        <v xml:space="preserve">             F073541</v>
      </c>
      <c r="H2405" s="3">
        <v>42177</v>
      </c>
      <c r="I2405" s="3">
        <v>42178</v>
      </c>
      <c r="J2405" s="3">
        <v>42178</v>
      </c>
      <c r="K2405" s="3">
        <v>42238</v>
      </c>
      <c r="L2405"/>
      <c r="N2405"/>
      <c r="O2405">
        <v>200</v>
      </c>
      <c r="P2405">
        <v>178</v>
      </c>
      <c r="Q2405" s="4">
        <v>35600</v>
      </c>
      <c r="R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 s="3">
        <v>42562</v>
      </c>
      <c r="AC2405" t="s">
        <v>53</v>
      </c>
      <c r="AD2405" t="s">
        <v>53</v>
      </c>
      <c r="AK2405">
        <v>0</v>
      </c>
      <c r="AU2405" s="3">
        <v>42416</v>
      </c>
      <c r="AV2405" s="3">
        <v>42416</v>
      </c>
      <c r="AW2405" t="s">
        <v>54</v>
      </c>
      <c r="AX2405" t="str">
        <f t="shared" si="304"/>
        <v>FOR</v>
      </c>
      <c r="AY2405" t="s">
        <v>55</v>
      </c>
    </row>
    <row r="2406" spans="1:51" hidden="1">
      <c r="A2406">
        <v>104009</v>
      </c>
      <c r="B2406" t="s">
        <v>346</v>
      </c>
      <c r="C2406" t="str">
        <f t="shared" si="305"/>
        <v>08641790152</v>
      </c>
      <c r="D2406" t="str">
        <f t="shared" si="305"/>
        <v>08641790152</v>
      </c>
      <c r="E2406" t="s">
        <v>52</v>
      </c>
      <c r="F2406">
        <v>2015</v>
      </c>
      <c r="G2406" t="str">
        <f>"             F073562"</f>
        <v xml:space="preserve">             F073562</v>
      </c>
      <c r="H2406" s="3">
        <v>42177</v>
      </c>
      <c r="I2406" s="3">
        <v>42178</v>
      </c>
      <c r="J2406" s="3">
        <v>42178</v>
      </c>
      <c r="K2406" s="3">
        <v>42238</v>
      </c>
      <c r="L2406"/>
      <c r="N2406"/>
      <c r="O2406" s="4">
        <v>1560</v>
      </c>
      <c r="P2406">
        <v>178</v>
      </c>
      <c r="Q2406" s="4">
        <v>277680</v>
      </c>
      <c r="R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 s="3">
        <v>42562</v>
      </c>
      <c r="AC2406" t="s">
        <v>53</v>
      </c>
      <c r="AD2406" t="s">
        <v>53</v>
      </c>
      <c r="AK2406">
        <v>0</v>
      </c>
      <c r="AU2406" s="3">
        <v>42416</v>
      </c>
      <c r="AV2406" s="3">
        <v>42416</v>
      </c>
      <c r="AW2406" t="s">
        <v>54</v>
      </c>
      <c r="AX2406" t="str">
        <f t="shared" si="304"/>
        <v>FOR</v>
      </c>
      <c r="AY2406" t="s">
        <v>55</v>
      </c>
    </row>
    <row r="2407" spans="1:51" hidden="1">
      <c r="A2407">
        <v>104009</v>
      </c>
      <c r="B2407" t="s">
        <v>346</v>
      </c>
      <c r="C2407" t="str">
        <f t="shared" si="305"/>
        <v>08641790152</v>
      </c>
      <c r="D2407" t="str">
        <f t="shared" si="305"/>
        <v>08641790152</v>
      </c>
      <c r="E2407" t="s">
        <v>52</v>
      </c>
      <c r="F2407">
        <v>2015</v>
      </c>
      <c r="G2407" t="str">
        <f>"             F073578"</f>
        <v xml:space="preserve">             F073578</v>
      </c>
      <c r="H2407" s="3">
        <v>42177</v>
      </c>
      <c r="I2407" s="3">
        <v>42178</v>
      </c>
      <c r="J2407" s="3">
        <v>42178</v>
      </c>
      <c r="K2407" s="3">
        <v>42238</v>
      </c>
      <c r="L2407"/>
      <c r="N2407"/>
      <c r="O2407" s="4">
        <v>2232</v>
      </c>
      <c r="P2407">
        <v>178</v>
      </c>
      <c r="Q2407" s="4">
        <v>397296</v>
      </c>
      <c r="R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 s="3">
        <v>42562</v>
      </c>
      <c r="AC2407" t="s">
        <v>53</v>
      </c>
      <c r="AD2407" t="s">
        <v>53</v>
      </c>
      <c r="AK2407">
        <v>0</v>
      </c>
      <c r="AU2407" s="3">
        <v>42416</v>
      </c>
      <c r="AV2407" s="3">
        <v>42416</v>
      </c>
      <c r="AW2407" t="s">
        <v>54</v>
      </c>
      <c r="AX2407" t="str">
        <f t="shared" si="304"/>
        <v>FOR</v>
      </c>
      <c r="AY2407" t="s">
        <v>55</v>
      </c>
    </row>
    <row r="2408" spans="1:51" hidden="1">
      <c r="A2408">
        <v>104009</v>
      </c>
      <c r="B2408" t="s">
        <v>346</v>
      </c>
      <c r="C2408" t="str">
        <f t="shared" si="305"/>
        <v>08641790152</v>
      </c>
      <c r="D2408" t="str">
        <f t="shared" si="305"/>
        <v>08641790152</v>
      </c>
      <c r="E2408" t="s">
        <v>52</v>
      </c>
      <c r="F2408">
        <v>2015</v>
      </c>
      <c r="G2408" t="str">
        <f>"             F073647"</f>
        <v xml:space="preserve">             F073647</v>
      </c>
      <c r="H2408" s="3">
        <v>42177</v>
      </c>
      <c r="I2408" s="3">
        <v>42178</v>
      </c>
      <c r="J2408" s="3">
        <v>42178</v>
      </c>
      <c r="K2408" s="3">
        <v>42238</v>
      </c>
      <c r="L2408"/>
      <c r="N2408"/>
      <c r="O2408" s="4">
        <v>1772</v>
      </c>
      <c r="P2408">
        <v>178</v>
      </c>
      <c r="Q2408" s="4">
        <v>315416</v>
      </c>
      <c r="R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 s="3">
        <v>42562</v>
      </c>
      <c r="AC2408" t="s">
        <v>53</v>
      </c>
      <c r="AD2408" t="s">
        <v>53</v>
      </c>
      <c r="AK2408">
        <v>0</v>
      </c>
      <c r="AU2408" s="3">
        <v>42416</v>
      </c>
      <c r="AV2408" s="3">
        <v>42416</v>
      </c>
      <c r="AW2408" t="s">
        <v>54</v>
      </c>
      <c r="AX2408" t="str">
        <f t="shared" si="304"/>
        <v>FOR</v>
      </c>
      <c r="AY2408" t="s">
        <v>55</v>
      </c>
    </row>
    <row r="2409" spans="1:51" hidden="1">
      <c r="A2409">
        <v>104009</v>
      </c>
      <c r="B2409" t="s">
        <v>346</v>
      </c>
      <c r="C2409" t="str">
        <f t="shared" si="305"/>
        <v>08641790152</v>
      </c>
      <c r="D2409" t="str">
        <f t="shared" si="305"/>
        <v>08641790152</v>
      </c>
      <c r="E2409" t="s">
        <v>52</v>
      </c>
      <c r="F2409">
        <v>2015</v>
      </c>
      <c r="G2409" t="str">
        <f>"             F074789"</f>
        <v xml:space="preserve">             F074789</v>
      </c>
      <c r="H2409" s="3">
        <v>42179</v>
      </c>
      <c r="I2409" s="3">
        <v>42185</v>
      </c>
      <c r="J2409" s="3">
        <v>42181</v>
      </c>
      <c r="K2409" s="3">
        <v>42241</v>
      </c>
      <c r="L2409"/>
      <c r="N2409"/>
      <c r="O2409">
        <v>830</v>
      </c>
      <c r="P2409">
        <v>175</v>
      </c>
      <c r="Q2409" s="4">
        <v>145250</v>
      </c>
      <c r="R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 s="3">
        <v>42562</v>
      </c>
      <c r="AC2409" t="s">
        <v>53</v>
      </c>
      <c r="AD2409" t="s">
        <v>53</v>
      </c>
      <c r="AK2409">
        <v>0</v>
      </c>
      <c r="AU2409" s="3">
        <v>42416</v>
      </c>
      <c r="AV2409" s="3">
        <v>42416</v>
      </c>
      <c r="AW2409" t="s">
        <v>54</v>
      </c>
      <c r="AX2409" t="str">
        <f t="shared" si="304"/>
        <v>FOR</v>
      </c>
      <c r="AY2409" t="s">
        <v>55</v>
      </c>
    </row>
    <row r="2410" spans="1:51" hidden="1">
      <c r="A2410">
        <v>104009</v>
      </c>
      <c r="B2410" t="s">
        <v>346</v>
      </c>
      <c r="C2410" t="str">
        <f t="shared" si="305"/>
        <v>08641790152</v>
      </c>
      <c r="D2410" t="str">
        <f t="shared" si="305"/>
        <v>08641790152</v>
      </c>
      <c r="E2410" t="s">
        <v>52</v>
      </c>
      <c r="F2410">
        <v>2015</v>
      </c>
      <c r="G2410" t="str">
        <f>"             F074794"</f>
        <v xml:space="preserve">             F074794</v>
      </c>
      <c r="H2410" s="3">
        <v>42179</v>
      </c>
      <c r="I2410" s="3">
        <v>42185</v>
      </c>
      <c r="J2410" s="3">
        <v>42181</v>
      </c>
      <c r="K2410" s="3">
        <v>42241</v>
      </c>
      <c r="L2410"/>
      <c r="N2410"/>
      <c r="O2410" s="4">
        <v>2890</v>
      </c>
      <c r="P2410">
        <v>175</v>
      </c>
      <c r="Q2410" s="4">
        <v>505750</v>
      </c>
      <c r="R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 s="3">
        <v>42562</v>
      </c>
      <c r="AC2410" t="s">
        <v>53</v>
      </c>
      <c r="AD2410" t="s">
        <v>53</v>
      </c>
      <c r="AK2410">
        <v>0</v>
      </c>
      <c r="AU2410" s="3">
        <v>42416</v>
      </c>
      <c r="AV2410" s="3">
        <v>42416</v>
      </c>
      <c r="AW2410" t="s">
        <v>54</v>
      </c>
      <c r="AX2410" t="str">
        <f t="shared" si="304"/>
        <v>FOR</v>
      </c>
      <c r="AY2410" t="s">
        <v>55</v>
      </c>
    </row>
    <row r="2411" spans="1:51" hidden="1">
      <c r="A2411">
        <v>104009</v>
      </c>
      <c r="B2411" t="s">
        <v>346</v>
      </c>
      <c r="C2411" t="str">
        <f t="shared" ref="C2411:D2430" si="306">"08641790152"</f>
        <v>08641790152</v>
      </c>
      <c r="D2411" t="str">
        <f t="shared" si="306"/>
        <v>08641790152</v>
      </c>
      <c r="E2411" t="s">
        <v>52</v>
      </c>
      <c r="F2411">
        <v>2015</v>
      </c>
      <c r="G2411" t="str">
        <f>"             F076214"</f>
        <v xml:space="preserve">             F076214</v>
      </c>
      <c r="H2411" s="3">
        <v>42181</v>
      </c>
      <c r="I2411" s="3">
        <v>42191</v>
      </c>
      <c r="J2411" s="3">
        <v>42185</v>
      </c>
      <c r="K2411" s="3">
        <v>42245</v>
      </c>
      <c r="L2411"/>
      <c r="N2411"/>
      <c r="O2411">
        <v>830</v>
      </c>
      <c r="P2411">
        <v>171</v>
      </c>
      <c r="Q2411" s="4">
        <v>141930</v>
      </c>
      <c r="R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 s="3">
        <v>42562</v>
      </c>
      <c r="AC2411" t="s">
        <v>53</v>
      </c>
      <c r="AD2411" t="s">
        <v>53</v>
      </c>
      <c r="AK2411">
        <v>0</v>
      </c>
      <c r="AU2411" s="3">
        <v>42416</v>
      </c>
      <c r="AV2411" s="3">
        <v>42416</v>
      </c>
      <c r="AW2411" t="s">
        <v>54</v>
      </c>
      <c r="AX2411" t="str">
        <f t="shared" si="304"/>
        <v>FOR</v>
      </c>
      <c r="AY2411" t="s">
        <v>55</v>
      </c>
    </row>
    <row r="2412" spans="1:51">
      <c r="A2412">
        <v>104009</v>
      </c>
      <c r="B2412" t="s">
        <v>346</v>
      </c>
      <c r="C2412" t="str">
        <f t="shared" si="306"/>
        <v>08641790152</v>
      </c>
      <c r="D2412" t="str">
        <f t="shared" si="306"/>
        <v>08641790152</v>
      </c>
      <c r="E2412" t="s">
        <v>52</v>
      </c>
      <c r="F2412">
        <v>2015</v>
      </c>
      <c r="G2412" t="str">
        <f>"             F078140"</f>
        <v xml:space="preserve">             F078140</v>
      </c>
      <c r="H2412" s="3">
        <v>42187</v>
      </c>
      <c r="I2412" s="3">
        <v>42191</v>
      </c>
      <c r="J2412" s="3">
        <v>42188</v>
      </c>
      <c r="K2412" s="3">
        <v>42248</v>
      </c>
      <c r="L2412" s="1">
        <v>950</v>
      </c>
      <c r="M2412">
        <v>216</v>
      </c>
      <c r="N2412" s="5">
        <v>205200</v>
      </c>
      <c r="O2412">
        <v>950</v>
      </c>
      <c r="P2412">
        <v>216</v>
      </c>
      <c r="Q2412" s="4">
        <v>205200</v>
      </c>
      <c r="R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 s="3">
        <v>42562</v>
      </c>
      <c r="AC2412" t="s">
        <v>53</v>
      </c>
      <c r="AD2412" t="s">
        <v>53</v>
      </c>
      <c r="AK2412">
        <v>0</v>
      </c>
      <c r="AU2412" s="3">
        <v>42464</v>
      </c>
      <c r="AV2412" s="3">
        <v>42464</v>
      </c>
      <c r="AW2412" t="s">
        <v>54</v>
      </c>
      <c r="AX2412" t="str">
        <f t="shared" si="304"/>
        <v>FOR</v>
      </c>
      <c r="AY2412" t="s">
        <v>55</v>
      </c>
    </row>
    <row r="2413" spans="1:51">
      <c r="A2413">
        <v>104009</v>
      </c>
      <c r="B2413" t="s">
        <v>346</v>
      </c>
      <c r="C2413" t="str">
        <f t="shared" si="306"/>
        <v>08641790152</v>
      </c>
      <c r="D2413" t="str">
        <f t="shared" si="306"/>
        <v>08641790152</v>
      </c>
      <c r="E2413" t="s">
        <v>52</v>
      </c>
      <c r="F2413">
        <v>2015</v>
      </c>
      <c r="G2413" t="str">
        <f>"             F078146"</f>
        <v xml:space="preserve">             F078146</v>
      </c>
      <c r="H2413" s="3">
        <v>42187</v>
      </c>
      <c r="I2413" s="3">
        <v>42191</v>
      </c>
      <c r="J2413" s="3">
        <v>42188</v>
      </c>
      <c r="K2413" s="3">
        <v>42248</v>
      </c>
      <c r="L2413" s="1">
        <v>950</v>
      </c>
      <c r="M2413">
        <v>216</v>
      </c>
      <c r="N2413" s="5">
        <v>205200</v>
      </c>
      <c r="O2413">
        <v>950</v>
      </c>
      <c r="P2413">
        <v>216</v>
      </c>
      <c r="Q2413" s="4">
        <v>205200</v>
      </c>
      <c r="R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 s="3">
        <v>42562</v>
      </c>
      <c r="AC2413" t="s">
        <v>53</v>
      </c>
      <c r="AD2413" t="s">
        <v>53</v>
      </c>
      <c r="AK2413">
        <v>0</v>
      </c>
      <c r="AU2413" s="3">
        <v>42464</v>
      </c>
      <c r="AV2413" s="3">
        <v>42464</v>
      </c>
      <c r="AW2413" t="s">
        <v>54</v>
      </c>
      <c r="AX2413" t="str">
        <f t="shared" si="304"/>
        <v>FOR</v>
      </c>
      <c r="AY2413" t="s">
        <v>55</v>
      </c>
    </row>
    <row r="2414" spans="1:51">
      <c r="A2414">
        <v>104009</v>
      </c>
      <c r="B2414" t="s">
        <v>346</v>
      </c>
      <c r="C2414" t="str">
        <f t="shared" si="306"/>
        <v>08641790152</v>
      </c>
      <c r="D2414" t="str">
        <f t="shared" si="306"/>
        <v>08641790152</v>
      </c>
      <c r="E2414" t="s">
        <v>52</v>
      </c>
      <c r="F2414">
        <v>2015</v>
      </c>
      <c r="G2414" t="str">
        <f>"             F079664"</f>
        <v xml:space="preserve">             F079664</v>
      </c>
      <c r="H2414" s="3">
        <v>42191</v>
      </c>
      <c r="I2414" s="3">
        <v>42195</v>
      </c>
      <c r="J2414" s="3">
        <v>42193</v>
      </c>
      <c r="K2414" s="3">
        <v>42253</v>
      </c>
      <c r="L2414" s="5">
        <v>1663.5</v>
      </c>
      <c r="M2414">
        <v>211</v>
      </c>
      <c r="N2414" s="5">
        <v>350998.5</v>
      </c>
      <c r="O2414" s="4">
        <v>1663.5</v>
      </c>
      <c r="P2414">
        <v>211</v>
      </c>
      <c r="Q2414" s="4">
        <v>350998.5</v>
      </c>
      <c r="R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 s="3">
        <v>42562</v>
      </c>
      <c r="AC2414" t="s">
        <v>53</v>
      </c>
      <c r="AD2414" t="s">
        <v>53</v>
      </c>
      <c r="AK2414">
        <v>0</v>
      </c>
      <c r="AU2414" s="3">
        <v>42464</v>
      </c>
      <c r="AV2414" s="3">
        <v>42464</v>
      </c>
      <c r="AW2414" t="s">
        <v>54</v>
      </c>
      <c r="AX2414" t="str">
        <f t="shared" si="304"/>
        <v>FOR</v>
      </c>
      <c r="AY2414" t="s">
        <v>55</v>
      </c>
    </row>
    <row r="2415" spans="1:51">
      <c r="A2415">
        <v>104009</v>
      </c>
      <c r="B2415" t="s">
        <v>346</v>
      </c>
      <c r="C2415" t="str">
        <f t="shared" si="306"/>
        <v>08641790152</v>
      </c>
      <c r="D2415" t="str">
        <f t="shared" si="306"/>
        <v>08641790152</v>
      </c>
      <c r="E2415" t="s">
        <v>52</v>
      </c>
      <c r="F2415">
        <v>2015</v>
      </c>
      <c r="G2415" t="str">
        <f>"             F079991"</f>
        <v xml:space="preserve">             F079991</v>
      </c>
      <c r="H2415" s="3">
        <v>42192</v>
      </c>
      <c r="I2415" s="3">
        <v>42193</v>
      </c>
      <c r="J2415" s="3">
        <v>42193</v>
      </c>
      <c r="K2415" s="3">
        <v>42253</v>
      </c>
      <c r="L2415" s="1">
        <v>830</v>
      </c>
      <c r="M2415">
        <v>211</v>
      </c>
      <c r="N2415" s="5">
        <v>175130</v>
      </c>
      <c r="O2415">
        <v>830</v>
      </c>
      <c r="P2415">
        <v>211</v>
      </c>
      <c r="Q2415" s="4">
        <v>175130</v>
      </c>
      <c r="R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 s="3">
        <v>42562</v>
      </c>
      <c r="AC2415" t="s">
        <v>53</v>
      </c>
      <c r="AD2415" t="s">
        <v>53</v>
      </c>
      <c r="AK2415">
        <v>0</v>
      </c>
      <c r="AU2415" s="3">
        <v>42464</v>
      </c>
      <c r="AV2415" s="3">
        <v>42464</v>
      </c>
      <c r="AW2415" t="s">
        <v>54</v>
      </c>
      <c r="AX2415" t="str">
        <f t="shared" si="304"/>
        <v>FOR</v>
      </c>
      <c r="AY2415" t="s">
        <v>55</v>
      </c>
    </row>
    <row r="2416" spans="1:51">
      <c r="A2416">
        <v>104009</v>
      </c>
      <c r="B2416" t="s">
        <v>346</v>
      </c>
      <c r="C2416" t="str">
        <f t="shared" si="306"/>
        <v>08641790152</v>
      </c>
      <c r="D2416" t="str">
        <f t="shared" si="306"/>
        <v>08641790152</v>
      </c>
      <c r="E2416" t="s">
        <v>52</v>
      </c>
      <c r="F2416">
        <v>2015</v>
      </c>
      <c r="G2416" t="str">
        <f>"             F080196"</f>
        <v xml:space="preserve">             F080196</v>
      </c>
      <c r="H2416" s="3">
        <v>42192</v>
      </c>
      <c r="I2416" s="3">
        <v>42193</v>
      </c>
      <c r="J2416" s="3">
        <v>42193</v>
      </c>
      <c r="K2416" s="3">
        <v>42253</v>
      </c>
      <c r="L2416" s="1">
        <v>780</v>
      </c>
      <c r="M2416">
        <v>211</v>
      </c>
      <c r="N2416" s="5">
        <v>164580</v>
      </c>
      <c r="O2416">
        <v>780</v>
      </c>
      <c r="P2416">
        <v>211</v>
      </c>
      <c r="Q2416" s="4">
        <v>164580</v>
      </c>
      <c r="R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 s="3">
        <v>42562</v>
      </c>
      <c r="AC2416" t="s">
        <v>53</v>
      </c>
      <c r="AD2416" t="s">
        <v>53</v>
      </c>
      <c r="AK2416">
        <v>0</v>
      </c>
      <c r="AU2416" s="3">
        <v>42464</v>
      </c>
      <c r="AV2416" s="3">
        <v>42464</v>
      </c>
      <c r="AW2416" t="s">
        <v>54</v>
      </c>
      <c r="AX2416" t="str">
        <f t="shared" si="304"/>
        <v>FOR</v>
      </c>
      <c r="AY2416" t="s">
        <v>55</v>
      </c>
    </row>
    <row r="2417" spans="1:51">
      <c r="A2417">
        <v>104009</v>
      </c>
      <c r="B2417" t="s">
        <v>346</v>
      </c>
      <c r="C2417" t="str">
        <f t="shared" si="306"/>
        <v>08641790152</v>
      </c>
      <c r="D2417" t="str">
        <f t="shared" si="306"/>
        <v>08641790152</v>
      </c>
      <c r="E2417" t="s">
        <v>52</v>
      </c>
      <c r="F2417">
        <v>2015</v>
      </c>
      <c r="G2417" t="str">
        <f>"             F080847"</f>
        <v xml:space="preserve">             F080847</v>
      </c>
      <c r="H2417" s="3">
        <v>42193</v>
      </c>
      <c r="I2417" s="3">
        <v>42195</v>
      </c>
      <c r="J2417" s="3">
        <v>42194</v>
      </c>
      <c r="K2417" s="3">
        <v>42254</v>
      </c>
      <c r="L2417" s="5">
        <v>3128</v>
      </c>
      <c r="M2417">
        <v>210</v>
      </c>
      <c r="N2417" s="5">
        <v>656880</v>
      </c>
      <c r="O2417" s="4">
        <v>3128</v>
      </c>
      <c r="P2417">
        <v>210</v>
      </c>
      <c r="Q2417" s="4">
        <v>656880</v>
      </c>
      <c r="R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 s="3">
        <v>42562</v>
      </c>
      <c r="AC2417" t="s">
        <v>53</v>
      </c>
      <c r="AD2417" t="s">
        <v>53</v>
      </c>
      <c r="AK2417">
        <v>0</v>
      </c>
      <c r="AU2417" s="3">
        <v>42464</v>
      </c>
      <c r="AV2417" s="3">
        <v>42464</v>
      </c>
      <c r="AW2417" t="s">
        <v>54</v>
      </c>
      <c r="AX2417" t="str">
        <f t="shared" si="304"/>
        <v>FOR</v>
      </c>
      <c r="AY2417" t="s">
        <v>55</v>
      </c>
    </row>
    <row r="2418" spans="1:51">
      <c r="A2418">
        <v>104009</v>
      </c>
      <c r="B2418" t="s">
        <v>346</v>
      </c>
      <c r="C2418" t="str">
        <f t="shared" si="306"/>
        <v>08641790152</v>
      </c>
      <c r="D2418" t="str">
        <f t="shared" si="306"/>
        <v>08641790152</v>
      </c>
      <c r="E2418" t="s">
        <v>52</v>
      </c>
      <c r="F2418">
        <v>2015</v>
      </c>
      <c r="G2418" t="str">
        <f>"             F080850"</f>
        <v xml:space="preserve">             F080850</v>
      </c>
      <c r="H2418" s="3">
        <v>42193</v>
      </c>
      <c r="I2418" s="3">
        <v>42195</v>
      </c>
      <c r="J2418" s="3">
        <v>42194</v>
      </c>
      <c r="K2418" s="3">
        <v>42254</v>
      </c>
      <c r="L2418" s="1">
        <v>140</v>
      </c>
      <c r="M2418">
        <v>210</v>
      </c>
      <c r="N2418" s="5">
        <v>29400</v>
      </c>
      <c r="O2418">
        <v>140</v>
      </c>
      <c r="P2418">
        <v>210</v>
      </c>
      <c r="Q2418" s="4">
        <v>29400</v>
      </c>
      <c r="R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 s="3">
        <v>42562</v>
      </c>
      <c r="AC2418" t="s">
        <v>53</v>
      </c>
      <c r="AD2418" t="s">
        <v>53</v>
      </c>
      <c r="AK2418">
        <v>0</v>
      </c>
      <c r="AU2418" s="3">
        <v>42464</v>
      </c>
      <c r="AV2418" s="3">
        <v>42464</v>
      </c>
      <c r="AW2418" t="s">
        <v>54</v>
      </c>
      <c r="AX2418" t="str">
        <f t="shared" si="304"/>
        <v>FOR</v>
      </c>
      <c r="AY2418" t="s">
        <v>55</v>
      </c>
    </row>
    <row r="2419" spans="1:51">
      <c r="A2419">
        <v>104009</v>
      </c>
      <c r="B2419" t="s">
        <v>346</v>
      </c>
      <c r="C2419" t="str">
        <f t="shared" si="306"/>
        <v>08641790152</v>
      </c>
      <c r="D2419" t="str">
        <f t="shared" si="306"/>
        <v>08641790152</v>
      </c>
      <c r="E2419" t="s">
        <v>52</v>
      </c>
      <c r="F2419">
        <v>2015</v>
      </c>
      <c r="G2419" t="str">
        <f>"             F080932"</f>
        <v xml:space="preserve">             F080932</v>
      </c>
      <c r="H2419" s="3">
        <v>42193</v>
      </c>
      <c r="I2419" s="3">
        <v>42195</v>
      </c>
      <c r="J2419" s="3">
        <v>42194</v>
      </c>
      <c r="K2419" s="3">
        <v>42254</v>
      </c>
      <c r="L2419" s="5">
        <v>2232</v>
      </c>
      <c r="M2419">
        <v>210</v>
      </c>
      <c r="N2419" s="5">
        <v>468720</v>
      </c>
      <c r="O2419" s="4">
        <v>2232</v>
      </c>
      <c r="P2419">
        <v>210</v>
      </c>
      <c r="Q2419" s="4">
        <v>468720</v>
      </c>
      <c r="R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 s="3">
        <v>42562</v>
      </c>
      <c r="AC2419" t="s">
        <v>53</v>
      </c>
      <c r="AD2419" t="s">
        <v>53</v>
      </c>
      <c r="AK2419">
        <v>0</v>
      </c>
      <c r="AU2419" s="3">
        <v>42464</v>
      </c>
      <c r="AV2419" s="3">
        <v>42464</v>
      </c>
      <c r="AW2419" t="s">
        <v>54</v>
      </c>
      <c r="AX2419" t="str">
        <f t="shared" si="304"/>
        <v>FOR</v>
      </c>
      <c r="AY2419" t="s">
        <v>55</v>
      </c>
    </row>
    <row r="2420" spans="1:51">
      <c r="A2420">
        <v>104009</v>
      </c>
      <c r="B2420" t="s">
        <v>346</v>
      </c>
      <c r="C2420" t="str">
        <f t="shared" si="306"/>
        <v>08641790152</v>
      </c>
      <c r="D2420" t="str">
        <f t="shared" si="306"/>
        <v>08641790152</v>
      </c>
      <c r="E2420" t="s">
        <v>52</v>
      </c>
      <c r="F2420">
        <v>2015</v>
      </c>
      <c r="G2420" t="str">
        <f>"             F081190"</f>
        <v xml:space="preserve">             F081190</v>
      </c>
      <c r="H2420" s="3">
        <v>42194</v>
      </c>
      <c r="I2420" s="3">
        <v>42198</v>
      </c>
      <c r="J2420" s="3">
        <v>42196</v>
      </c>
      <c r="K2420" s="3">
        <v>42256</v>
      </c>
      <c r="L2420" s="1">
        <v>420</v>
      </c>
      <c r="M2420">
        <v>208</v>
      </c>
      <c r="N2420" s="5">
        <v>87360</v>
      </c>
      <c r="O2420">
        <v>420</v>
      </c>
      <c r="P2420">
        <v>208</v>
      </c>
      <c r="Q2420" s="4">
        <v>87360</v>
      </c>
      <c r="R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 s="3">
        <v>42562</v>
      </c>
      <c r="AC2420" t="s">
        <v>53</v>
      </c>
      <c r="AD2420" t="s">
        <v>53</v>
      </c>
      <c r="AK2420">
        <v>0</v>
      </c>
      <c r="AU2420" s="3">
        <v>42464</v>
      </c>
      <c r="AV2420" s="3">
        <v>42464</v>
      </c>
      <c r="AW2420" t="s">
        <v>54</v>
      </c>
      <c r="AX2420" t="str">
        <f t="shared" si="304"/>
        <v>FOR</v>
      </c>
      <c r="AY2420" t="s">
        <v>55</v>
      </c>
    </row>
    <row r="2421" spans="1:51">
      <c r="A2421">
        <v>104009</v>
      </c>
      <c r="B2421" t="s">
        <v>346</v>
      </c>
      <c r="C2421" t="str">
        <f t="shared" si="306"/>
        <v>08641790152</v>
      </c>
      <c r="D2421" t="str">
        <f t="shared" si="306"/>
        <v>08641790152</v>
      </c>
      <c r="E2421" t="s">
        <v>52</v>
      </c>
      <c r="F2421">
        <v>2015</v>
      </c>
      <c r="G2421" t="str">
        <f>"             F082596"</f>
        <v xml:space="preserve">             F082596</v>
      </c>
      <c r="H2421" s="3">
        <v>42198</v>
      </c>
      <c r="I2421" s="3">
        <v>42202</v>
      </c>
      <c r="J2421" s="3">
        <v>42199</v>
      </c>
      <c r="K2421" s="3">
        <v>42259</v>
      </c>
      <c r="L2421" s="5">
        <v>1423.8</v>
      </c>
      <c r="M2421">
        <v>205</v>
      </c>
      <c r="N2421" s="5">
        <v>291879</v>
      </c>
      <c r="O2421" s="4">
        <v>1423.8</v>
      </c>
      <c r="P2421">
        <v>205</v>
      </c>
      <c r="Q2421" s="4">
        <v>291879</v>
      </c>
      <c r="R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 s="3">
        <v>42562</v>
      </c>
      <c r="AC2421" t="s">
        <v>53</v>
      </c>
      <c r="AD2421" t="s">
        <v>53</v>
      </c>
      <c r="AK2421">
        <v>0</v>
      </c>
      <c r="AU2421" s="3">
        <v>42464</v>
      </c>
      <c r="AV2421" s="3">
        <v>42464</v>
      </c>
      <c r="AW2421" t="s">
        <v>54</v>
      </c>
      <c r="AX2421" t="str">
        <f t="shared" si="304"/>
        <v>FOR</v>
      </c>
      <c r="AY2421" t="s">
        <v>55</v>
      </c>
    </row>
    <row r="2422" spans="1:51">
      <c r="A2422">
        <v>104009</v>
      </c>
      <c r="B2422" t="s">
        <v>346</v>
      </c>
      <c r="C2422" t="str">
        <f t="shared" si="306"/>
        <v>08641790152</v>
      </c>
      <c r="D2422" t="str">
        <f t="shared" si="306"/>
        <v>08641790152</v>
      </c>
      <c r="E2422" t="s">
        <v>52</v>
      </c>
      <c r="F2422">
        <v>2015</v>
      </c>
      <c r="G2422" t="str">
        <f>"             F084939"</f>
        <v xml:space="preserve">             F084939</v>
      </c>
      <c r="H2422" s="3">
        <v>42202</v>
      </c>
      <c r="I2422" s="3">
        <v>42205</v>
      </c>
      <c r="J2422" s="3">
        <v>42203</v>
      </c>
      <c r="K2422" s="3">
        <v>42263</v>
      </c>
      <c r="L2422" s="5">
        <v>3315</v>
      </c>
      <c r="M2422">
        <v>201</v>
      </c>
      <c r="N2422" s="5">
        <v>666315</v>
      </c>
      <c r="O2422" s="4">
        <v>3315</v>
      </c>
      <c r="P2422">
        <v>201</v>
      </c>
      <c r="Q2422" s="4">
        <v>666315</v>
      </c>
      <c r="R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 s="3">
        <v>42562</v>
      </c>
      <c r="AC2422" t="s">
        <v>53</v>
      </c>
      <c r="AD2422" t="s">
        <v>53</v>
      </c>
      <c r="AK2422">
        <v>0</v>
      </c>
      <c r="AU2422" s="3">
        <v>42464</v>
      </c>
      <c r="AV2422" s="3">
        <v>42464</v>
      </c>
      <c r="AW2422" t="s">
        <v>54</v>
      </c>
      <c r="AX2422" t="str">
        <f t="shared" si="304"/>
        <v>FOR</v>
      </c>
      <c r="AY2422" t="s">
        <v>55</v>
      </c>
    </row>
    <row r="2423" spans="1:51">
      <c r="A2423">
        <v>104009</v>
      </c>
      <c r="B2423" t="s">
        <v>346</v>
      </c>
      <c r="C2423" t="str">
        <f t="shared" si="306"/>
        <v>08641790152</v>
      </c>
      <c r="D2423" t="str">
        <f t="shared" si="306"/>
        <v>08641790152</v>
      </c>
      <c r="E2423" t="s">
        <v>52</v>
      </c>
      <c r="F2423">
        <v>2015</v>
      </c>
      <c r="G2423" t="str">
        <f>"             F085389"</f>
        <v xml:space="preserve">             F085389</v>
      </c>
      <c r="H2423" s="3">
        <v>42205</v>
      </c>
      <c r="I2423" s="3">
        <v>42206</v>
      </c>
      <c r="J2423" s="3">
        <v>42206</v>
      </c>
      <c r="K2423" s="3">
        <v>42266</v>
      </c>
      <c r="L2423" s="1">
        <v>300</v>
      </c>
      <c r="M2423">
        <v>198</v>
      </c>
      <c r="N2423" s="5">
        <v>59400</v>
      </c>
      <c r="O2423">
        <v>300</v>
      </c>
      <c r="P2423">
        <v>198</v>
      </c>
      <c r="Q2423" s="4">
        <v>59400</v>
      </c>
      <c r="R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 s="3">
        <v>42562</v>
      </c>
      <c r="AC2423" t="s">
        <v>53</v>
      </c>
      <c r="AD2423" t="s">
        <v>53</v>
      </c>
      <c r="AK2423">
        <v>0</v>
      </c>
      <c r="AU2423" s="3">
        <v>42464</v>
      </c>
      <c r="AV2423" s="3">
        <v>42464</v>
      </c>
      <c r="AW2423" t="s">
        <v>54</v>
      </c>
      <c r="AX2423" t="str">
        <f t="shared" si="304"/>
        <v>FOR</v>
      </c>
      <c r="AY2423" t="s">
        <v>55</v>
      </c>
    </row>
    <row r="2424" spans="1:51">
      <c r="A2424">
        <v>104009</v>
      </c>
      <c r="B2424" t="s">
        <v>346</v>
      </c>
      <c r="C2424" t="str">
        <f t="shared" si="306"/>
        <v>08641790152</v>
      </c>
      <c r="D2424" t="str">
        <f t="shared" si="306"/>
        <v>08641790152</v>
      </c>
      <c r="E2424" t="s">
        <v>52</v>
      </c>
      <c r="F2424">
        <v>2015</v>
      </c>
      <c r="G2424" t="str">
        <f>"             F085396"</f>
        <v xml:space="preserve">             F085396</v>
      </c>
      <c r="H2424" s="3">
        <v>42205</v>
      </c>
      <c r="I2424" s="3">
        <v>42206</v>
      </c>
      <c r="J2424" s="3">
        <v>42206</v>
      </c>
      <c r="K2424" s="3">
        <v>42266</v>
      </c>
      <c r="L2424" s="1">
        <v>300</v>
      </c>
      <c r="M2424">
        <v>198</v>
      </c>
      <c r="N2424" s="5">
        <v>59400</v>
      </c>
      <c r="O2424">
        <v>300</v>
      </c>
      <c r="P2424">
        <v>198</v>
      </c>
      <c r="Q2424" s="4">
        <v>59400</v>
      </c>
      <c r="R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 s="3">
        <v>42562</v>
      </c>
      <c r="AC2424" t="s">
        <v>53</v>
      </c>
      <c r="AD2424" t="s">
        <v>53</v>
      </c>
      <c r="AK2424">
        <v>0</v>
      </c>
      <c r="AU2424" s="3">
        <v>42464</v>
      </c>
      <c r="AV2424" s="3">
        <v>42464</v>
      </c>
      <c r="AW2424" t="s">
        <v>54</v>
      </c>
      <c r="AX2424" t="str">
        <f t="shared" si="304"/>
        <v>FOR</v>
      </c>
      <c r="AY2424" t="s">
        <v>55</v>
      </c>
    </row>
    <row r="2425" spans="1:51">
      <c r="A2425">
        <v>104009</v>
      </c>
      <c r="B2425" t="s">
        <v>346</v>
      </c>
      <c r="C2425" t="str">
        <f t="shared" si="306"/>
        <v>08641790152</v>
      </c>
      <c r="D2425" t="str">
        <f t="shared" si="306"/>
        <v>08641790152</v>
      </c>
      <c r="E2425" t="s">
        <v>52</v>
      </c>
      <c r="F2425">
        <v>2015</v>
      </c>
      <c r="G2425" t="str">
        <f>"             F086078"</f>
        <v xml:space="preserve">             F086078</v>
      </c>
      <c r="H2425" s="3">
        <v>42206</v>
      </c>
      <c r="I2425" s="3">
        <v>42209</v>
      </c>
      <c r="J2425" s="3">
        <v>42207</v>
      </c>
      <c r="K2425" s="3">
        <v>42267</v>
      </c>
      <c r="L2425" s="1">
        <v>195</v>
      </c>
      <c r="M2425">
        <v>197</v>
      </c>
      <c r="N2425" s="5">
        <v>38415</v>
      </c>
      <c r="O2425">
        <v>195</v>
      </c>
      <c r="P2425">
        <v>197</v>
      </c>
      <c r="Q2425" s="4">
        <v>38415</v>
      </c>
      <c r="R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 s="3">
        <v>42562</v>
      </c>
      <c r="AC2425" t="s">
        <v>53</v>
      </c>
      <c r="AD2425" t="s">
        <v>53</v>
      </c>
      <c r="AK2425">
        <v>0</v>
      </c>
      <c r="AU2425" s="3">
        <v>42464</v>
      </c>
      <c r="AV2425" s="3">
        <v>42464</v>
      </c>
      <c r="AW2425" t="s">
        <v>54</v>
      </c>
      <c r="AX2425" t="str">
        <f t="shared" si="304"/>
        <v>FOR</v>
      </c>
      <c r="AY2425" t="s">
        <v>55</v>
      </c>
    </row>
    <row r="2426" spans="1:51">
      <c r="A2426">
        <v>104009</v>
      </c>
      <c r="B2426" t="s">
        <v>346</v>
      </c>
      <c r="C2426" t="str">
        <f t="shared" si="306"/>
        <v>08641790152</v>
      </c>
      <c r="D2426" t="str">
        <f t="shared" si="306"/>
        <v>08641790152</v>
      </c>
      <c r="E2426" t="s">
        <v>52</v>
      </c>
      <c r="F2426">
        <v>2015</v>
      </c>
      <c r="G2426" t="str">
        <f>"             F087275"</f>
        <v xml:space="preserve">             F087275</v>
      </c>
      <c r="H2426" s="3">
        <v>42208</v>
      </c>
      <c r="I2426" s="3">
        <v>42212</v>
      </c>
      <c r="J2426" s="3">
        <v>42209</v>
      </c>
      <c r="K2426" s="3">
        <v>42269</v>
      </c>
      <c r="L2426" s="5">
        <v>1785</v>
      </c>
      <c r="M2426">
        <v>195</v>
      </c>
      <c r="N2426" s="5">
        <v>348075</v>
      </c>
      <c r="O2426" s="4">
        <v>1785</v>
      </c>
      <c r="P2426">
        <v>195</v>
      </c>
      <c r="Q2426" s="4">
        <v>348075</v>
      </c>
      <c r="R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 s="3">
        <v>42562</v>
      </c>
      <c r="AC2426" t="s">
        <v>53</v>
      </c>
      <c r="AD2426" t="s">
        <v>53</v>
      </c>
      <c r="AK2426">
        <v>0</v>
      </c>
      <c r="AU2426" s="3">
        <v>42464</v>
      </c>
      <c r="AV2426" s="3">
        <v>42464</v>
      </c>
      <c r="AW2426" t="s">
        <v>54</v>
      </c>
      <c r="AX2426" t="str">
        <f t="shared" si="304"/>
        <v>FOR</v>
      </c>
      <c r="AY2426" t="s">
        <v>55</v>
      </c>
    </row>
    <row r="2427" spans="1:51">
      <c r="A2427">
        <v>104009</v>
      </c>
      <c r="B2427" t="s">
        <v>346</v>
      </c>
      <c r="C2427" t="str">
        <f t="shared" si="306"/>
        <v>08641790152</v>
      </c>
      <c r="D2427" t="str">
        <f t="shared" si="306"/>
        <v>08641790152</v>
      </c>
      <c r="E2427" t="s">
        <v>52</v>
      </c>
      <c r="F2427">
        <v>2015</v>
      </c>
      <c r="G2427" t="str">
        <f>"             F088255"</f>
        <v xml:space="preserve">             F088255</v>
      </c>
      <c r="H2427" s="3">
        <v>42212</v>
      </c>
      <c r="I2427" s="3">
        <v>42215</v>
      </c>
      <c r="J2427" s="3">
        <v>42213</v>
      </c>
      <c r="K2427" s="3">
        <v>42273</v>
      </c>
      <c r="L2427" s="1">
        <v>950</v>
      </c>
      <c r="M2427">
        <v>191</v>
      </c>
      <c r="N2427" s="5">
        <v>181450</v>
      </c>
      <c r="O2427">
        <v>950</v>
      </c>
      <c r="P2427">
        <v>191</v>
      </c>
      <c r="Q2427" s="4">
        <v>181450</v>
      </c>
      <c r="R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 s="3">
        <v>42562</v>
      </c>
      <c r="AC2427" t="s">
        <v>53</v>
      </c>
      <c r="AD2427" t="s">
        <v>53</v>
      </c>
      <c r="AK2427">
        <v>0</v>
      </c>
      <c r="AU2427" s="3">
        <v>42464</v>
      </c>
      <c r="AV2427" s="3">
        <v>42464</v>
      </c>
      <c r="AW2427" t="s">
        <v>54</v>
      </c>
      <c r="AX2427" t="str">
        <f t="shared" si="304"/>
        <v>FOR</v>
      </c>
      <c r="AY2427" t="s">
        <v>55</v>
      </c>
    </row>
    <row r="2428" spans="1:51">
      <c r="A2428">
        <v>104009</v>
      </c>
      <c r="B2428" t="s">
        <v>346</v>
      </c>
      <c r="C2428" t="str">
        <f t="shared" si="306"/>
        <v>08641790152</v>
      </c>
      <c r="D2428" t="str">
        <f t="shared" si="306"/>
        <v>08641790152</v>
      </c>
      <c r="E2428" t="s">
        <v>52</v>
      </c>
      <c r="F2428">
        <v>2015</v>
      </c>
      <c r="G2428" t="str">
        <f>"             F088307"</f>
        <v xml:space="preserve">             F088307</v>
      </c>
      <c r="H2428" s="3">
        <v>42212</v>
      </c>
      <c r="I2428" s="3">
        <v>42215</v>
      </c>
      <c r="J2428" s="3">
        <v>42213</v>
      </c>
      <c r="K2428" s="3">
        <v>42273</v>
      </c>
      <c r="L2428" s="5">
        <v>1879.2</v>
      </c>
      <c r="M2428">
        <v>191</v>
      </c>
      <c r="N2428" s="5">
        <v>358927.2</v>
      </c>
      <c r="O2428" s="4">
        <v>1879.2</v>
      </c>
      <c r="P2428">
        <v>191</v>
      </c>
      <c r="Q2428" s="4">
        <v>358927.2</v>
      </c>
      <c r="R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 s="3">
        <v>42562</v>
      </c>
      <c r="AC2428" t="s">
        <v>53</v>
      </c>
      <c r="AD2428" t="s">
        <v>53</v>
      </c>
      <c r="AK2428">
        <v>0</v>
      </c>
      <c r="AU2428" s="3">
        <v>42464</v>
      </c>
      <c r="AV2428" s="3">
        <v>42464</v>
      </c>
      <c r="AW2428" t="s">
        <v>54</v>
      </c>
      <c r="AX2428" t="str">
        <f t="shared" si="304"/>
        <v>FOR</v>
      </c>
      <c r="AY2428" t="s">
        <v>55</v>
      </c>
    </row>
    <row r="2429" spans="1:51">
      <c r="A2429">
        <v>104009</v>
      </c>
      <c r="B2429" t="s">
        <v>346</v>
      </c>
      <c r="C2429" t="str">
        <f t="shared" si="306"/>
        <v>08641790152</v>
      </c>
      <c r="D2429" t="str">
        <f t="shared" si="306"/>
        <v>08641790152</v>
      </c>
      <c r="E2429" t="s">
        <v>52</v>
      </c>
      <c r="F2429">
        <v>2015</v>
      </c>
      <c r="G2429" t="str">
        <f>"             F088330"</f>
        <v xml:space="preserve">             F088330</v>
      </c>
      <c r="H2429" s="3">
        <v>42212</v>
      </c>
      <c r="I2429" s="3">
        <v>42215</v>
      </c>
      <c r="J2429" s="3">
        <v>42213</v>
      </c>
      <c r="K2429" s="3">
        <v>42273</v>
      </c>
      <c r="L2429" s="1">
        <v>928</v>
      </c>
      <c r="M2429">
        <v>191</v>
      </c>
      <c r="N2429" s="5">
        <v>177248</v>
      </c>
      <c r="O2429">
        <v>928</v>
      </c>
      <c r="P2429">
        <v>191</v>
      </c>
      <c r="Q2429" s="4">
        <v>177248</v>
      </c>
      <c r="R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 s="3">
        <v>42562</v>
      </c>
      <c r="AC2429" t="s">
        <v>53</v>
      </c>
      <c r="AD2429" t="s">
        <v>53</v>
      </c>
      <c r="AK2429">
        <v>0</v>
      </c>
      <c r="AU2429" s="3">
        <v>42464</v>
      </c>
      <c r="AV2429" s="3">
        <v>42464</v>
      </c>
      <c r="AW2429" t="s">
        <v>54</v>
      </c>
      <c r="AX2429" t="str">
        <f t="shared" si="304"/>
        <v>FOR</v>
      </c>
      <c r="AY2429" t="s">
        <v>55</v>
      </c>
    </row>
    <row r="2430" spans="1:51">
      <c r="A2430">
        <v>104009</v>
      </c>
      <c r="B2430" t="s">
        <v>346</v>
      </c>
      <c r="C2430" t="str">
        <f t="shared" si="306"/>
        <v>08641790152</v>
      </c>
      <c r="D2430" t="str">
        <f t="shared" si="306"/>
        <v>08641790152</v>
      </c>
      <c r="E2430" t="s">
        <v>52</v>
      </c>
      <c r="F2430">
        <v>2015</v>
      </c>
      <c r="G2430" t="str">
        <f>"             F088346"</f>
        <v xml:space="preserve">             F088346</v>
      </c>
      <c r="H2430" s="3">
        <v>42212</v>
      </c>
      <c r="I2430" s="3">
        <v>42215</v>
      </c>
      <c r="J2430" s="3">
        <v>42213</v>
      </c>
      <c r="K2430" s="3">
        <v>42273</v>
      </c>
      <c r="L2430" s="5">
        <v>1080</v>
      </c>
      <c r="M2430">
        <v>191</v>
      </c>
      <c r="N2430" s="5">
        <v>206280</v>
      </c>
      <c r="O2430" s="4">
        <v>1080</v>
      </c>
      <c r="P2430">
        <v>191</v>
      </c>
      <c r="Q2430" s="4">
        <v>206280</v>
      </c>
      <c r="R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 s="3">
        <v>42562</v>
      </c>
      <c r="AC2430" t="s">
        <v>53</v>
      </c>
      <c r="AD2430" t="s">
        <v>53</v>
      </c>
      <c r="AK2430">
        <v>0</v>
      </c>
      <c r="AU2430" s="3">
        <v>42464</v>
      </c>
      <c r="AV2430" s="3">
        <v>42464</v>
      </c>
      <c r="AW2430" t="s">
        <v>54</v>
      </c>
      <c r="AX2430" t="str">
        <f t="shared" si="304"/>
        <v>FOR</v>
      </c>
      <c r="AY2430" t="s">
        <v>55</v>
      </c>
    </row>
    <row r="2431" spans="1:51">
      <c r="A2431">
        <v>104009</v>
      </c>
      <c r="B2431" t="s">
        <v>346</v>
      </c>
      <c r="C2431" t="str">
        <f t="shared" ref="C2431:D2455" si="307">"08641790152"</f>
        <v>08641790152</v>
      </c>
      <c r="D2431" t="str">
        <f t="shared" si="307"/>
        <v>08641790152</v>
      </c>
      <c r="E2431" t="s">
        <v>52</v>
      </c>
      <c r="F2431">
        <v>2015</v>
      </c>
      <c r="G2431" t="str">
        <f>"             F088500"</f>
        <v xml:space="preserve">             F088500</v>
      </c>
      <c r="H2431" s="3">
        <v>42212</v>
      </c>
      <c r="I2431" s="3">
        <v>42215</v>
      </c>
      <c r="J2431" s="3">
        <v>42213</v>
      </c>
      <c r="K2431" s="3">
        <v>42273</v>
      </c>
      <c r="L2431" s="1">
        <v>513.72</v>
      </c>
      <c r="M2431">
        <v>191</v>
      </c>
      <c r="N2431" s="5">
        <v>98120.52</v>
      </c>
      <c r="O2431">
        <v>513.72</v>
      </c>
      <c r="P2431">
        <v>191</v>
      </c>
      <c r="Q2431" s="4">
        <v>98120.52</v>
      </c>
      <c r="R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 s="3">
        <v>42562</v>
      </c>
      <c r="AC2431" t="s">
        <v>53</v>
      </c>
      <c r="AD2431" t="s">
        <v>53</v>
      </c>
      <c r="AK2431">
        <v>0</v>
      </c>
      <c r="AU2431" s="3">
        <v>42464</v>
      </c>
      <c r="AV2431" s="3">
        <v>42464</v>
      </c>
      <c r="AW2431" t="s">
        <v>54</v>
      </c>
      <c r="AX2431" t="str">
        <f t="shared" si="304"/>
        <v>FOR</v>
      </c>
      <c r="AY2431" t="s">
        <v>55</v>
      </c>
    </row>
    <row r="2432" spans="1:51">
      <c r="A2432">
        <v>104009</v>
      </c>
      <c r="B2432" t="s">
        <v>346</v>
      </c>
      <c r="C2432" t="str">
        <f t="shared" si="307"/>
        <v>08641790152</v>
      </c>
      <c r="D2432" t="str">
        <f t="shared" si="307"/>
        <v>08641790152</v>
      </c>
      <c r="E2432" t="s">
        <v>52</v>
      </c>
      <c r="F2432">
        <v>2015</v>
      </c>
      <c r="G2432" t="str">
        <f>"             F088502"</f>
        <v xml:space="preserve">             F088502</v>
      </c>
      <c r="H2432" s="3">
        <v>42212</v>
      </c>
      <c r="I2432" s="3">
        <v>42215</v>
      </c>
      <c r="J2432" s="3">
        <v>42213</v>
      </c>
      <c r="K2432" s="3">
        <v>42273</v>
      </c>
      <c r="L2432" s="1">
        <v>675.36</v>
      </c>
      <c r="M2432">
        <v>191</v>
      </c>
      <c r="N2432" s="5">
        <v>128993.76</v>
      </c>
      <c r="O2432">
        <v>675.36</v>
      </c>
      <c r="P2432">
        <v>191</v>
      </c>
      <c r="Q2432" s="4">
        <v>128993.76</v>
      </c>
      <c r="R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 s="3">
        <v>42562</v>
      </c>
      <c r="AC2432" t="s">
        <v>53</v>
      </c>
      <c r="AD2432" t="s">
        <v>53</v>
      </c>
      <c r="AK2432">
        <v>0</v>
      </c>
      <c r="AU2432" s="3">
        <v>42464</v>
      </c>
      <c r="AV2432" s="3">
        <v>42464</v>
      </c>
      <c r="AW2432" t="s">
        <v>54</v>
      </c>
      <c r="AX2432" t="str">
        <f t="shared" si="304"/>
        <v>FOR</v>
      </c>
      <c r="AY2432" t="s">
        <v>55</v>
      </c>
    </row>
    <row r="2433" spans="1:51">
      <c r="A2433">
        <v>104009</v>
      </c>
      <c r="B2433" t="s">
        <v>346</v>
      </c>
      <c r="C2433" t="str">
        <f t="shared" si="307"/>
        <v>08641790152</v>
      </c>
      <c r="D2433" t="str">
        <f t="shared" si="307"/>
        <v>08641790152</v>
      </c>
      <c r="E2433" t="s">
        <v>52</v>
      </c>
      <c r="F2433">
        <v>2015</v>
      </c>
      <c r="G2433" t="str">
        <f>"             F088625"</f>
        <v xml:space="preserve">             F088625</v>
      </c>
      <c r="H2433" s="3">
        <v>42212</v>
      </c>
      <c r="I2433" s="3">
        <v>42215</v>
      </c>
      <c r="J2433" s="3">
        <v>42213</v>
      </c>
      <c r="K2433" s="3">
        <v>42273</v>
      </c>
      <c r="L2433" s="5">
        <v>2304</v>
      </c>
      <c r="M2433">
        <v>191</v>
      </c>
      <c r="N2433" s="5">
        <v>440064</v>
      </c>
      <c r="O2433" s="4">
        <v>2304</v>
      </c>
      <c r="P2433">
        <v>191</v>
      </c>
      <c r="Q2433" s="4">
        <v>440064</v>
      </c>
      <c r="R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 s="3">
        <v>42562</v>
      </c>
      <c r="AC2433" t="s">
        <v>53</v>
      </c>
      <c r="AD2433" t="s">
        <v>53</v>
      </c>
      <c r="AK2433">
        <v>0</v>
      </c>
      <c r="AU2433" s="3">
        <v>42464</v>
      </c>
      <c r="AV2433" s="3">
        <v>42464</v>
      </c>
      <c r="AW2433" t="s">
        <v>54</v>
      </c>
      <c r="AX2433" t="str">
        <f t="shared" si="304"/>
        <v>FOR</v>
      </c>
      <c r="AY2433" t="s">
        <v>55</v>
      </c>
    </row>
    <row r="2434" spans="1:51">
      <c r="A2434">
        <v>104009</v>
      </c>
      <c r="B2434" t="s">
        <v>346</v>
      </c>
      <c r="C2434" t="str">
        <f t="shared" si="307"/>
        <v>08641790152</v>
      </c>
      <c r="D2434" t="str">
        <f t="shared" si="307"/>
        <v>08641790152</v>
      </c>
      <c r="E2434" t="s">
        <v>52</v>
      </c>
      <c r="F2434">
        <v>2015</v>
      </c>
      <c r="G2434" t="str">
        <f>"             F089987"</f>
        <v xml:space="preserve">             F089987</v>
      </c>
      <c r="H2434" s="3">
        <v>42215</v>
      </c>
      <c r="I2434" s="3">
        <v>42217</v>
      </c>
      <c r="J2434" s="3">
        <v>42216</v>
      </c>
      <c r="K2434" s="3">
        <v>42276</v>
      </c>
      <c r="L2434" s="1">
        <v>720</v>
      </c>
      <c r="M2434">
        <v>188</v>
      </c>
      <c r="N2434" s="5">
        <v>135360</v>
      </c>
      <c r="O2434">
        <v>720</v>
      </c>
      <c r="P2434">
        <v>188</v>
      </c>
      <c r="Q2434" s="4">
        <v>135360</v>
      </c>
      <c r="R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 s="3">
        <v>42562</v>
      </c>
      <c r="AC2434" t="s">
        <v>53</v>
      </c>
      <c r="AD2434" t="s">
        <v>53</v>
      </c>
      <c r="AK2434">
        <v>0</v>
      </c>
      <c r="AU2434" s="3">
        <v>42464</v>
      </c>
      <c r="AV2434" s="3">
        <v>42464</v>
      </c>
      <c r="AW2434" t="s">
        <v>54</v>
      </c>
      <c r="AX2434" t="str">
        <f t="shared" si="304"/>
        <v>FOR</v>
      </c>
      <c r="AY2434" t="s">
        <v>55</v>
      </c>
    </row>
    <row r="2435" spans="1:51">
      <c r="A2435">
        <v>104009</v>
      </c>
      <c r="B2435" t="s">
        <v>346</v>
      </c>
      <c r="C2435" t="str">
        <f t="shared" si="307"/>
        <v>08641790152</v>
      </c>
      <c r="D2435" t="str">
        <f t="shared" si="307"/>
        <v>08641790152</v>
      </c>
      <c r="E2435" t="s">
        <v>52</v>
      </c>
      <c r="F2435">
        <v>2015</v>
      </c>
      <c r="G2435" t="str">
        <f>"             F093427"</f>
        <v xml:space="preserve">             F093427</v>
      </c>
      <c r="H2435" s="3">
        <v>42227</v>
      </c>
      <c r="I2435" s="3">
        <v>42229</v>
      </c>
      <c r="J2435" s="3">
        <v>42228</v>
      </c>
      <c r="K2435" s="3">
        <v>42288</v>
      </c>
      <c r="L2435" s="1">
        <v>96</v>
      </c>
      <c r="M2435">
        <v>185</v>
      </c>
      <c r="N2435" s="5">
        <v>17760</v>
      </c>
      <c r="O2435">
        <v>96</v>
      </c>
      <c r="P2435">
        <v>185</v>
      </c>
      <c r="Q2435" s="4">
        <v>17760</v>
      </c>
      <c r="R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 s="3">
        <v>42562</v>
      </c>
      <c r="AC2435" t="s">
        <v>53</v>
      </c>
      <c r="AD2435" t="s">
        <v>53</v>
      </c>
      <c r="AK2435">
        <v>0</v>
      </c>
      <c r="AU2435" s="3">
        <v>42473</v>
      </c>
      <c r="AV2435" s="3">
        <v>42473</v>
      </c>
      <c r="AW2435" t="s">
        <v>54</v>
      </c>
      <c r="AX2435" t="str">
        <f t="shared" si="304"/>
        <v>FOR</v>
      </c>
      <c r="AY2435" t="s">
        <v>55</v>
      </c>
    </row>
    <row r="2436" spans="1:51">
      <c r="A2436">
        <v>104009</v>
      </c>
      <c r="B2436" t="s">
        <v>346</v>
      </c>
      <c r="C2436" t="str">
        <f t="shared" si="307"/>
        <v>08641790152</v>
      </c>
      <c r="D2436" t="str">
        <f t="shared" si="307"/>
        <v>08641790152</v>
      </c>
      <c r="E2436" t="s">
        <v>52</v>
      </c>
      <c r="F2436">
        <v>2015</v>
      </c>
      <c r="G2436" t="str">
        <f>"             F093813"</f>
        <v xml:space="preserve">             F093813</v>
      </c>
      <c r="H2436" s="3">
        <v>42228</v>
      </c>
      <c r="I2436" s="3">
        <v>42230</v>
      </c>
      <c r="J2436" s="3">
        <v>42229</v>
      </c>
      <c r="K2436" s="3">
        <v>42289</v>
      </c>
      <c r="L2436" s="1">
        <v>519</v>
      </c>
      <c r="M2436">
        <v>184</v>
      </c>
      <c r="N2436" s="5">
        <v>95496</v>
      </c>
      <c r="O2436">
        <v>519</v>
      </c>
      <c r="P2436">
        <v>184</v>
      </c>
      <c r="Q2436" s="4">
        <v>95496</v>
      </c>
      <c r="R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 s="3">
        <v>42562</v>
      </c>
      <c r="AC2436" t="s">
        <v>53</v>
      </c>
      <c r="AD2436" t="s">
        <v>53</v>
      </c>
      <c r="AK2436">
        <v>0</v>
      </c>
      <c r="AU2436" s="3">
        <v>42473</v>
      </c>
      <c r="AV2436" s="3">
        <v>42473</v>
      </c>
      <c r="AW2436" t="s">
        <v>54</v>
      </c>
      <c r="AX2436" t="str">
        <f t="shared" si="304"/>
        <v>FOR</v>
      </c>
      <c r="AY2436" t="s">
        <v>55</v>
      </c>
    </row>
    <row r="2437" spans="1:51">
      <c r="A2437">
        <v>104009</v>
      </c>
      <c r="B2437" t="s">
        <v>346</v>
      </c>
      <c r="C2437" t="str">
        <f t="shared" si="307"/>
        <v>08641790152</v>
      </c>
      <c r="D2437" t="str">
        <f t="shared" si="307"/>
        <v>08641790152</v>
      </c>
      <c r="E2437" t="s">
        <v>52</v>
      </c>
      <c r="F2437">
        <v>2015</v>
      </c>
      <c r="G2437" t="str">
        <f>"             F095563"</f>
        <v xml:space="preserve">             F095563</v>
      </c>
      <c r="H2437" s="3">
        <v>42237</v>
      </c>
      <c r="I2437" s="3">
        <v>42241</v>
      </c>
      <c r="J2437" s="3">
        <v>42238</v>
      </c>
      <c r="K2437" s="3">
        <v>42298</v>
      </c>
      <c r="L2437" s="1">
        <v>850</v>
      </c>
      <c r="M2437">
        <v>175</v>
      </c>
      <c r="N2437" s="5">
        <v>148750</v>
      </c>
      <c r="O2437">
        <v>850</v>
      </c>
      <c r="P2437">
        <v>175</v>
      </c>
      <c r="Q2437" s="4">
        <v>148750</v>
      </c>
      <c r="R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 s="3">
        <v>42562</v>
      </c>
      <c r="AC2437" t="s">
        <v>53</v>
      </c>
      <c r="AD2437" t="s">
        <v>53</v>
      </c>
      <c r="AK2437">
        <v>0</v>
      </c>
      <c r="AU2437" s="3">
        <v>42473</v>
      </c>
      <c r="AV2437" s="3">
        <v>42473</v>
      </c>
      <c r="AW2437" t="s">
        <v>54</v>
      </c>
      <c r="AX2437" t="str">
        <f t="shared" si="304"/>
        <v>FOR</v>
      </c>
      <c r="AY2437" t="s">
        <v>55</v>
      </c>
    </row>
    <row r="2438" spans="1:51">
      <c r="A2438">
        <v>104009</v>
      </c>
      <c r="B2438" t="s">
        <v>346</v>
      </c>
      <c r="C2438" t="str">
        <f t="shared" si="307"/>
        <v>08641790152</v>
      </c>
      <c r="D2438" t="str">
        <f t="shared" si="307"/>
        <v>08641790152</v>
      </c>
      <c r="E2438" t="s">
        <v>52</v>
      </c>
      <c r="F2438">
        <v>2015</v>
      </c>
      <c r="G2438" t="str">
        <f>"             F097033"</f>
        <v xml:space="preserve">             F097033</v>
      </c>
      <c r="H2438" s="3">
        <v>42244</v>
      </c>
      <c r="I2438" s="3">
        <v>42248</v>
      </c>
      <c r="J2438" s="3">
        <v>42245</v>
      </c>
      <c r="K2438" s="3">
        <v>42305</v>
      </c>
      <c r="L2438" s="5">
        <v>19560</v>
      </c>
      <c r="M2438">
        <v>168</v>
      </c>
      <c r="N2438" s="5">
        <v>3286080</v>
      </c>
      <c r="O2438" s="4">
        <v>19560</v>
      </c>
      <c r="P2438">
        <v>168</v>
      </c>
      <c r="Q2438" s="4">
        <v>3286080</v>
      </c>
      <c r="R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 s="3">
        <v>42562</v>
      </c>
      <c r="AC2438" t="s">
        <v>53</v>
      </c>
      <c r="AD2438" t="s">
        <v>53</v>
      </c>
      <c r="AK2438">
        <v>0</v>
      </c>
      <c r="AU2438" s="3">
        <v>42473</v>
      </c>
      <c r="AV2438" s="3">
        <v>42473</v>
      </c>
      <c r="AW2438" t="s">
        <v>54</v>
      </c>
      <c r="AX2438" t="str">
        <f t="shared" si="304"/>
        <v>FOR</v>
      </c>
      <c r="AY2438" t="s">
        <v>55</v>
      </c>
    </row>
    <row r="2439" spans="1:51">
      <c r="A2439">
        <v>104009</v>
      </c>
      <c r="B2439" t="s">
        <v>346</v>
      </c>
      <c r="C2439" t="str">
        <f t="shared" si="307"/>
        <v>08641790152</v>
      </c>
      <c r="D2439" t="str">
        <f t="shared" si="307"/>
        <v>08641790152</v>
      </c>
      <c r="E2439" t="s">
        <v>52</v>
      </c>
      <c r="F2439">
        <v>2015</v>
      </c>
      <c r="G2439" t="str">
        <f>"             F097289"</f>
        <v xml:space="preserve">             F097289</v>
      </c>
      <c r="H2439" s="3">
        <v>42244</v>
      </c>
      <c r="I2439" s="3">
        <v>42245</v>
      </c>
      <c r="J2439" s="3">
        <v>42245</v>
      </c>
      <c r="K2439" s="3">
        <v>42305</v>
      </c>
      <c r="L2439" s="5">
        <v>6600</v>
      </c>
      <c r="M2439">
        <v>168</v>
      </c>
      <c r="N2439" s="5">
        <v>1108800</v>
      </c>
      <c r="O2439" s="4">
        <v>6600</v>
      </c>
      <c r="P2439">
        <v>168</v>
      </c>
      <c r="Q2439" s="4">
        <v>1108800</v>
      </c>
      <c r="R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 s="3">
        <v>42562</v>
      </c>
      <c r="AC2439" t="s">
        <v>53</v>
      </c>
      <c r="AD2439" t="s">
        <v>53</v>
      </c>
      <c r="AK2439">
        <v>0</v>
      </c>
      <c r="AU2439" s="3">
        <v>42473</v>
      </c>
      <c r="AV2439" s="3">
        <v>42473</v>
      </c>
      <c r="AW2439" t="s">
        <v>54</v>
      </c>
      <c r="AX2439" t="str">
        <f t="shared" si="304"/>
        <v>FOR</v>
      </c>
      <c r="AY2439" t="s">
        <v>55</v>
      </c>
    </row>
    <row r="2440" spans="1:51">
      <c r="A2440">
        <v>104009</v>
      </c>
      <c r="B2440" t="s">
        <v>346</v>
      </c>
      <c r="C2440" t="str">
        <f t="shared" si="307"/>
        <v>08641790152</v>
      </c>
      <c r="D2440" t="str">
        <f t="shared" si="307"/>
        <v>08641790152</v>
      </c>
      <c r="E2440" t="s">
        <v>52</v>
      </c>
      <c r="F2440">
        <v>2015</v>
      </c>
      <c r="G2440" t="str">
        <f>"             F097707"</f>
        <v xml:space="preserve">             F097707</v>
      </c>
      <c r="H2440" s="3">
        <v>42247</v>
      </c>
      <c r="I2440" s="3">
        <v>42249</v>
      </c>
      <c r="J2440" s="3">
        <v>42248</v>
      </c>
      <c r="K2440" s="3">
        <v>42308</v>
      </c>
      <c r="L2440" s="1">
        <v>292</v>
      </c>
      <c r="M2440">
        <v>165</v>
      </c>
      <c r="N2440" s="5">
        <v>48180</v>
      </c>
      <c r="O2440">
        <v>292</v>
      </c>
      <c r="P2440">
        <v>165</v>
      </c>
      <c r="Q2440" s="4">
        <v>48180</v>
      </c>
      <c r="R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 s="3">
        <v>42562</v>
      </c>
      <c r="AC2440" t="s">
        <v>53</v>
      </c>
      <c r="AD2440" t="s">
        <v>53</v>
      </c>
      <c r="AK2440">
        <v>0</v>
      </c>
      <c r="AU2440" s="3">
        <v>42473</v>
      </c>
      <c r="AV2440" s="3">
        <v>42473</v>
      </c>
      <c r="AW2440" t="s">
        <v>54</v>
      </c>
      <c r="AX2440" t="str">
        <f t="shared" si="304"/>
        <v>FOR</v>
      </c>
      <c r="AY2440" t="s">
        <v>55</v>
      </c>
    </row>
    <row r="2441" spans="1:51">
      <c r="A2441">
        <v>104009</v>
      </c>
      <c r="B2441" t="s">
        <v>346</v>
      </c>
      <c r="C2441" t="str">
        <f t="shared" si="307"/>
        <v>08641790152</v>
      </c>
      <c r="D2441" t="str">
        <f t="shared" si="307"/>
        <v>08641790152</v>
      </c>
      <c r="E2441" t="s">
        <v>52</v>
      </c>
      <c r="F2441">
        <v>2015</v>
      </c>
      <c r="G2441" t="str">
        <f>"             F099597"</f>
        <v xml:space="preserve">             F099597</v>
      </c>
      <c r="H2441" s="3">
        <v>42254</v>
      </c>
      <c r="I2441" s="3">
        <v>42255</v>
      </c>
      <c r="J2441" s="3">
        <v>42255</v>
      </c>
      <c r="K2441" s="3">
        <v>42315</v>
      </c>
      <c r="L2441" s="5">
        <v>2550</v>
      </c>
      <c r="M2441">
        <v>158</v>
      </c>
      <c r="N2441" s="5">
        <v>402900</v>
      </c>
      <c r="O2441" s="4">
        <v>2550</v>
      </c>
      <c r="P2441">
        <v>158</v>
      </c>
      <c r="Q2441" s="4">
        <v>402900</v>
      </c>
      <c r="R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 s="3">
        <v>42562</v>
      </c>
      <c r="AC2441" t="s">
        <v>53</v>
      </c>
      <c r="AD2441" t="s">
        <v>53</v>
      </c>
      <c r="AK2441">
        <v>0</v>
      </c>
      <c r="AU2441" s="3">
        <v>42473</v>
      </c>
      <c r="AV2441" s="3">
        <v>42473</v>
      </c>
      <c r="AW2441" t="s">
        <v>54</v>
      </c>
      <c r="AX2441" t="str">
        <f t="shared" si="304"/>
        <v>FOR</v>
      </c>
      <c r="AY2441" t="s">
        <v>55</v>
      </c>
    </row>
    <row r="2442" spans="1:51">
      <c r="A2442">
        <v>104009</v>
      </c>
      <c r="B2442" t="s">
        <v>346</v>
      </c>
      <c r="C2442" t="str">
        <f t="shared" si="307"/>
        <v>08641790152</v>
      </c>
      <c r="D2442" t="str">
        <f t="shared" si="307"/>
        <v>08641790152</v>
      </c>
      <c r="E2442" t="s">
        <v>52</v>
      </c>
      <c r="F2442">
        <v>2015</v>
      </c>
      <c r="G2442" t="str">
        <f>"             F101872"</f>
        <v xml:space="preserve">             F101872</v>
      </c>
      <c r="H2442" s="3">
        <v>42261</v>
      </c>
      <c r="I2442" s="3">
        <v>42263</v>
      </c>
      <c r="J2442" s="3">
        <v>42262</v>
      </c>
      <c r="K2442" s="3">
        <v>42322</v>
      </c>
      <c r="L2442" s="1">
        <v>960</v>
      </c>
      <c r="M2442">
        <v>151</v>
      </c>
      <c r="N2442" s="5">
        <v>144960</v>
      </c>
      <c r="O2442">
        <v>960</v>
      </c>
      <c r="P2442">
        <v>151</v>
      </c>
      <c r="Q2442" s="4">
        <v>144960</v>
      </c>
      <c r="R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 s="3">
        <v>42562</v>
      </c>
      <c r="AC2442" t="s">
        <v>53</v>
      </c>
      <c r="AD2442" t="s">
        <v>53</v>
      </c>
      <c r="AK2442">
        <v>0</v>
      </c>
      <c r="AU2442" s="3">
        <v>42473</v>
      </c>
      <c r="AV2442" s="3">
        <v>42473</v>
      </c>
      <c r="AW2442" t="s">
        <v>54</v>
      </c>
      <c r="AX2442" t="str">
        <f t="shared" si="304"/>
        <v>FOR</v>
      </c>
      <c r="AY2442" t="s">
        <v>55</v>
      </c>
    </row>
    <row r="2443" spans="1:51">
      <c r="A2443">
        <v>104009</v>
      </c>
      <c r="B2443" t="s">
        <v>346</v>
      </c>
      <c r="C2443" t="str">
        <f t="shared" si="307"/>
        <v>08641790152</v>
      </c>
      <c r="D2443" t="str">
        <f t="shared" si="307"/>
        <v>08641790152</v>
      </c>
      <c r="E2443" t="s">
        <v>52</v>
      </c>
      <c r="F2443">
        <v>2015</v>
      </c>
      <c r="G2443" t="str">
        <f>"             F101934"</f>
        <v xml:space="preserve">             F101934</v>
      </c>
      <c r="H2443" s="3">
        <v>42261</v>
      </c>
      <c r="I2443" s="3">
        <v>42263</v>
      </c>
      <c r="J2443" s="3">
        <v>42262</v>
      </c>
      <c r="K2443" s="3">
        <v>42322</v>
      </c>
      <c r="L2443" s="1">
        <v>960</v>
      </c>
      <c r="M2443">
        <v>151</v>
      </c>
      <c r="N2443" s="5">
        <v>144960</v>
      </c>
      <c r="O2443">
        <v>960</v>
      </c>
      <c r="P2443">
        <v>151</v>
      </c>
      <c r="Q2443" s="4">
        <v>144960</v>
      </c>
      <c r="R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 s="3">
        <v>42562</v>
      </c>
      <c r="AC2443" t="s">
        <v>53</v>
      </c>
      <c r="AD2443" t="s">
        <v>53</v>
      </c>
      <c r="AK2443">
        <v>0</v>
      </c>
      <c r="AU2443" s="3">
        <v>42473</v>
      </c>
      <c r="AV2443" s="3">
        <v>42473</v>
      </c>
      <c r="AW2443" t="s">
        <v>54</v>
      </c>
      <c r="AX2443" t="str">
        <f t="shared" ref="AX2443:AX2462" si="308">"FOR"</f>
        <v>FOR</v>
      </c>
      <c r="AY2443" t="s">
        <v>55</v>
      </c>
    </row>
    <row r="2444" spans="1:51">
      <c r="A2444">
        <v>104009</v>
      </c>
      <c r="B2444" t="s">
        <v>346</v>
      </c>
      <c r="C2444" t="str">
        <f t="shared" si="307"/>
        <v>08641790152</v>
      </c>
      <c r="D2444" t="str">
        <f t="shared" si="307"/>
        <v>08641790152</v>
      </c>
      <c r="E2444" t="s">
        <v>52</v>
      </c>
      <c r="F2444">
        <v>2015</v>
      </c>
      <c r="G2444" t="str">
        <f>"             F103943"</f>
        <v xml:space="preserve">             F103943</v>
      </c>
      <c r="H2444" s="3">
        <v>42265</v>
      </c>
      <c r="I2444" s="3">
        <v>42268</v>
      </c>
      <c r="J2444" s="3">
        <v>42266</v>
      </c>
      <c r="K2444" s="3">
        <v>42326</v>
      </c>
      <c r="L2444" s="5">
        <v>10200</v>
      </c>
      <c r="M2444">
        <v>147</v>
      </c>
      <c r="N2444" s="5">
        <v>1499400</v>
      </c>
      <c r="O2444" s="4">
        <v>10200</v>
      </c>
      <c r="P2444">
        <v>147</v>
      </c>
      <c r="Q2444" s="4">
        <v>1499400</v>
      </c>
      <c r="R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 s="3">
        <v>42562</v>
      </c>
      <c r="AC2444" t="s">
        <v>53</v>
      </c>
      <c r="AD2444" t="s">
        <v>53</v>
      </c>
      <c r="AK2444">
        <v>0</v>
      </c>
      <c r="AU2444" s="3">
        <v>42473</v>
      </c>
      <c r="AV2444" s="3">
        <v>42473</v>
      </c>
      <c r="AW2444" t="s">
        <v>54</v>
      </c>
      <c r="AX2444" t="str">
        <f t="shared" si="308"/>
        <v>FOR</v>
      </c>
      <c r="AY2444" t="s">
        <v>55</v>
      </c>
    </row>
    <row r="2445" spans="1:51">
      <c r="A2445">
        <v>104009</v>
      </c>
      <c r="B2445" t="s">
        <v>346</v>
      </c>
      <c r="C2445" t="str">
        <f t="shared" si="307"/>
        <v>08641790152</v>
      </c>
      <c r="D2445" t="str">
        <f t="shared" si="307"/>
        <v>08641790152</v>
      </c>
      <c r="E2445" t="s">
        <v>52</v>
      </c>
      <c r="F2445">
        <v>2015</v>
      </c>
      <c r="G2445" t="str">
        <f>"             F104351"</f>
        <v xml:space="preserve">             F104351</v>
      </c>
      <c r="H2445" s="3">
        <v>42268</v>
      </c>
      <c r="I2445" s="3">
        <v>42269</v>
      </c>
      <c r="J2445" s="3">
        <v>42269</v>
      </c>
      <c r="K2445" s="3">
        <v>42329</v>
      </c>
      <c r="L2445" s="1">
        <v>588</v>
      </c>
      <c r="M2445">
        <v>144</v>
      </c>
      <c r="N2445" s="5">
        <v>84672</v>
      </c>
      <c r="O2445">
        <v>588</v>
      </c>
      <c r="P2445">
        <v>144</v>
      </c>
      <c r="Q2445" s="4">
        <v>84672</v>
      </c>
      <c r="R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 s="3">
        <v>42562</v>
      </c>
      <c r="AC2445" t="s">
        <v>53</v>
      </c>
      <c r="AD2445" t="s">
        <v>53</v>
      </c>
      <c r="AK2445">
        <v>0</v>
      </c>
      <c r="AU2445" s="3">
        <v>42473</v>
      </c>
      <c r="AV2445" s="3">
        <v>42473</v>
      </c>
      <c r="AW2445" t="s">
        <v>54</v>
      </c>
      <c r="AX2445" t="str">
        <f t="shared" si="308"/>
        <v>FOR</v>
      </c>
      <c r="AY2445" t="s">
        <v>55</v>
      </c>
    </row>
    <row r="2446" spans="1:51">
      <c r="A2446">
        <v>104009</v>
      </c>
      <c r="B2446" t="s">
        <v>346</v>
      </c>
      <c r="C2446" t="str">
        <f t="shared" si="307"/>
        <v>08641790152</v>
      </c>
      <c r="D2446" t="str">
        <f t="shared" si="307"/>
        <v>08641790152</v>
      </c>
      <c r="E2446" t="s">
        <v>52</v>
      </c>
      <c r="F2446">
        <v>2015</v>
      </c>
      <c r="G2446" t="str">
        <f>"             F104355"</f>
        <v xml:space="preserve">             F104355</v>
      </c>
      <c r="H2446" s="3">
        <v>42268</v>
      </c>
      <c r="I2446" s="3">
        <v>42269</v>
      </c>
      <c r="J2446" s="3">
        <v>42269</v>
      </c>
      <c r="K2446" s="3">
        <v>42329</v>
      </c>
      <c r="L2446" s="1">
        <v>426</v>
      </c>
      <c r="M2446">
        <v>144</v>
      </c>
      <c r="N2446" s="5">
        <v>61344</v>
      </c>
      <c r="O2446">
        <v>426</v>
      </c>
      <c r="P2446">
        <v>144</v>
      </c>
      <c r="Q2446" s="4">
        <v>61344</v>
      </c>
      <c r="R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 s="3">
        <v>42562</v>
      </c>
      <c r="AC2446" t="s">
        <v>53</v>
      </c>
      <c r="AD2446" t="s">
        <v>53</v>
      </c>
      <c r="AK2446">
        <v>0</v>
      </c>
      <c r="AU2446" s="3">
        <v>42473</v>
      </c>
      <c r="AV2446" s="3">
        <v>42473</v>
      </c>
      <c r="AW2446" t="s">
        <v>54</v>
      </c>
      <c r="AX2446" t="str">
        <f t="shared" si="308"/>
        <v>FOR</v>
      </c>
      <c r="AY2446" t="s">
        <v>55</v>
      </c>
    </row>
    <row r="2447" spans="1:51">
      <c r="A2447">
        <v>104009</v>
      </c>
      <c r="B2447" t="s">
        <v>346</v>
      </c>
      <c r="C2447" t="str">
        <f t="shared" si="307"/>
        <v>08641790152</v>
      </c>
      <c r="D2447" t="str">
        <f t="shared" si="307"/>
        <v>08641790152</v>
      </c>
      <c r="E2447" t="s">
        <v>52</v>
      </c>
      <c r="F2447">
        <v>2015</v>
      </c>
      <c r="G2447" t="str">
        <f>"             F104573"</f>
        <v xml:space="preserve">             F104573</v>
      </c>
      <c r="H2447" s="3">
        <v>42268</v>
      </c>
      <c r="I2447" s="3">
        <v>42269</v>
      </c>
      <c r="J2447" s="3">
        <v>42269</v>
      </c>
      <c r="K2447" s="3">
        <v>42329</v>
      </c>
      <c r="L2447" s="5">
        <v>10030</v>
      </c>
      <c r="M2447">
        <v>144</v>
      </c>
      <c r="N2447" s="5">
        <v>1444320</v>
      </c>
      <c r="O2447" s="4">
        <v>10030</v>
      </c>
      <c r="P2447">
        <v>144</v>
      </c>
      <c r="Q2447" s="4">
        <v>1444320</v>
      </c>
      <c r="R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 s="3">
        <v>42562</v>
      </c>
      <c r="AC2447" t="s">
        <v>53</v>
      </c>
      <c r="AD2447" t="s">
        <v>53</v>
      </c>
      <c r="AK2447">
        <v>0</v>
      </c>
      <c r="AU2447" s="3">
        <v>42473</v>
      </c>
      <c r="AV2447" s="3">
        <v>42473</v>
      </c>
      <c r="AW2447" t="s">
        <v>54</v>
      </c>
      <c r="AX2447" t="str">
        <f t="shared" si="308"/>
        <v>FOR</v>
      </c>
      <c r="AY2447" t="s">
        <v>55</v>
      </c>
    </row>
    <row r="2448" spans="1:51">
      <c r="A2448">
        <v>104009</v>
      </c>
      <c r="B2448" t="s">
        <v>346</v>
      </c>
      <c r="C2448" t="str">
        <f t="shared" si="307"/>
        <v>08641790152</v>
      </c>
      <c r="D2448" t="str">
        <f t="shared" si="307"/>
        <v>08641790152</v>
      </c>
      <c r="E2448" t="s">
        <v>52</v>
      </c>
      <c r="F2448">
        <v>2015</v>
      </c>
      <c r="G2448" t="str">
        <f>"             F104630"</f>
        <v xml:space="preserve">             F104630</v>
      </c>
      <c r="H2448" s="3">
        <v>42268</v>
      </c>
      <c r="I2448" s="3">
        <v>42269</v>
      </c>
      <c r="J2448" s="3">
        <v>42269</v>
      </c>
      <c r="K2448" s="3">
        <v>42329</v>
      </c>
      <c r="L2448" s="5">
        <v>12000</v>
      </c>
      <c r="M2448">
        <v>144</v>
      </c>
      <c r="N2448" s="5">
        <v>1728000</v>
      </c>
      <c r="O2448" s="4">
        <v>12000</v>
      </c>
      <c r="P2448">
        <v>144</v>
      </c>
      <c r="Q2448" s="4">
        <v>1728000</v>
      </c>
      <c r="R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 s="3">
        <v>42562</v>
      </c>
      <c r="AC2448" t="s">
        <v>53</v>
      </c>
      <c r="AD2448" t="s">
        <v>53</v>
      </c>
      <c r="AK2448">
        <v>0</v>
      </c>
      <c r="AU2448" s="3">
        <v>42473</v>
      </c>
      <c r="AV2448" s="3">
        <v>42473</v>
      </c>
      <c r="AW2448" t="s">
        <v>54</v>
      </c>
      <c r="AX2448" t="str">
        <f t="shared" si="308"/>
        <v>FOR</v>
      </c>
      <c r="AY2448" t="s">
        <v>55</v>
      </c>
    </row>
    <row r="2449" spans="1:51">
      <c r="A2449">
        <v>104009</v>
      </c>
      <c r="B2449" t="s">
        <v>346</v>
      </c>
      <c r="C2449" t="str">
        <f t="shared" si="307"/>
        <v>08641790152</v>
      </c>
      <c r="D2449" t="str">
        <f t="shared" si="307"/>
        <v>08641790152</v>
      </c>
      <c r="E2449" t="s">
        <v>52</v>
      </c>
      <c r="F2449">
        <v>2015</v>
      </c>
      <c r="G2449" t="str">
        <f>"             F104640"</f>
        <v xml:space="preserve">             F104640</v>
      </c>
      <c r="H2449" s="3">
        <v>42268</v>
      </c>
      <c r="I2449" s="3">
        <v>42269</v>
      </c>
      <c r="J2449" s="3">
        <v>42269</v>
      </c>
      <c r="K2449" s="3">
        <v>42329</v>
      </c>
      <c r="L2449" s="5">
        <v>4000</v>
      </c>
      <c r="M2449">
        <v>144</v>
      </c>
      <c r="N2449" s="5">
        <v>576000</v>
      </c>
      <c r="O2449" s="4">
        <v>4000</v>
      </c>
      <c r="P2449">
        <v>144</v>
      </c>
      <c r="Q2449" s="4">
        <v>576000</v>
      </c>
      <c r="R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 s="3">
        <v>42562</v>
      </c>
      <c r="AC2449" t="s">
        <v>53</v>
      </c>
      <c r="AD2449" t="s">
        <v>53</v>
      </c>
      <c r="AK2449">
        <v>0</v>
      </c>
      <c r="AU2449" s="3">
        <v>42473</v>
      </c>
      <c r="AV2449" s="3">
        <v>42473</v>
      </c>
      <c r="AW2449" t="s">
        <v>54</v>
      </c>
      <c r="AX2449" t="str">
        <f t="shared" si="308"/>
        <v>FOR</v>
      </c>
      <c r="AY2449" t="s">
        <v>55</v>
      </c>
    </row>
    <row r="2450" spans="1:51">
      <c r="A2450">
        <v>104009</v>
      </c>
      <c r="B2450" t="s">
        <v>346</v>
      </c>
      <c r="C2450" t="str">
        <f t="shared" si="307"/>
        <v>08641790152</v>
      </c>
      <c r="D2450" t="str">
        <f t="shared" si="307"/>
        <v>08641790152</v>
      </c>
      <c r="E2450" t="s">
        <v>52</v>
      </c>
      <c r="F2450">
        <v>2015</v>
      </c>
      <c r="G2450" t="str">
        <f>"             F104728"</f>
        <v xml:space="preserve">             F104728</v>
      </c>
      <c r="H2450" s="3">
        <v>42269</v>
      </c>
      <c r="I2450" s="3">
        <v>42270</v>
      </c>
      <c r="J2450" s="3">
        <v>42270</v>
      </c>
      <c r="K2450" s="3">
        <v>42330</v>
      </c>
      <c r="L2450" s="1">
        <v>866.7</v>
      </c>
      <c r="M2450">
        <v>143</v>
      </c>
      <c r="N2450" s="5">
        <v>123938.1</v>
      </c>
      <c r="O2450">
        <v>866.7</v>
      </c>
      <c r="P2450">
        <v>143</v>
      </c>
      <c r="Q2450" s="4">
        <v>123938.1</v>
      </c>
      <c r="R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 s="3">
        <v>42562</v>
      </c>
      <c r="AC2450" t="s">
        <v>53</v>
      </c>
      <c r="AD2450" t="s">
        <v>53</v>
      </c>
      <c r="AK2450">
        <v>0</v>
      </c>
      <c r="AU2450" s="3">
        <v>42473</v>
      </c>
      <c r="AV2450" s="3">
        <v>42473</v>
      </c>
      <c r="AW2450" t="s">
        <v>54</v>
      </c>
      <c r="AX2450" t="str">
        <f t="shared" si="308"/>
        <v>FOR</v>
      </c>
      <c r="AY2450" t="s">
        <v>55</v>
      </c>
    </row>
    <row r="2451" spans="1:51">
      <c r="A2451">
        <v>104009</v>
      </c>
      <c r="B2451" t="s">
        <v>346</v>
      </c>
      <c r="C2451" t="str">
        <f t="shared" si="307"/>
        <v>08641790152</v>
      </c>
      <c r="D2451" t="str">
        <f t="shared" si="307"/>
        <v>08641790152</v>
      </c>
      <c r="E2451" t="s">
        <v>52</v>
      </c>
      <c r="F2451">
        <v>2015</v>
      </c>
      <c r="G2451" t="str">
        <f>"             F105237"</f>
        <v xml:space="preserve">             F105237</v>
      </c>
      <c r="H2451" s="3">
        <v>42270</v>
      </c>
      <c r="I2451" s="3">
        <v>42272</v>
      </c>
      <c r="J2451" s="3">
        <v>42271</v>
      </c>
      <c r="K2451" s="3">
        <v>42331</v>
      </c>
      <c r="L2451" s="1">
        <v>950</v>
      </c>
      <c r="M2451">
        <v>142</v>
      </c>
      <c r="N2451" s="5">
        <v>134900</v>
      </c>
      <c r="O2451">
        <v>950</v>
      </c>
      <c r="P2451">
        <v>142</v>
      </c>
      <c r="Q2451" s="4">
        <v>134900</v>
      </c>
      <c r="R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 s="3">
        <v>42562</v>
      </c>
      <c r="AC2451" t="s">
        <v>53</v>
      </c>
      <c r="AD2451" t="s">
        <v>53</v>
      </c>
      <c r="AK2451">
        <v>0</v>
      </c>
      <c r="AU2451" s="3">
        <v>42473</v>
      </c>
      <c r="AV2451" s="3">
        <v>42473</v>
      </c>
      <c r="AW2451" t="s">
        <v>54</v>
      </c>
      <c r="AX2451" t="str">
        <f t="shared" si="308"/>
        <v>FOR</v>
      </c>
      <c r="AY2451" t="s">
        <v>55</v>
      </c>
    </row>
    <row r="2452" spans="1:51" hidden="1">
      <c r="A2452">
        <v>104009</v>
      </c>
      <c r="B2452" t="s">
        <v>346</v>
      </c>
      <c r="C2452" t="str">
        <f t="shared" si="307"/>
        <v>08641790152</v>
      </c>
      <c r="D2452" t="str">
        <f t="shared" si="307"/>
        <v>08641790152</v>
      </c>
      <c r="E2452" t="s">
        <v>52</v>
      </c>
      <c r="F2452">
        <v>2015</v>
      </c>
      <c r="G2452" t="str">
        <f>"             F106550"</f>
        <v xml:space="preserve">             F106550</v>
      </c>
      <c r="H2452" s="3">
        <v>42272</v>
      </c>
      <c r="I2452" s="3">
        <v>42275</v>
      </c>
      <c r="J2452" s="3">
        <v>42273</v>
      </c>
      <c r="K2452" s="3">
        <v>42333</v>
      </c>
      <c r="L2452"/>
      <c r="N2452"/>
      <c r="O2452">
        <v>800</v>
      </c>
      <c r="P2452">
        <v>70</v>
      </c>
      <c r="Q2452" s="4">
        <v>56000</v>
      </c>
      <c r="R2452">
        <v>176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 s="3">
        <v>42562</v>
      </c>
      <c r="AC2452" t="s">
        <v>53</v>
      </c>
      <c r="AD2452" t="s">
        <v>53</v>
      </c>
      <c r="AK2452">
        <v>176</v>
      </c>
      <c r="AU2452" s="3">
        <v>42403</v>
      </c>
      <c r="AV2452" s="3">
        <v>42403</v>
      </c>
      <c r="AW2452" t="s">
        <v>54</v>
      </c>
      <c r="AX2452" t="str">
        <f t="shared" si="308"/>
        <v>FOR</v>
      </c>
      <c r="AY2452" t="s">
        <v>55</v>
      </c>
    </row>
    <row r="2453" spans="1:51">
      <c r="A2453">
        <v>104009</v>
      </c>
      <c r="B2453" t="s">
        <v>346</v>
      </c>
      <c r="C2453" t="str">
        <f t="shared" si="307"/>
        <v>08641790152</v>
      </c>
      <c r="D2453" t="str">
        <f t="shared" si="307"/>
        <v>08641790152</v>
      </c>
      <c r="E2453" t="s">
        <v>52</v>
      </c>
      <c r="F2453">
        <v>2015</v>
      </c>
      <c r="G2453" t="str">
        <f>"             F106869"</f>
        <v xml:space="preserve">             F106869</v>
      </c>
      <c r="H2453" s="3">
        <v>42275</v>
      </c>
      <c r="I2453" s="3">
        <v>42277</v>
      </c>
      <c r="J2453" s="3">
        <v>42276</v>
      </c>
      <c r="K2453" s="3">
        <v>42336</v>
      </c>
      <c r="L2453" s="1">
        <v>912</v>
      </c>
      <c r="M2453">
        <v>137</v>
      </c>
      <c r="N2453" s="5">
        <v>124944</v>
      </c>
      <c r="O2453">
        <v>912</v>
      </c>
      <c r="P2453">
        <v>137</v>
      </c>
      <c r="Q2453" s="4">
        <v>124944</v>
      </c>
      <c r="R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 s="3">
        <v>42562</v>
      </c>
      <c r="AC2453" t="s">
        <v>53</v>
      </c>
      <c r="AD2453" t="s">
        <v>53</v>
      </c>
      <c r="AK2453">
        <v>0</v>
      </c>
      <c r="AU2453" s="3">
        <v>42473</v>
      </c>
      <c r="AV2453" s="3">
        <v>42473</v>
      </c>
      <c r="AW2453" t="s">
        <v>54</v>
      </c>
      <c r="AX2453" t="str">
        <f t="shared" si="308"/>
        <v>FOR</v>
      </c>
      <c r="AY2453" t="s">
        <v>55</v>
      </c>
    </row>
    <row r="2454" spans="1:51">
      <c r="A2454">
        <v>104009</v>
      </c>
      <c r="B2454" t="s">
        <v>346</v>
      </c>
      <c r="C2454" t="str">
        <f t="shared" si="307"/>
        <v>08641790152</v>
      </c>
      <c r="D2454" t="str">
        <f t="shared" si="307"/>
        <v>08641790152</v>
      </c>
      <c r="E2454" t="s">
        <v>52</v>
      </c>
      <c r="F2454">
        <v>2015</v>
      </c>
      <c r="G2454" t="str">
        <f>"             F107424"</f>
        <v xml:space="preserve">             F107424</v>
      </c>
      <c r="H2454" s="3">
        <v>42276</v>
      </c>
      <c r="I2454" s="3">
        <v>42277</v>
      </c>
      <c r="J2454" s="3">
        <v>42277</v>
      </c>
      <c r="K2454" s="3">
        <v>42337</v>
      </c>
      <c r="L2454" s="5">
        <v>1798</v>
      </c>
      <c r="M2454">
        <v>136</v>
      </c>
      <c r="N2454" s="5">
        <v>244528</v>
      </c>
      <c r="O2454" s="4">
        <v>1798</v>
      </c>
      <c r="P2454">
        <v>136</v>
      </c>
      <c r="Q2454" s="4">
        <v>244528</v>
      </c>
      <c r="R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 s="3">
        <v>42562</v>
      </c>
      <c r="AC2454" t="s">
        <v>53</v>
      </c>
      <c r="AD2454" t="s">
        <v>53</v>
      </c>
      <c r="AK2454">
        <v>0</v>
      </c>
      <c r="AU2454" s="3">
        <v>42473</v>
      </c>
      <c r="AV2454" s="3">
        <v>42473</v>
      </c>
      <c r="AW2454" t="s">
        <v>54</v>
      </c>
      <c r="AX2454" t="str">
        <f t="shared" si="308"/>
        <v>FOR</v>
      </c>
      <c r="AY2454" t="s">
        <v>55</v>
      </c>
    </row>
    <row r="2455" spans="1:51">
      <c r="A2455">
        <v>104009</v>
      </c>
      <c r="B2455" t="s">
        <v>346</v>
      </c>
      <c r="C2455" t="str">
        <f t="shared" si="307"/>
        <v>08641790152</v>
      </c>
      <c r="D2455" t="str">
        <f t="shared" si="307"/>
        <v>08641790152</v>
      </c>
      <c r="E2455" t="s">
        <v>52</v>
      </c>
      <c r="F2455">
        <v>2015</v>
      </c>
      <c r="G2455" t="str">
        <f>"            SF001166"</f>
        <v xml:space="preserve">            SF001166</v>
      </c>
      <c r="H2455" s="3">
        <v>42206</v>
      </c>
      <c r="I2455" s="3">
        <v>42233</v>
      </c>
      <c r="J2455" s="3">
        <v>42207</v>
      </c>
      <c r="K2455" s="3">
        <v>42267</v>
      </c>
      <c r="L2455" s="1">
        <v>233.58</v>
      </c>
      <c r="M2455">
        <v>197</v>
      </c>
      <c r="N2455" s="5">
        <v>46015.26</v>
      </c>
      <c r="O2455">
        <v>233.58</v>
      </c>
      <c r="P2455">
        <v>197</v>
      </c>
      <c r="Q2455" s="4">
        <v>46015.26</v>
      </c>
      <c r="R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 s="3">
        <v>42562</v>
      </c>
      <c r="AC2455" t="s">
        <v>53</v>
      </c>
      <c r="AD2455" t="s">
        <v>53</v>
      </c>
      <c r="AK2455">
        <v>0</v>
      </c>
      <c r="AU2455" s="3">
        <v>42464</v>
      </c>
      <c r="AV2455" s="3">
        <v>42464</v>
      </c>
      <c r="AW2455" t="s">
        <v>54</v>
      </c>
      <c r="AX2455" t="str">
        <f t="shared" si="308"/>
        <v>FOR</v>
      </c>
      <c r="AY2455" t="s">
        <v>55</v>
      </c>
    </row>
    <row r="2456" spans="1:51" hidden="1">
      <c r="A2456">
        <v>104024</v>
      </c>
      <c r="B2456" t="s">
        <v>347</v>
      </c>
      <c r="C2456" t="str">
        <f t="shared" ref="C2456:D2462" si="309">"07020730631"</f>
        <v>07020730631</v>
      </c>
      <c r="D2456" t="str">
        <f t="shared" si="309"/>
        <v>07020730631</v>
      </c>
      <c r="E2456" t="s">
        <v>52</v>
      </c>
      <c r="F2456">
        <v>2015</v>
      </c>
      <c r="G2456" t="str">
        <f>"                 117"</f>
        <v xml:space="preserve">                 117</v>
      </c>
      <c r="H2456" s="3">
        <v>42041</v>
      </c>
      <c r="I2456" s="3">
        <v>42048</v>
      </c>
      <c r="J2456" s="3">
        <v>42048</v>
      </c>
      <c r="K2456" s="3">
        <v>42108</v>
      </c>
      <c r="L2456"/>
      <c r="N2456"/>
      <c r="O2456" s="4">
        <v>4322</v>
      </c>
      <c r="P2456">
        <v>293</v>
      </c>
      <c r="Q2456" s="4">
        <v>1266346</v>
      </c>
      <c r="R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 s="3">
        <v>42562</v>
      </c>
      <c r="AC2456" t="s">
        <v>53</v>
      </c>
      <c r="AD2456" t="s">
        <v>53</v>
      </c>
      <c r="AK2456">
        <v>0</v>
      </c>
      <c r="AU2456" s="3">
        <v>42401</v>
      </c>
      <c r="AV2456" s="3">
        <v>42401</v>
      </c>
      <c r="AW2456" t="s">
        <v>54</v>
      </c>
      <c r="AX2456" t="str">
        <f t="shared" si="308"/>
        <v>FOR</v>
      </c>
      <c r="AY2456" t="s">
        <v>55</v>
      </c>
    </row>
    <row r="2457" spans="1:51" hidden="1">
      <c r="A2457">
        <v>104024</v>
      </c>
      <c r="B2457" t="s">
        <v>347</v>
      </c>
      <c r="C2457" t="str">
        <f t="shared" si="309"/>
        <v>07020730631</v>
      </c>
      <c r="D2457" t="str">
        <f t="shared" si="309"/>
        <v>07020730631</v>
      </c>
      <c r="E2457" t="s">
        <v>52</v>
      </c>
      <c r="F2457">
        <v>2015</v>
      </c>
      <c r="G2457" t="str">
        <f>"                 118"</f>
        <v xml:space="preserve">                 118</v>
      </c>
      <c r="H2457" s="3">
        <v>42041</v>
      </c>
      <c r="I2457" s="3">
        <v>42048</v>
      </c>
      <c r="J2457" s="3">
        <v>42048</v>
      </c>
      <c r="K2457" s="3">
        <v>42108</v>
      </c>
      <c r="L2457"/>
      <c r="N2457"/>
      <c r="O2457" s="4">
        <v>10000</v>
      </c>
      <c r="P2457">
        <v>293</v>
      </c>
      <c r="Q2457" s="4">
        <v>2930000</v>
      </c>
      <c r="R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 s="3">
        <v>42562</v>
      </c>
      <c r="AC2457" t="s">
        <v>53</v>
      </c>
      <c r="AD2457" t="s">
        <v>53</v>
      </c>
      <c r="AK2457">
        <v>0</v>
      </c>
      <c r="AU2457" s="3">
        <v>42401</v>
      </c>
      <c r="AV2457" s="3">
        <v>42401</v>
      </c>
      <c r="AW2457" t="s">
        <v>54</v>
      </c>
      <c r="AX2457" t="str">
        <f t="shared" si="308"/>
        <v>FOR</v>
      </c>
      <c r="AY2457" t="s">
        <v>55</v>
      </c>
    </row>
    <row r="2458" spans="1:51" hidden="1">
      <c r="A2458">
        <v>104024</v>
      </c>
      <c r="B2458" t="s">
        <v>347</v>
      </c>
      <c r="C2458" t="str">
        <f t="shared" si="309"/>
        <v>07020730631</v>
      </c>
      <c r="D2458" t="str">
        <f t="shared" si="309"/>
        <v>07020730631</v>
      </c>
      <c r="E2458" t="s">
        <v>52</v>
      </c>
      <c r="F2458">
        <v>2015</v>
      </c>
      <c r="G2458" t="str">
        <f>"                 9PA"</f>
        <v xml:space="preserve">                 9PA</v>
      </c>
      <c r="H2458" s="3">
        <v>42094</v>
      </c>
      <c r="I2458" s="3">
        <v>42103</v>
      </c>
      <c r="J2458" s="3">
        <v>42094</v>
      </c>
      <c r="K2458" s="3">
        <v>42154</v>
      </c>
      <c r="L2458"/>
      <c r="N2458"/>
      <c r="O2458" s="4">
        <v>10000</v>
      </c>
      <c r="P2458">
        <v>261</v>
      </c>
      <c r="Q2458" s="4">
        <v>2610000</v>
      </c>
      <c r="R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 s="3">
        <v>42562</v>
      </c>
      <c r="AC2458" t="s">
        <v>53</v>
      </c>
      <c r="AD2458" t="s">
        <v>53</v>
      </c>
      <c r="AK2458">
        <v>0</v>
      </c>
      <c r="AU2458" s="3">
        <v>42415</v>
      </c>
      <c r="AV2458" s="3">
        <v>42415</v>
      </c>
      <c r="AW2458" t="s">
        <v>54</v>
      </c>
      <c r="AX2458" t="str">
        <f t="shared" si="308"/>
        <v>FOR</v>
      </c>
      <c r="AY2458" t="s">
        <v>55</v>
      </c>
    </row>
    <row r="2459" spans="1:51" hidden="1">
      <c r="A2459">
        <v>104024</v>
      </c>
      <c r="B2459" t="s">
        <v>347</v>
      </c>
      <c r="C2459" t="str">
        <f t="shared" si="309"/>
        <v>07020730631</v>
      </c>
      <c r="D2459" t="str">
        <f t="shared" si="309"/>
        <v>07020730631</v>
      </c>
      <c r="E2459" t="s">
        <v>52</v>
      </c>
      <c r="F2459">
        <v>2015</v>
      </c>
      <c r="G2459" t="str">
        <f>"               125PA"</f>
        <v xml:space="preserve">               125PA</v>
      </c>
      <c r="H2459" s="3">
        <v>42139</v>
      </c>
      <c r="I2459" s="3">
        <v>42158</v>
      </c>
      <c r="J2459" s="3">
        <v>42143</v>
      </c>
      <c r="K2459" s="3">
        <v>42203</v>
      </c>
      <c r="L2459"/>
      <c r="N2459"/>
      <c r="O2459" s="4">
        <v>5600.8</v>
      </c>
      <c r="P2459">
        <v>250</v>
      </c>
      <c r="Q2459" s="4">
        <v>1400200</v>
      </c>
      <c r="R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 s="3">
        <v>42562</v>
      </c>
      <c r="AC2459" t="s">
        <v>53</v>
      </c>
      <c r="AD2459" t="s">
        <v>53</v>
      </c>
      <c r="AK2459">
        <v>0</v>
      </c>
      <c r="AU2459" s="3">
        <v>42453</v>
      </c>
      <c r="AV2459" s="3">
        <v>42453</v>
      </c>
      <c r="AW2459" t="s">
        <v>54</v>
      </c>
      <c r="AX2459" t="str">
        <f t="shared" si="308"/>
        <v>FOR</v>
      </c>
      <c r="AY2459" t="s">
        <v>55</v>
      </c>
    </row>
    <row r="2460" spans="1:51" hidden="1">
      <c r="A2460">
        <v>104024</v>
      </c>
      <c r="B2460" t="s">
        <v>347</v>
      </c>
      <c r="C2460" t="str">
        <f t="shared" si="309"/>
        <v>07020730631</v>
      </c>
      <c r="D2460" t="str">
        <f t="shared" si="309"/>
        <v>07020730631</v>
      </c>
      <c r="E2460" t="s">
        <v>52</v>
      </c>
      <c r="F2460">
        <v>2015</v>
      </c>
      <c r="G2460" t="str">
        <f>"               143PA"</f>
        <v xml:space="preserve">               143PA</v>
      </c>
      <c r="H2460" s="3">
        <v>42151</v>
      </c>
      <c r="I2460" s="3">
        <v>42158</v>
      </c>
      <c r="J2460" s="3">
        <v>42153</v>
      </c>
      <c r="K2460" s="3">
        <v>42213</v>
      </c>
      <c r="L2460"/>
      <c r="N2460"/>
      <c r="O2460" s="4">
        <v>40000</v>
      </c>
      <c r="P2460">
        <v>240</v>
      </c>
      <c r="Q2460" s="4">
        <v>9600000</v>
      </c>
      <c r="R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 s="3">
        <v>42562</v>
      </c>
      <c r="AC2460" t="s">
        <v>53</v>
      </c>
      <c r="AD2460" t="s">
        <v>53</v>
      </c>
      <c r="AK2460">
        <v>0</v>
      </c>
      <c r="AU2460" s="3">
        <v>42453</v>
      </c>
      <c r="AV2460" s="3">
        <v>42453</v>
      </c>
      <c r="AW2460" t="s">
        <v>54</v>
      </c>
      <c r="AX2460" t="str">
        <f t="shared" si="308"/>
        <v>FOR</v>
      </c>
      <c r="AY2460" t="s">
        <v>55</v>
      </c>
    </row>
    <row r="2461" spans="1:51">
      <c r="A2461">
        <v>104024</v>
      </c>
      <c r="B2461" t="s">
        <v>347</v>
      </c>
      <c r="C2461" t="str">
        <f t="shared" si="309"/>
        <v>07020730631</v>
      </c>
      <c r="D2461" t="str">
        <f t="shared" si="309"/>
        <v>07020730631</v>
      </c>
      <c r="E2461" t="s">
        <v>52</v>
      </c>
      <c r="F2461">
        <v>2015</v>
      </c>
      <c r="G2461" t="str">
        <f>"               193PA"</f>
        <v xml:space="preserve">               193PA</v>
      </c>
      <c r="H2461" s="3">
        <v>42174</v>
      </c>
      <c r="I2461" s="3">
        <v>42191</v>
      </c>
      <c r="J2461" s="3">
        <v>42187</v>
      </c>
      <c r="K2461" s="3">
        <v>42247</v>
      </c>
      <c r="L2461" s="5">
        <v>9900</v>
      </c>
      <c r="M2461">
        <v>245</v>
      </c>
      <c r="N2461" s="5">
        <v>2425500</v>
      </c>
      <c r="O2461" s="4">
        <v>9900</v>
      </c>
      <c r="P2461">
        <v>245</v>
      </c>
      <c r="Q2461" s="4">
        <v>2425500</v>
      </c>
      <c r="R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 s="3">
        <v>42562</v>
      </c>
      <c r="AC2461" t="s">
        <v>53</v>
      </c>
      <c r="AD2461" t="s">
        <v>53</v>
      </c>
      <c r="AK2461">
        <v>0</v>
      </c>
      <c r="AU2461" s="3">
        <v>42492</v>
      </c>
      <c r="AV2461" s="3">
        <v>42492</v>
      </c>
      <c r="AW2461" t="s">
        <v>54</v>
      </c>
      <c r="AX2461" t="str">
        <f t="shared" si="308"/>
        <v>FOR</v>
      </c>
      <c r="AY2461" t="s">
        <v>55</v>
      </c>
    </row>
    <row r="2462" spans="1:51">
      <c r="A2462">
        <v>104024</v>
      </c>
      <c r="B2462" t="s">
        <v>347</v>
      </c>
      <c r="C2462" t="str">
        <f t="shared" si="309"/>
        <v>07020730631</v>
      </c>
      <c r="D2462" t="str">
        <f t="shared" si="309"/>
        <v>07020730631</v>
      </c>
      <c r="E2462" t="s">
        <v>52</v>
      </c>
      <c r="F2462">
        <v>2015</v>
      </c>
      <c r="G2462" t="str">
        <f>"               215PA"</f>
        <v xml:space="preserve">               215PA</v>
      </c>
      <c r="H2462" s="3">
        <v>42184</v>
      </c>
      <c r="I2462" s="3">
        <v>42191</v>
      </c>
      <c r="J2462" s="3">
        <v>42187</v>
      </c>
      <c r="K2462" s="3">
        <v>42247</v>
      </c>
      <c r="L2462" s="5">
        <v>4550</v>
      </c>
      <c r="M2462">
        <v>245</v>
      </c>
      <c r="N2462" s="5">
        <v>1114750</v>
      </c>
      <c r="O2462" s="4">
        <v>4550</v>
      </c>
      <c r="P2462">
        <v>245</v>
      </c>
      <c r="Q2462" s="4">
        <v>1114750</v>
      </c>
      <c r="R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 s="3">
        <v>42562</v>
      </c>
      <c r="AC2462" t="s">
        <v>53</v>
      </c>
      <c r="AD2462" t="s">
        <v>53</v>
      </c>
      <c r="AK2462">
        <v>0</v>
      </c>
      <c r="AU2462" s="3">
        <v>42492</v>
      </c>
      <c r="AV2462" s="3">
        <v>42492</v>
      </c>
      <c r="AW2462" t="s">
        <v>54</v>
      </c>
      <c r="AX2462" t="str">
        <f t="shared" si="308"/>
        <v>FOR</v>
      </c>
      <c r="AY2462" t="s">
        <v>55</v>
      </c>
    </row>
    <row r="2463" spans="1:51" hidden="1">
      <c r="A2463">
        <v>104026</v>
      </c>
      <c r="B2463" t="s">
        <v>348</v>
      </c>
      <c r="C2463" t="str">
        <f t="shared" ref="C2463:D2465" si="310">"01948180649"</f>
        <v>01948180649</v>
      </c>
      <c r="D2463" t="str">
        <f t="shared" si="310"/>
        <v>01948180649</v>
      </c>
      <c r="E2463" t="s">
        <v>52</v>
      </c>
      <c r="F2463">
        <v>2015</v>
      </c>
      <c r="G2463" t="str">
        <f>"                  63"</f>
        <v xml:space="preserve">                  63</v>
      </c>
      <c r="H2463" s="3">
        <v>42093</v>
      </c>
      <c r="I2463" s="3">
        <v>42128</v>
      </c>
      <c r="J2463" s="3">
        <v>42128</v>
      </c>
      <c r="K2463" s="3">
        <v>42188</v>
      </c>
      <c r="L2463"/>
      <c r="N2463"/>
      <c r="O2463" s="4">
        <v>1432.54</v>
      </c>
      <c r="P2463">
        <v>214</v>
      </c>
      <c r="Q2463" s="4">
        <v>306563.56</v>
      </c>
      <c r="R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 s="3">
        <v>42562</v>
      </c>
      <c r="AC2463" t="s">
        <v>53</v>
      </c>
      <c r="AD2463" t="s">
        <v>53</v>
      </c>
      <c r="AK2463">
        <v>0</v>
      </c>
      <c r="AU2463" s="3">
        <v>42402</v>
      </c>
      <c r="AV2463" s="3">
        <v>42402</v>
      </c>
      <c r="AW2463" t="s">
        <v>54</v>
      </c>
      <c r="AX2463" t="str">
        <f>"AZ2"</f>
        <v>AZ2</v>
      </c>
      <c r="AY2463" t="s">
        <v>349</v>
      </c>
    </row>
    <row r="2464" spans="1:51" hidden="1">
      <c r="A2464">
        <v>104026</v>
      </c>
      <c r="B2464" t="s">
        <v>348</v>
      </c>
      <c r="C2464" t="str">
        <f t="shared" si="310"/>
        <v>01948180649</v>
      </c>
      <c r="D2464" t="str">
        <f t="shared" si="310"/>
        <v>01948180649</v>
      </c>
      <c r="E2464" t="s">
        <v>52</v>
      </c>
      <c r="F2464">
        <v>2015</v>
      </c>
      <c r="G2464" t="str">
        <f>"           13/000036"</f>
        <v xml:space="preserve">           13/000036</v>
      </c>
      <c r="H2464" s="3">
        <v>42080</v>
      </c>
      <c r="I2464" s="3">
        <v>42089</v>
      </c>
      <c r="J2464" s="3">
        <v>42089</v>
      </c>
      <c r="K2464" s="3">
        <v>42149</v>
      </c>
      <c r="L2464"/>
      <c r="N2464"/>
      <c r="O2464" s="4">
        <v>1432.54</v>
      </c>
      <c r="P2464">
        <v>253</v>
      </c>
      <c r="Q2464" s="4">
        <v>362432.62</v>
      </c>
      <c r="R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 s="3">
        <v>42562</v>
      </c>
      <c r="AC2464" t="s">
        <v>53</v>
      </c>
      <c r="AD2464" t="s">
        <v>53</v>
      </c>
      <c r="AK2464">
        <v>0</v>
      </c>
      <c r="AU2464" s="3">
        <v>42402</v>
      </c>
      <c r="AV2464" s="3">
        <v>42402</v>
      </c>
      <c r="AW2464" t="s">
        <v>54</v>
      </c>
      <c r="AX2464" t="str">
        <f>"AZ2"</f>
        <v>AZ2</v>
      </c>
      <c r="AY2464" t="s">
        <v>349</v>
      </c>
    </row>
    <row r="2465" spans="1:51">
      <c r="A2465">
        <v>104026</v>
      </c>
      <c r="B2465" t="s">
        <v>348</v>
      </c>
      <c r="C2465" t="str">
        <f t="shared" si="310"/>
        <v>01948180649</v>
      </c>
      <c r="D2465" t="str">
        <f t="shared" si="310"/>
        <v>01948180649</v>
      </c>
      <c r="E2465" t="s">
        <v>52</v>
      </c>
      <c r="F2465">
        <v>2016</v>
      </c>
      <c r="G2465" t="str">
        <f>"              040/54"</f>
        <v xml:space="preserve">              040/54</v>
      </c>
      <c r="H2465" s="3">
        <v>42458</v>
      </c>
      <c r="I2465" s="3">
        <v>42464</v>
      </c>
      <c r="J2465" s="3">
        <v>42458</v>
      </c>
      <c r="K2465" s="3">
        <v>42518</v>
      </c>
      <c r="L2465" s="5">
        <v>7502</v>
      </c>
      <c r="M2465">
        <v>9</v>
      </c>
      <c r="N2465" s="5">
        <v>67518</v>
      </c>
      <c r="O2465" s="4">
        <v>7502</v>
      </c>
      <c r="P2465">
        <v>9</v>
      </c>
      <c r="Q2465" s="4">
        <v>67518</v>
      </c>
      <c r="R2465">
        <v>0</v>
      </c>
      <c r="V2465">
        <v>0</v>
      </c>
      <c r="W2465" s="4">
        <v>7502</v>
      </c>
      <c r="X2465">
        <v>0</v>
      </c>
      <c r="Y2465">
        <v>0</v>
      </c>
      <c r="Z2465" s="4">
        <v>7502</v>
      </c>
      <c r="AA2465" s="4">
        <v>7502</v>
      </c>
      <c r="AB2465" s="3">
        <v>42562</v>
      </c>
      <c r="AC2465" t="s">
        <v>53</v>
      </c>
      <c r="AD2465" t="s">
        <v>53</v>
      </c>
      <c r="AK2465">
        <v>0</v>
      </c>
      <c r="AU2465" s="3">
        <v>42527</v>
      </c>
      <c r="AV2465" s="3">
        <v>42527</v>
      </c>
      <c r="AW2465" t="s">
        <v>54</v>
      </c>
      <c r="AX2465" t="str">
        <f>"AZ2"</f>
        <v>AZ2</v>
      </c>
      <c r="AY2465" t="s">
        <v>349</v>
      </c>
    </row>
    <row r="2466" spans="1:51" hidden="1">
      <c r="A2466">
        <v>104027</v>
      </c>
      <c r="B2466" t="s">
        <v>350</v>
      </c>
      <c r="C2466" t="str">
        <f t="shared" ref="C2466:D2472" si="311">"01138380629"</f>
        <v>01138380629</v>
      </c>
      <c r="D2466" t="str">
        <f t="shared" si="311"/>
        <v>01138380629</v>
      </c>
      <c r="E2466" t="s">
        <v>52</v>
      </c>
      <c r="F2466">
        <v>2015</v>
      </c>
      <c r="G2466" t="str">
        <f>"                1/PA"</f>
        <v xml:space="preserve">                1/PA</v>
      </c>
      <c r="H2466" s="3">
        <v>42129</v>
      </c>
      <c r="I2466" s="3">
        <v>42185</v>
      </c>
      <c r="J2466" s="3">
        <v>42130</v>
      </c>
      <c r="K2466" s="3">
        <v>42190</v>
      </c>
      <c r="L2466"/>
      <c r="N2466"/>
      <c r="O2466" s="4">
        <v>2208.36</v>
      </c>
      <c r="P2466">
        <v>226</v>
      </c>
      <c r="Q2466" s="4">
        <v>499089.36</v>
      </c>
      <c r="R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 s="3">
        <v>42562</v>
      </c>
      <c r="AC2466" t="s">
        <v>53</v>
      </c>
      <c r="AD2466" t="s">
        <v>53</v>
      </c>
      <c r="AK2466">
        <v>0</v>
      </c>
      <c r="AU2466" s="3">
        <v>42416</v>
      </c>
      <c r="AV2466" s="3">
        <v>42416</v>
      </c>
      <c r="AW2466" t="s">
        <v>54</v>
      </c>
      <c r="AX2466" t="str">
        <f t="shared" ref="AX2466:AX2486" si="312">"FOR"</f>
        <v>FOR</v>
      </c>
      <c r="AY2466" t="s">
        <v>55</v>
      </c>
    </row>
    <row r="2467" spans="1:51" hidden="1">
      <c r="A2467">
        <v>104027</v>
      </c>
      <c r="B2467" t="s">
        <v>350</v>
      </c>
      <c r="C2467" t="str">
        <f t="shared" si="311"/>
        <v>01138380629</v>
      </c>
      <c r="D2467" t="str">
        <f t="shared" si="311"/>
        <v>01138380629</v>
      </c>
      <c r="E2467" t="s">
        <v>52</v>
      </c>
      <c r="F2467">
        <v>2015</v>
      </c>
      <c r="G2467" t="str">
        <f>"                2/PA"</f>
        <v xml:space="preserve">                2/PA</v>
      </c>
      <c r="H2467" s="3">
        <v>42129</v>
      </c>
      <c r="I2467" s="3">
        <v>42163</v>
      </c>
      <c r="J2467" s="3">
        <v>42151</v>
      </c>
      <c r="K2467" s="3">
        <v>42211</v>
      </c>
      <c r="L2467"/>
      <c r="N2467"/>
      <c r="O2467" s="4">
        <v>1000</v>
      </c>
      <c r="P2467">
        <v>205</v>
      </c>
      <c r="Q2467" s="4">
        <v>205000</v>
      </c>
      <c r="R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 s="3">
        <v>42562</v>
      </c>
      <c r="AC2467" t="s">
        <v>53</v>
      </c>
      <c r="AD2467" t="s">
        <v>53</v>
      </c>
      <c r="AK2467">
        <v>0</v>
      </c>
      <c r="AU2467" s="3">
        <v>42416</v>
      </c>
      <c r="AV2467" s="3">
        <v>42416</v>
      </c>
      <c r="AW2467" t="s">
        <v>54</v>
      </c>
      <c r="AX2467" t="str">
        <f t="shared" si="312"/>
        <v>FOR</v>
      </c>
      <c r="AY2467" t="s">
        <v>55</v>
      </c>
    </row>
    <row r="2468" spans="1:51">
      <c r="A2468">
        <v>104027</v>
      </c>
      <c r="B2468" t="s">
        <v>350</v>
      </c>
      <c r="C2468" t="str">
        <f t="shared" si="311"/>
        <v>01138380629</v>
      </c>
      <c r="D2468" t="str">
        <f t="shared" si="311"/>
        <v>01138380629</v>
      </c>
      <c r="E2468" t="s">
        <v>52</v>
      </c>
      <c r="F2468">
        <v>2015</v>
      </c>
      <c r="G2468" t="str">
        <f>"                6/PA"</f>
        <v xml:space="preserve">                6/PA</v>
      </c>
      <c r="H2468" s="3">
        <v>42212</v>
      </c>
      <c r="I2468" s="3">
        <v>42233</v>
      </c>
      <c r="J2468" s="3">
        <v>42212</v>
      </c>
      <c r="K2468" s="3">
        <v>42272</v>
      </c>
      <c r="L2468" s="5">
        <v>26983.93</v>
      </c>
      <c r="M2468">
        <v>248</v>
      </c>
      <c r="N2468" s="5">
        <v>6692014.6399999997</v>
      </c>
      <c r="O2468" s="4">
        <v>26983.93</v>
      </c>
      <c r="P2468">
        <v>248</v>
      </c>
      <c r="Q2468" s="4">
        <v>6692014.6399999997</v>
      </c>
      <c r="R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 s="3">
        <v>42562</v>
      </c>
      <c r="AC2468" t="s">
        <v>53</v>
      </c>
      <c r="AD2468" t="s">
        <v>53</v>
      </c>
      <c r="AK2468">
        <v>0</v>
      </c>
      <c r="AU2468" s="3">
        <v>42520</v>
      </c>
      <c r="AV2468" s="3">
        <v>42520</v>
      </c>
      <c r="AW2468" t="s">
        <v>54</v>
      </c>
      <c r="AX2468" t="str">
        <f t="shared" si="312"/>
        <v>FOR</v>
      </c>
      <c r="AY2468" t="s">
        <v>55</v>
      </c>
    </row>
    <row r="2469" spans="1:51">
      <c r="A2469">
        <v>104027</v>
      </c>
      <c r="B2469" t="s">
        <v>350</v>
      </c>
      <c r="C2469" t="str">
        <f t="shared" si="311"/>
        <v>01138380629</v>
      </c>
      <c r="D2469" t="str">
        <f t="shared" si="311"/>
        <v>01138380629</v>
      </c>
      <c r="E2469" t="s">
        <v>52</v>
      </c>
      <c r="F2469">
        <v>2015</v>
      </c>
      <c r="G2469" t="str">
        <f>"                7/PA"</f>
        <v xml:space="preserve">                7/PA</v>
      </c>
      <c r="H2469" s="3">
        <v>42212</v>
      </c>
      <c r="I2469" s="3">
        <v>42233</v>
      </c>
      <c r="J2469" s="3">
        <v>42212</v>
      </c>
      <c r="K2469" s="3">
        <v>42272</v>
      </c>
      <c r="L2469" s="5">
        <v>10840.5</v>
      </c>
      <c r="M2469">
        <v>248</v>
      </c>
      <c r="N2469" s="5">
        <v>2688444</v>
      </c>
      <c r="O2469" s="4">
        <v>10840.5</v>
      </c>
      <c r="P2469">
        <v>248</v>
      </c>
      <c r="Q2469" s="4">
        <v>2688444</v>
      </c>
      <c r="R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 s="3">
        <v>42562</v>
      </c>
      <c r="AC2469" t="s">
        <v>53</v>
      </c>
      <c r="AD2469" t="s">
        <v>53</v>
      </c>
      <c r="AK2469">
        <v>0</v>
      </c>
      <c r="AU2469" s="3">
        <v>42520</v>
      </c>
      <c r="AV2469" s="3">
        <v>42520</v>
      </c>
      <c r="AW2469" t="s">
        <v>54</v>
      </c>
      <c r="AX2469" t="str">
        <f t="shared" si="312"/>
        <v>FOR</v>
      </c>
      <c r="AY2469" t="s">
        <v>55</v>
      </c>
    </row>
    <row r="2470" spans="1:51">
      <c r="A2470">
        <v>104027</v>
      </c>
      <c r="B2470" t="s">
        <v>350</v>
      </c>
      <c r="C2470" t="str">
        <f t="shared" si="311"/>
        <v>01138380629</v>
      </c>
      <c r="D2470" t="str">
        <f t="shared" si="311"/>
        <v>01138380629</v>
      </c>
      <c r="E2470" t="s">
        <v>52</v>
      </c>
      <c r="F2470">
        <v>2015</v>
      </c>
      <c r="G2470" t="str">
        <f>"                8/PA"</f>
        <v xml:space="preserve">                8/PA</v>
      </c>
      <c r="H2470" s="3">
        <v>42212</v>
      </c>
      <c r="I2470" s="3">
        <v>42233</v>
      </c>
      <c r="J2470" s="3">
        <v>42212</v>
      </c>
      <c r="K2470" s="3">
        <v>42272</v>
      </c>
      <c r="L2470" s="5">
        <v>12103.45</v>
      </c>
      <c r="M2470">
        <v>248</v>
      </c>
      <c r="N2470" s="5">
        <v>3001655.6</v>
      </c>
      <c r="O2470" s="4">
        <v>12103.45</v>
      </c>
      <c r="P2470">
        <v>248</v>
      </c>
      <c r="Q2470" s="4">
        <v>3001655.6</v>
      </c>
      <c r="R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 s="3">
        <v>42562</v>
      </c>
      <c r="AC2470" t="s">
        <v>53</v>
      </c>
      <c r="AD2470" t="s">
        <v>53</v>
      </c>
      <c r="AK2470">
        <v>0</v>
      </c>
      <c r="AU2470" s="3">
        <v>42520</v>
      </c>
      <c r="AV2470" s="3">
        <v>42520</v>
      </c>
      <c r="AW2470" t="s">
        <v>54</v>
      </c>
      <c r="AX2470" t="str">
        <f t="shared" si="312"/>
        <v>FOR</v>
      </c>
      <c r="AY2470" t="s">
        <v>55</v>
      </c>
    </row>
    <row r="2471" spans="1:51">
      <c r="A2471">
        <v>104027</v>
      </c>
      <c r="B2471" t="s">
        <v>350</v>
      </c>
      <c r="C2471" t="str">
        <f t="shared" si="311"/>
        <v>01138380629</v>
      </c>
      <c r="D2471" t="str">
        <f t="shared" si="311"/>
        <v>01138380629</v>
      </c>
      <c r="E2471" t="s">
        <v>52</v>
      </c>
      <c r="F2471">
        <v>2015</v>
      </c>
      <c r="G2471" t="str">
        <f>"                9/PA"</f>
        <v xml:space="preserve">                9/PA</v>
      </c>
      <c r="H2471" s="3">
        <v>42212</v>
      </c>
      <c r="I2471" s="3">
        <v>42233</v>
      </c>
      <c r="J2471" s="3">
        <v>42212</v>
      </c>
      <c r="K2471" s="3">
        <v>42272</v>
      </c>
      <c r="L2471" s="5">
        <v>2450.91</v>
      </c>
      <c r="M2471">
        <v>215</v>
      </c>
      <c r="N2471" s="5">
        <v>526945.65</v>
      </c>
      <c r="O2471" s="4">
        <v>2450.91</v>
      </c>
      <c r="P2471">
        <v>215</v>
      </c>
      <c r="Q2471" s="4">
        <v>526945.65</v>
      </c>
      <c r="R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 s="3">
        <v>42562</v>
      </c>
      <c r="AC2471" t="s">
        <v>53</v>
      </c>
      <c r="AD2471" t="s">
        <v>53</v>
      </c>
      <c r="AK2471">
        <v>0</v>
      </c>
      <c r="AU2471" s="3">
        <v>42487</v>
      </c>
      <c r="AV2471" s="3">
        <v>42487</v>
      </c>
      <c r="AW2471" t="s">
        <v>54</v>
      </c>
      <c r="AX2471" t="str">
        <f t="shared" si="312"/>
        <v>FOR</v>
      </c>
      <c r="AY2471" t="s">
        <v>55</v>
      </c>
    </row>
    <row r="2472" spans="1:51">
      <c r="A2472">
        <v>104027</v>
      </c>
      <c r="B2472" t="s">
        <v>350</v>
      </c>
      <c r="C2472" t="str">
        <f t="shared" si="311"/>
        <v>01138380629</v>
      </c>
      <c r="D2472" t="str">
        <f t="shared" si="311"/>
        <v>01138380629</v>
      </c>
      <c r="E2472" t="s">
        <v>52</v>
      </c>
      <c r="F2472">
        <v>2015</v>
      </c>
      <c r="G2472" t="str">
        <f>"               10/PA"</f>
        <v xml:space="preserve">               10/PA</v>
      </c>
      <c r="H2472" s="3">
        <v>42212</v>
      </c>
      <c r="I2472" s="3">
        <v>42233</v>
      </c>
      <c r="J2472" s="3">
        <v>42212</v>
      </c>
      <c r="K2472" s="3">
        <v>42272</v>
      </c>
      <c r="L2472" s="5">
        <v>2444.02</v>
      </c>
      <c r="M2472">
        <v>215</v>
      </c>
      <c r="N2472" s="5">
        <v>525464.30000000005</v>
      </c>
      <c r="O2472" s="4">
        <v>2444.02</v>
      </c>
      <c r="P2472">
        <v>215</v>
      </c>
      <c r="Q2472" s="4">
        <v>525464.30000000005</v>
      </c>
      <c r="R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 s="3">
        <v>42562</v>
      </c>
      <c r="AC2472" t="s">
        <v>53</v>
      </c>
      <c r="AD2472" t="s">
        <v>53</v>
      </c>
      <c r="AK2472">
        <v>0</v>
      </c>
      <c r="AU2472" s="3">
        <v>42487</v>
      </c>
      <c r="AV2472" s="3">
        <v>42487</v>
      </c>
      <c r="AW2472" t="s">
        <v>54</v>
      </c>
      <c r="AX2472" t="str">
        <f t="shared" si="312"/>
        <v>FOR</v>
      </c>
      <c r="AY2472" t="s">
        <v>55</v>
      </c>
    </row>
    <row r="2473" spans="1:51" hidden="1">
      <c r="A2473">
        <v>104029</v>
      </c>
      <c r="B2473" t="s">
        <v>351</v>
      </c>
      <c r="C2473" t="str">
        <f t="shared" ref="C2473:C2486" si="313">"01630000287"</f>
        <v>01630000287</v>
      </c>
      <c r="D2473" t="str">
        <f t="shared" ref="D2473:D2486" si="314">"00759430267"</f>
        <v>00759430267</v>
      </c>
      <c r="E2473" t="s">
        <v>52</v>
      </c>
      <c r="F2473">
        <v>2015</v>
      </c>
      <c r="G2473" t="str">
        <f>"             1521543"</f>
        <v xml:space="preserve">             1521543</v>
      </c>
      <c r="H2473" s="3">
        <v>42083</v>
      </c>
      <c r="I2473" s="3">
        <v>42110</v>
      </c>
      <c r="J2473" s="3">
        <v>42110</v>
      </c>
      <c r="K2473" s="3">
        <v>42170</v>
      </c>
      <c r="L2473"/>
      <c r="N2473"/>
      <c r="O2473" s="4">
        <v>1200</v>
      </c>
      <c r="P2473">
        <v>245</v>
      </c>
      <c r="Q2473" s="4">
        <v>294000</v>
      </c>
      <c r="R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 s="3">
        <v>42562</v>
      </c>
      <c r="AC2473" t="s">
        <v>53</v>
      </c>
      <c r="AD2473" t="s">
        <v>53</v>
      </c>
      <c r="AK2473">
        <v>0</v>
      </c>
      <c r="AU2473" s="3">
        <v>42415</v>
      </c>
      <c r="AV2473" s="3">
        <v>42415</v>
      </c>
      <c r="AW2473" t="s">
        <v>54</v>
      </c>
      <c r="AX2473" t="str">
        <f t="shared" si="312"/>
        <v>FOR</v>
      </c>
      <c r="AY2473" t="s">
        <v>55</v>
      </c>
    </row>
    <row r="2474" spans="1:51" hidden="1">
      <c r="A2474">
        <v>104029</v>
      </c>
      <c r="B2474" t="s">
        <v>351</v>
      </c>
      <c r="C2474" t="str">
        <f t="shared" si="313"/>
        <v>01630000287</v>
      </c>
      <c r="D2474" t="str">
        <f t="shared" si="314"/>
        <v>00759430267</v>
      </c>
      <c r="E2474" t="s">
        <v>52</v>
      </c>
      <c r="F2474">
        <v>2015</v>
      </c>
      <c r="G2474" t="str">
        <f>"             1521674"</f>
        <v xml:space="preserve">             1521674</v>
      </c>
      <c r="H2474" s="3">
        <v>42090</v>
      </c>
      <c r="I2474" s="3">
        <v>42110</v>
      </c>
      <c r="J2474" s="3">
        <v>42110</v>
      </c>
      <c r="K2474" s="3">
        <v>42170</v>
      </c>
      <c r="L2474"/>
      <c r="N2474"/>
      <c r="O2474" s="4">
        <v>4600</v>
      </c>
      <c r="P2474">
        <v>245</v>
      </c>
      <c r="Q2474" s="4">
        <v>1127000</v>
      </c>
      <c r="R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 s="3">
        <v>42562</v>
      </c>
      <c r="AC2474" t="s">
        <v>53</v>
      </c>
      <c r="AD2474" t="s">
        <v>53</v>
      </c>
      <c r="AK2474">
        <v>0</v>
      </c>
      <c r="AU2474" s="3">
        <v>42415</v>
      </c>
      <c r="AV2474" s="3">
        <v>42415</v>
      </c>
      <c r="AW2474" t="s">
        <v>54</v>
      </c>
      <c r="AX2474" t="str">
        <f t="shared" si="312"/>
        <v>FOR</v>
      </c>
      <c r="AY2474" t="s">
        <v>55</v>
      </c>
    </row>
    <row r="2475" spans="1:51" hidden="1">
      <c r="A2475">
        <v>104029</v>
      </c>
      <c r="B2475" t="s">
        <v>351</v>
      </c>
      <c r="C2475" t="str">
        <f t="shared" si="313"/>
        <v>01630000287</v>
      </c>
      <c r="D2475" t="str">
        <f t="shared" si="314"/>
        <v>00759430267</v>
      </c>
      <c r="E2475" t="s">
        <v>52</v>
      </c>
      <c r="F2475">
        <v>2015</v>
      </c>
      <c r="G2475" t="str">
        <f>"           1540452/E"</f>
        <v xml:space="preserve">           1540452/E</v>
      </c>
      <c r="H2475" s="3">
        <v>42104</v>
      </c>
      <c r="I2475" s="3">
        <v>42108</v>
      </c>
      <c r="J2475" s="3">
        <v>42107</v>
      </c>
      <c r="K2475" s="3">
        <v>42167</v>
      </c>
      <c r="L2475"/>
      <c r="N2475"/>
      <c r="O2475" s="4">
        <v>6336</v>
      </c>
      <c r="P2475">
        <v>249</v>
      </c>
      <c r="Q2475" s="4">
        <v>1577664</v>
      </c>
      <c r="R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 s="3">
        <v>42562</v>
      </c>
      <c r="AC2475" t="s">
        <v>53</v>
      </c>
      <c r="AD2475" t="s">
        <v>53</v>
      </c>
      <c r="AK2475">
        <v>0</v>
      </c>
      <c r="AU2475" s="3">
        <v>42416</v>
      </c>
      <c r="AV2475" s="3">
        <v>42416</v>
      </c>
      <c r="AW2475" t="s">
        <v>54</v>
      </c>
      <c r="AX2475" t="str">
        <f t="shared" si="312"/>
        <v>FOR</v>
      </c>
      <c r="AY2475" t="s">
        <v>55</v>
      </c>
    </row>
    <row r="2476" spans="1:51" hidden="1">
      <c r="A2476">
        <v>104029</v>
      </c>
      <c r="B2476" t="s">
        <v>351</v>
      </c>
      <c r="C2476" t="str">
        <f t="shared" si="313"/>
        <v>01630000287</v>
      </c>
      <c r="D2476" t="str">
        <f t="shared" si="314"/>
        <v>00759430267</v>
      </c>
      <c r="E2476" t="s">
        <v>52</v>
      </c>
      <c r="F2476">
        <v>2015</v>
      </c>
      <c r="G2476" t="str">
        <f>"           1540453/E"</f>
        <v xml:space="preserve">           1540453/E</v>
      </c>
      <c r="H2476" s="3">
        <v>42104</v>
      </c>
      <c r="I2476" s="3">
        <v>42108</v>
      </c>
      <c r="J2476" s="3">
        <v>42107</v>
      </c>
      <c r="K2476" s="3">
        <v>42167</v>
      </c>
      <c r="L2476"/>
      <c r="N2476"/>
      <c r="O2476" s="4">
        <v>3756</v>
      </c>
      <c r="P2476">
        <v>249</v>
      </c>
      <c r="Q2476" s="4">
        <v>935244</v>
      </c>
      <c r="R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 s="3">
        <v>42562</v>
      </c>
      <c r="AC2476" t="s">
        <v>53</v>
      </c>
      <c r="AD2476" t="s">
        <v>53</v>
      </c>
      <c r="AK2476">
        <v>0</v>
      </c>
      <c r="AU2476" s="3">
        <v>42416</v>
      </c>
      <c r="AV2476" s="3">
        <v>42416</v>
      </c>
      <c r="AW2476" t="s">
        <v>54</v>
      </c>
      <c r="AX2476" t="str">
        <f t="shared" si="312"/>
        <v>FOR</v>
      </c>
      <c r="AY2476" t="s">
        <v>55</v>
      </c>
    </row>
    <row r="2477" spans="1:51" hidden="1">
      <c r="A2477">
        <v>104029</v>
      </c>
      <c r="B2477" t="s">
        <v>351</v>
      </c>
      <c r="C2477" t="str">
        <f t="shared" si="313"/>
        <v>01630000287</v>
      </c>
      <c r="D2477" t="str">
        <f t="shared" si="314"/>
        <v>00759430267</v>
      </c>
      <c r="E2477" t="s">
        <v>52</v>
      </c>
      <c r="F2477">
        <v>2015</v>
      </c>
      <c r="G2477" t="str">
        <f>"           1540724/E"</f>
        <v xml:space="preserve">           1540724/E</v>
      </c>
      <c r="H2477" s="3">
        <v>42117</v>
      </c>
      <c r="I2477" s="3">
        <v>42135</v>
      </c>
      <c r="J2477" s="3">
        <v>42132</v>
      </c>
      <c r="K2477" s="3">
        <v>42192</v>
      </c>
      <c r="L2477"/>
      <c r="N2477"/>
      <c r="O2477">
        <v>785.27</v>
      </c>
      <c r="P2477">
        <v>260</v>
      </c>
      <c r="Q2477" s="4">
        <v>204170.2</v>
      </c>
      <c r="R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 s="3">
        <v>42562</v>
      </c>
      <c r="AC2477" t="s">
        <v>53</v>
      </c>
      <c r="AD2477" t="s">
        <v>53</v>
      </c>
      <c r="AK2477">
        <v>0</v>
      </c>
      <c r="AU2477" s="3">
        <v>42452</v>
      </c>
      <c r="AV2477" s="3">
        <v>42452</v>
      </c>
      <c r="AW2477" t="s">
        <v>54</v>
      </c>
      <c r="AX2477" t="str">
        <f t="shared" si="312"/>
        <v>FOR</v>
      </c>
      <c r="AY2477" t="s">
        <v>55</v>
      </c>
    </row>
    <row r="2478" spans="1:51" hidden="1">
      <c r="A2478">
        <v>104029</v>
      </c>
      <c r="B2478" t="s">
        <v>351</v>
      </c>
      <c r="C2478" t="str">
        <f t="shared" si="313"/>
        <v>01630000287</v>
      </c>
      <c r="D2478" t="str">
        <f t="shared" si="314"/>
        <v>00759430267</v>
      </c>
      <c r="E2478" t="s">
        <v>52</v>
      </c>
      <c r="F2478">
        <v>2015</v>
      </c>
      <c r="G2478" t="str">
        <f>"           1540725/E"</f>
        <v xml:space="preserve">           1540725/E</v>
      </c>
      <c r="H2478" s="3">
        <v>42117</v>
      </c>
      <c r="I2478" s="3">
        <v>42135</v>
      </c>
      <c r="J2478" s="3">
        <v>42132</v>
      </c>
      <c r="K2478" s="3">
        <v>42192</v>
      </c>
      <c r="L2478"/>
      <c r="N2478"/>
      <c r="O2478" s="4">
        <v>1200</v>
      </c>
      <c r="P2478">
        <v>260</v>
      </c>
      <c r="Q2478" s="4">
        <v>312000</v>
      </c>
      <c r="R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 s="3">
        <v>42562</v>
      </c>
      <c r="AC2478" t="s">
        <v>53</v>
      </c>
      <c r="AD2478" t="s">
        <v>53</v>
      </c>
      <c r="AK2478">
        <v>0</v>
      </c>
      <c r="AU2478" s="3">
        <v>42452</v>
      </c>
      <c r="AV2478" s="3">
        <v>42452</v>
      </c>
      <c r="AW2478" t="s">
        <v>54</v>
      </c>
      <c r="AX2478" t="str">
        <f t="shared" si="312"/>
        <v>FOR</v>
      </c>
      <c r="AY2478" t="s">
        <v>55</v>
      </c>
    </row>
    <row r="2479" spans="1:51" hidden="1">
      <c r="A2479">
        <v>104029</v>
      </c>
      <c r="B2479" t="s">
        <v>351</v>
      </c>
      <c r="C2479" t="str">
        <f t="shared" si="313"/>
        <v>01630000287</v>
      </c>
      <c r="D2479" t="str">
        <f t="shared" si="314"/>
        <v>00759430267</v>
      </c>
      <c r="E2479" t="s">
        <v>52</v>
      </c>
      <c r="F2479">
        <v>2015</v>
      </c>
      <c r="G2479" t="str">
        <f>"           1540877/E"</f>
        <v xml:space="preserve">           1540877/E</v>
      </c>
      <c r="H2479" s="3">
        <v>42124</v>
      </c>
      <c r="I2479" s="3">
        <v>42128</v>
      </c>
      <c r="J2479" s="3">
        <v>42124</v>
      </c>
      <c r="K2479" s="3">
        <v>42184</v>
      </c>
      <c r="L2479"/>
      <c r="N2479"/>
      <c r="O2479">
        <v>294</v>
      </c>
      <c r="P2479">
        <v>268</v>
      </c>
      <c r="Q2479" s="4">
        <v>78792</v>
      </c>
      <c r="R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 s="3">
        <v>42562</v>
      </c>
      <c r="AC2479" t="s">
        <v>53</v>
      </c>
      <c r="AD2479" t="s">
        <v>53</v>
      </c>
      <c r="AK2479">
        <v>0</v>
      </c>
      <c r="AU2479" s="3">
        <v>42452</v>
      </c>
      <c r="AV2479" s="3">
        <v>42452</v>
      </c>
      <c r="AW2479" t="s">
        <v>54</v>
      </c>
      <c r="AX2479" t="str">
        <f t="shared" si="312"/>
        <v>FOR</v>
      </c>
      <c r="AY2479" t="s">
        <v>55</v>
      </c>
    </row>
    <row r="2480" spans="1:51" hidden="1">
      <c r="A2480">
        <v>104029</v>
      </c>
      <c r="B2480" t="s">
        <v>351</v>
      </c>
      <c r="C2480" t="str">
        <f t="shared" si="313"/>
        <v>01630000287</v>
      </c>
      <c r="D2480" t="str">
        <f t="shared" si="314"/>
        <v>00759430267</v>
      </c>
      <c r="E2480" t="s">
        <v>52</v>
      </c>
      <c r="F2480">
        <v>2015</v>
      </c>
      <c r="G2480" t="str">
        <f>"           1541202/E"</f>
        <v xml:space="preserve">           1541202/E</v>
      </c>
      <c r="H2480" s="3">
        <v>42139</v>
      </c>
      <c r="I2480" s="3">
        <v>42160</v>
      </c>
      <c r="J2480" s="3">
        <v>42139</v>
      </c>
      <c r="K2480" s="3">
        <v>42199</v>
      </c>
      <c r="L2480"/>
      <c r="N2480"/>
      <c r="O2480" s="4">
        <v>2770</v>
      </c>
      <c r="P2480">
        <v>253</v>
      </c>
      <c r="Q2480" s="4">
        <v>700810</v>
      </c>
      <c r="R2480">
        <v>0</v>
      </c>
      <c r="V2480">
        <v>0</v>
      </c>
      <c r="W2480">
        <v>0</v>
      </c>
      <c r="X2480">
        <v>0</v>
      </c>
      <c r="Y2480">
        <v>0</v>
      </c>
      <c r="Z2480">
        <v>0</v>
      </c>
      <c r="AA2480">
        <v>0</v>
      </c>
      <c r="AB2480" s="3">
        <v>42562</v>
      </c>
      <c r="AC2480" t="s">
        <v>53</v>
      </c>
      <c r="AD2480" t="s">
        <v>53</v>
      </c>
      <c r="AK2480">
        <v>0</v>
      </c>
      <c r="AU2480" s="3">
        <v>42452</v>
      </c>
      <c r="AV2480" s="3">
        <v>42452</v>
      </c>
      <c r="AW2480" t="s">
        <v>54</v>
      </c>
      <c r="AX2480" t="str">
        <f t="shared" si="312"/>
        <v>FOR</v>
      </c>
      <c r="AY2480" t="s">
        <v>55</v>
      </c>
    </row>
    <row r="2481" spans="1:51" hidden="1">
      <c r="A2481">
        <v>104029</v>
      </c>
      <c r="B2481" t="s">
        <v>351</v>
      </c>
      <c r="C2481" t="str">
        <f t="shared" si="313"/>
        <v>01630000287</v>
      </c>
      <c r="D2481" t="str">
        <f t="shared" si="314"/>
        <v>00759430267</v>
      </c>
      <c r="E2481" t="s">
        <v>52</v>
      </c>
      <c r="F2481">
        <v>2015</v>
      </c>
      <c r="G2481" t="str">
        <f>"           1541494/E"</f>
        <v xml:space="preserve">           1541494/E</v>
      </c>
      <c r="H2481" s="3">
        <v>42152</v>
      </c>
      <c r="I2481" s="3">
        <v>42160</v>
      </c>
      <c r="J2481" s="3">
        <v>42153</v>
      </c>
      <c r="K2481" s="3">
        <v>42213</v>
      </c>
      <c r="L2481"/>
      <c r="N2481"/>
      <c r="O2481" s="4">
        <v>1900</v>
      </c>
      <c r="P2481">
        <v>239</v>
      </c>
      <c r="Q2481" s="4">
        <v>454100</v>
      </c>
      <c r="R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 s="3">
        <v>42562</v>
      </c>
      <c r="AC2481" t="s">
        <v>53</v>
      </c>
      <c r="AD2481" t="s">
        <v>53</v>
      </c>
      <c r="AK2481">
        <v>0</v>
      </c>
      <c r="AU2481" s="3">
        <v>42452</v>
      </c>
      <c r="AV2481" s="3">
        <v>42452</v>
      </c>
      <c r="AW2481" t="s">
        <v>54</v>
      </c>
      <c r="AX2481" t="str">
        <f t="shared" si="312"/>
        <v>FOR</v>
      </c>
      <c r="AY2481" t="s">
        <v>55</v>
      </c>
    </row>
    <row r="2482" spans="1:51">
      <c r="A2482">
        <v>104029</v>
      </c>
      <c r="B2482" t="s">
        <v>351</v>
      </c>
      <c r="C2482" t="str">
        <f t="shared" si="313"/>
        <v>01630000287</v>
      </c>
      <c r="D2482" t="str">
        <f t="shared" si="314"/>
        <v>00759430267</v>
      </c>
      <c r="E2482" t="s">
        <v>52</v>
      </c>
      <c r="F2482">
        <v>2015</v>
      </c>
      <c r="G2482" t="str">
        <f>"           1541802/E"</f>
        <v xml:space="preserve">           1541802/E</v>
      </c>
      <c r="H2482" s="3">
        <v>42167</v>
      </c>
      <c r="I2482" s="3">
        <v>42171</v>
      </c>
      <c r="J2482" s="3">
        <v>42168</v>
      </c>
      <c r="K2482" s="3">
        <v>42228</v>
      </c>
      <c r="L2482" s="1">
        <v>382</v>
      </c>
      <c r="M2482">
        <v>264</v>
      </c>
      <c r="N2482" s="5">
        <v>100848</v>
      </c>
      <c r="O2482">
        <v>382</v>
      </c>
      <c r="P2482">
        <v>264</v>
      </c>
      <c r="Q2482" s="4">
        <v>100848</v>
      </c>
      <c r="R2482">
        <v>0</v>
      </c>
      <c r="V2482">
        <v>0</v>
      </c>
      <c r="W2482">
        <v>0</v>
      </c>
      <c r="X2482">
        <v>0</v>
      </c>
      <c r="Y2482">
        <v>0</v>
      </c>
      <c r="Z2482">
        <v>0</v>
      </c>
      <c r="AA2482">
        <v>0</v>
      </c>
      <c r="AB2482" s="3">
        <v>42562</v>
      </c>
      <c r="AC2482" t="s">
        <v>53</v>
      </c>
      <c r="AD2482" t="s">
        <v>53</v>
      </c>
      <c r="AK2482">
        <v>0</v>
      </c>
      <c r="AU2482" s="3">
        <v>42492</v>
      </c>
      <c r="AV2482" s="3">
        <v>42492</v>
      </c>
      <c r="AW2482" t="s">
        <v>54</v>
      </c>
      <c r="AX2482" t="str">
        <f t="shared" si="312"/>
        <v>FOR</v>
      </c>
      <c r="AY2482" t="s">
        <v>55</v>
      </c>
    </row>
    <row r="2483" spans="1:51">
      <c r="A2483">
        <v>104029</v>
      </c>
      <c r="B2483" t="s">
        <v>351</v>
      </c>
      <c r="C2483" t="str">
        <f t="shared" si="313"/>
        <v>01630000287</v>
      </c>
      <c r="D2483" t="str">
        <f t="shared" si="314"/>
        <v>00759430267</v>
      </c>
      <c r="E2483" t="s">
        <v>52</v>
      </c>
      <c r="F2483">
        <v>2015</v>
      </c>
      <c r="G2483" t="str">
        <f>"           1541998/E"</f>
        <v xml:space="preserve">           1541998/E</v>
      </c>
      <c r="H2483" s="3">
        <v>42174</v>
      </c>
      <c r="I2483" s="3">
        <v>42177</v>
      </c>
      <c r="J2483" s="3">
        <v>42175</v>
      </c>
      <c r="K2483" s="3">
        <v>42235</v>
      </c>
      <c r="L2483" s="1">
        <v>800</v>
      </c>
      <c r="M2483">
        <v>257</v>
      </c>
      <c r="N2483" s="5">
        <v>205600</v>
      </c>
      <c r="O2483">
        <v>800</v>
      </c>
      <c r="P2483">
        <v>257</v>
      </c>
      <c r="Q2483" s="4">
        <v>205600</v>
      </c>
      <c r="R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 s="3">
        <v>42562</v>
      </c>
      <c r="AC2483" t="s">
        <v>53</v>
      </c>
      <c r="AD2483" t="s">
        <v>53</v>
      </c>
      <c r="AK2483">
        <v>0</v>
      </c>
      <c r="AU2483" s="3">
        <v>42492</v>
      </c>
      <c r="AV2483" s="3">
        <v>42492</v>
      </c>
      <c r="AW2483" t="s">
        <v>54</v>
      </c>
      <c r="AX2483" t="str">
        <f t="shared" si="312"/>
        <v>FOR</v>
      </c>
      <c r="AY2483" t="s">
        <v>55</v>
      </c>
    </row>
    <row r="2484" spans="1:51">
      <c r="A2484">
        <v>104029</v>
      </c>
      <c r="B2484" t="s">
        <v>351</v>
      </c>
      <c r="C2484" t="str">
        <f t="shared" si="313"/>
        <v>01630000287</v>
      </c>
      <c r="D2484" t="str">
        <f t="shared" si="314"/>
        <v>00759430267</v>
      </c>
      <c r="E2484" t="s">
        <v>52</v>
      </c>
      <c r="F2484">
        <v>2015</v>
      </c>
      <c r="G2484" t="str">
        <f>"           1542155/E"</f>
        <v xml:space="preserve">           1542155/E</v>
      </c>
      <c r="H2484" s="3">
        <v>42181</v>
      </c>
      <c r="I2484" s="3">
        <v>42186</v>
      </c>
      <c r="J2484" s="3">
        <v>42181</v>
      </c>
      <c r="K2484" s="3">
        <v>42241</v>
      </c>
      <c r="L2484" s="5">
        <v>11800</v>
      </c>
      <c r="M2484">
        <v>251</v>
      </c>
      <c r="N2484" s="5">
        <v>2961800</v>
      </c>
      <c r="O2484" s="4">
        <v>11800</v>
      </c>
      <c r="P2484">
        <v>251</v>
      </c>
      <c r="Q2484" s="4">
        <v>2961800</v>
      </c>
      <c r="R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 s="3">
        <v>42562</v>
      </c>
      <c r="AC2484" t="s">
        <v>53</v>
      </c>
      <c r="AD2484" t="s">
        <v>53</v>
      </c>
      <c r="AK2484">
        <v>0</v>
      </c>
      <c r="AU2484" s="3">
        <v>42492</v>
      </c>
      <c r="AV2484" s="3">
        <v>42492</v>
      </c>
      <c r="AW2484" t="s">
        <v>54</v>
      </c>
      <c r="AX2484" t="str">
        <f t="shared" si="312"/>
        <v>FOR</v>
      </c>
      <c r="AY2484" t="s">
        <v>55</v>
      </c>
    </row>
    <row r="2485" spans="1:51">
      <c r="A2485">
        <v>104029</v>
      </c>
      <c r="B2485" t="s">
        <v>351</v>
      </c>
      <c r="C2485" t="str">
        <f t="shared" si="313"/>
        <v>01630000287</v>
      </c>
      <c r="D2485" t="str">
        <f t="shared" si="314"/>
        <v>00759430267</v>
      </c>
      <c r="E2485" t="s">
        <v>52</v>
      </c>
      <c r="F2485">
        <v>2015</v>
      </c>
      <c r="G2485" t="str">
        <f>"           1542156/E"</f>
        <v xml:space="preserve">           1542156/E</v>
      </c>
      <c r="H2485" s="3">
        <v>42181</v>
      </c>
      <c r="I2485" s="3">
        <v>42186</v>
      </c>
      <c r="J2485" s="3">
        <v>42181</v>
      </c>
      <c r="K2485" s="3">
        <v>42241</v>
      </c>
      <c r="L2485" s="1">
        <v>654.39</v>
      </c>
      <c r="M2485">
        <v>251</v>
      </c>
      <c r="N2485" s="5">
        <v>164251.89000000001</v>
      </c>
      <c r="O2485">
        <v>654.39</v>
      </c>
      <c r="P2485">
        <v>251</v>
      </c>
      <c r="Q2485" s="4">
        <v>164251.89000000001</v>
      </c>
      <c r="R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>
        <v>0</v>
      </c>
      <c r="AB2485" s="3">
        <v>42562</v>
      </c>
      <c r="AC2485" t="s">
        <v>53</v>
      </c>
      <c r="AD2485" t="s">
        <v>53</v>
      </c>
      <c r="AK2485">
        <v>0</v>
      </c>
      <c r="AU2485" s="3">
        <v>42492</v>
      </c>
      <c r="AV2485" s="3">
        <v>42492</v>
      </c>
      <c r="AW2485" t="s">
        <v>54</v>
      </c>
      <c r="AX2485" t="str">
        <f t="shared" si="312"/>
        <v>FOR</v>
      </c>
      <c r="AY2485" t="s">
        <v>55</v>
      </c>
    </row>
    <row r="2486" spans="1:51">
      <c r="A2486">
        <v>104029</v>
      </c>
      <c r="B2486" t="s">
        <v>351</v>
      </c>
      <c r="C2486" t="str">
        <f t="shared" si="313"/>
        <v>01630000287</v>
      </c>
      <c r="D2486" t="str">
        <f t="shared" si="314"/>
        <v>00759430267</v>
      </c>
      <c r="E2486" t="s">
        <v>52</v>
      </c>
      <c r="F2486">
        <v>2015</v>
      </c>
      <c r="G2486" t="str">
        <f>"           1542157/E"</f>
        <v xml:space="preserve">           1542157/E</v>
      </c>
      <c r="H2486" s="3">
        <v>42181</v>
      </c>
      <c r="I2486" s="3">
        <v>42186</v>
      </c>
      <c r="J2486" s="3">
        <v>42181</v>
      </c>
      <c r="K2486" s="3">
        <v>42241</v>
      </c>
      <c r="L2486" s="1">
        <v>588</v>
      </c>
      <c r="M2486">
        <v>251</v>
      </c>
      <c r="N2486" s="5">
        <v>147588</v>
      </c>
      <c r="O2486">
        <v>588</v>
      </c>
      <c r="P2486">
        <v>251</v>
      </c>
      <c r="Q2486" s="4">
        <v>147588</v>
      </c>
      <c r="R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 s="3">
        <v>42562</v>
      </c>
      <c r="AC2486" t="s">
        <v>53</v>
      </c>
      <c r="AD2486" t="s">
        <v>53</v>
      </c>
      <c r="AK2486">
        <v>0</v>
      </c>
      <c r="AU2486" s="3">
        <v>42492</v>
      </c>
      <c r="AV2486" s="3">
        <v>42492</v>
      </c>
      <c r="AW2486" t="s">
        <v>54</v>
      </c>
      <c r="AX2486" t="str">
        <f t="shared" si="312"/>
        <v>FOR</v>
      </c>
      <c r="AY2486" t="s">
        <v>55</v>
      </c>
    </row>
    <row r="2487" spans="1:51" hidden="1">
      <c r="A2487">
        <v>104041</v>
      </c>
      <c r="B2487" t="s">
        <v>352</v>
      </c>
      <c r="C2487" t="str">
        <f>"06328131211"</f>
        <v>06328131211</v>
      </c>
      <c r="D2487" t="str">
        <f>"06328131211"</f>
        <v>06328131211</v>
      </c>
      <c r="E2487" t="s">
        <v>52</v>
      </c>
      <c r="F2487">
        <v>2015</v>
      </c>
      <c r="G2487" t="str">
        <f>"               FA921"</f>
        <v xml:space="preserve">               FA921</v>
      </c>
      <c r="H2487" s="3">
        <v>42121</v>
      </c>
      <c r="I2487" s="3">
        <v>42165</v>
      </c>
      <c r="J2487" s="3">
        <v>42145</v>
      </c>
      <c r="K2487" s="3">
        <v>42205</v>
      </c>
      <c r="L2487"/>
      <c r="N2487"/>
      <c r="O2487">
        <v>319.11</v>
      </c>
      <c r="P2487">
        <v>197</v>
      </c>
      <c r="Q2487" s="4">
        <v>62864.67</v>
      </c>
      <c r="R2487">
        <v>0</v>
      </c>
      <c r="V2487">
        <v>0</v>
      </c>
      <c r="W2487">
        <v>0</v>
      </c>
      <c r="X2487">
        <v>0</v>
      </c>
      <c r="Y2487">
        <v>0</v>
      </c>
      <c r="Z2487">
        <v>0</v>
      </c>
      <c r="AA2487">
        <v>0</v>
      </c>
      <c r="AB2487" s="3">
        <v>42562</v>
      </c>
      <c r="AC2487" t="s">
        <v>53</v>
      </c>
      <c r="AD2487" t="s">
        <v>53</v>
      </c>
      <c r="AK2487">
        <v>0</v>
      </c>
      <c r="AU2487" s="3">
        <v>42402</v>
      </c>
      <c r="AV2487" s="3">
        <v>42402</v>
      </c>
      <c r="AW2487" t="s">
        <v>54</v>
      </c>
      <c r="AX2487" t="str">
        <f>"AZ1"</f>
        <v>AZ1</v>
      </c>
      <c r="AY2487" t="s">
        <v>74</v>
      </c>
    </row>
    <row r="2488" spans="1:51" hidden="1">
      <c r="A2488">
        <v>104045</v>
      </c>
      <c r="B2488" t="s">
        <v>353</v>
      </c>
      <c r="C2488" t="str">
        <f t="shared" ref="C2488:D2491" si="315">"02364520615"</f>
        <v>02364520615</v>
      </c>
      <c r="D2488" t="str">
        <f t="shared" si="315"/>
        <v>02364520615</v>
      </c>
      <c r="E2488" t="s">
        <v>52</v>
      </c>
      <c r="F2488">
        <v>2015</v>
      </c>
      <c r="G2488" t="str">
        <f>"               54/02"</f>
        <v xml:space="preserve">               54/02</v>
      </c>
      <c r="H2488" s="3">
        <v>42277</v>
      </c>
      <c r="I2488" s="3">
        <v>42282</v>
      </c>
      <c r="J2488" s="3">
        <v>42282</v>
      </c>
      <c r="K2488" s="3">
        <v>42342</v>
      </c>
      <c r="L2488"/>
      <c r="N2488"/>
      <c r="O2488" s="4">
        <v>22574.5</v>
      </c>
      <c r="P2488">
        <v>60</v>
      </c>
      <c r="Q2488" s="4">
        <v>1354470</v>
      </c>
      <c r="R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 s="3">
        <v>42562</v>
      </c>
      <c r="AC2488" t="s">
        <v>53</v>
      </c>
      <c r="AD2488" t="s">
        <v>53</v>
      </c>
      <c r="AK2488">
        <v>0</v>
      </c>
      <c r="AU2488" s="3">
        <v>42402</v>
      </c>
      <c r="AV2488" s="3">
        <v>42402</v>
      </c>
      <c r="AW2488" t="s">
        <v>54</v>
      </c>
      <c r="AX2488" t="str">
        <f t="shared" ref="AX2488:AX2551" si="316">"FOR"</f>
        <v>FOR</v>
      </c>
      <c r="AY2488" t="s">
        <v>55</v>
      </c>
    </row>
    <row r="2489" spans="1:51" hidden="1">
      <c r="A2489">
        <v>104045</v>
      </c>
      <c r="B2489" t="s">
        <v>353</v>
      </c>
      <c r="C2489" t="str">
        <f t="shared" si="315"/>
        <v>02364520615</v>
      </c>
      <c r="D2489" t="str">
        <f t="shared" si="315"/>
        <v>02364520615</v>
      </c>
      <c r="E2489" t="s">
        <v>52</v>
      </c>
      <c r="F2489">
        <v>2015</v>
      </c>
      <c r="G2489" t="str">
        <f>"               69/02"</f>
        <v xml:space="preserve">               69/02</v>
      </c>
      <c r="H2489" s="3">
        <v>42306</v>
      </c>
      <c r="I2489" s="3">
        <v>42312</v>
      </c>
      <c r="J2489" s="3">
        <v>42311</v>
      </c>
      <c r="K2489" s="3">
        <v>42371</v>
      </c>
      <c r="L2489"/>
      <c r="N2489"/>
      <c r="O2489" s="4">
        <v>22574.5</v>
      </c>
      <c r="P2489">
        <v>45</v>
      </c>
      <c r="Q2489" s="4">
        <v>1015852.5</v>
      </c>
      <c r="R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 s="3">
        <v>42562</v>
      </c>
      <c r="AC2489" t="s">
        <v>53</v>
      </c>
      <c r="AD2489" t="s">
        <v>53</v>
      </c>
      <c r="AK2489">
        <v>0</v>
      </c>
      <c r="AU2489" s="3">
        <v>42416</v>
      </c>
      <c r="AV2489" s="3">
        <v>42416</v>
      </c>
      <c r="AW2489" t="s">
        <v>54</v>
      </c>
      <c r="AX2489" t="str">
        <f t="shared" si="316"/>
        <v>FOR</v>
      </c>
      <c r="AY2489" t="s">
        <v>55</v>
      </c>
    </row>
    <row r="2490" spans="1:51" hidden="1">
      <c r="A2490">
        <v>104045</v>
      </c>
      <c r="B2490" t="s">
        <v>353</v>
      </c>
      <c r="C2490" t="str">
        <f t="shared" si="315"/>
        <v>02364520615</v>
      </c>
      <c r="D2490" t="str">
        <f t="shared" si="315"/>
        <v>02364520615</v>
      </c>
      <c r="E2490" t="s">
        <v>52</v>
      </c>
      <c r="F2490">
        <v>2015</v>
      </c>
      <c r="G2490" t="str">
        <f>"               73/02"</f>
        <v xml:space="preserve">               73/02</v>
      </c>
      <c r="H2490" s="3">
        <v>42338</v>
      </c>
      <c r="I2490" s="3">
        <v>42339</v>
      </c>
      <c r="J2490" s="3">
        <v>42339</v>
      </c>
      <c r="K2490" s="3">
        <v>42399</v>
      </c>
      <c r="L2490"/>
      <c r="N2490"/>
      <c r="O2490" s="4">
        <v>22574.5</v>
      </c>
      <c r="P2490">
        <v>54</v>
      </c>
      <c r="Q2490" s="4">
        <v>1219023</v>
      </c>
      <c r="R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 s="3">
        <v>42562</v>
      </c>
      <c r="AC2490" t="s">
        <v>53</v>
      </c>
      <c r="AD2490" t="s">
        <v>53</v>
      </c>
      <c r="AK2490">
        <v>0</v>
      </c>
      <c r="AU2490" s="3">
        <v>42453</v>
      </c>
      <c r="AV2490" s="3">
        <v>42453</v>
      </c>
      <c r="AW2490" t="s">
        <v>54</v>
      </c>
      <c r="AX2490" t="str">
        <f t="shared" si="316"/>
        <v>FOR</v>
      </c>
      <c r="AY2490" t="s">
        <v>55</v>
      </c>
    </row>
    <row r="2491" spans="1:51">
      <c r="A2491">
        <v>104045</v>
      </c>
      <c r="B2491" t="s">
        <v>353</v>
      </c>
      <c r="C2491" t="str">
        <f t="shared" si="315"/>
        <v>02364520615</v>
      </c>
      <c r="D2491" t="str">
        <f t="shared" si="315"/>
        <v>02364520615</v>
      </c>
      <c r="E2491" t="s">
        <v>52</v>
      </c>
      <c r="F2491">
        <v>2015</v>
      </c>
      <c r="G2491" t="str">
        <f>"               85/02"</f>
        <v xml:space="preserve">               85/02</v>
      </c>
      <c r="H2491" s="3">
        <v>42366</v>
      </c>
      <c r="I2491" s="3">
        <v>42368</v>
      </c>
      <c r="J2491" s="3">
        <v>42366</v>
      </c>
      <c r="K2491" s="3">
        <v>42426</v>
      </c>
      <c r="L2491" s="5">
        <v>22574.5</v>
      </c>
      <c r="M2491">
        <v>103</v>
      </c>
      <c r="N2491" s="5">
        <v>2325173.5</v>
      </c>
      <c r="O2491" s="4">
        <v>22574.5</v>
      </c>
      <c r="P2491">
        <v>103</v>
      </c>
      <c r="Q2491" s="4">
        <v>2325173.5</v>
      </c>
      <c r="R2491" s="4">
        <v>4966.3900000000003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 s="3">
        <v>42562</v>
      </c>
      <c r="AC2491" t="s">
        <v>53</v>
      </c>
      <c r="AD2491" t="s">
        <v>53</v>
      </c>
      <c r="AI2491" s="4">
        <v>4966.3900000000003</v>
      </c>
      <c r="AK2491">
        <v>0</v>
      </c>
      <c r="AU2491" s="3">
        <v>42529</v>
      </c>
      <c r="AV2491" s="3">
        <v>42529</v>
      </c>
      <c r="AW2491" t="s">
        <v>54</v>
      </c>
      <c r="AX2491" t="str">
        <f t="shared" si="316"/>
        <v>FOR</v>
      </c>
      <c r="AY2491" t="s">
        <v>55</v>
      </c>
    </row>
    <row r="2492" spans="1:51" hidden="1">
      <c r="A2492">
        <v>104048</v>
      </c>
      <c r="B2492" t="s">
        <v>354</v>
      </c>
      <c r="C2492" t="str">
        <f t="shared" ref="C2492:D2511" si="317">"00674840152"</f>
        <v>00674840152</v>
      </c>
      <c r="D2492" t="str">
        <f t="shared" si="317"/>
        <v>00674840152</v>
      </c>
      <c r="E2492" t="s">
        <v>52</v>
      </c>
      <c r="F2492">
        <v>2015</v>
      </c>
      <c r="G2492" t="str">
        <f>"          5301622967"</f>
        <v xml:space="preserve">          5301622967</v>
      </c>
      <c r="H2492" s="3">
        <v>42035</v>
      </c>
      <c r="I2492" s="3">
        <v>42052</v>
      </c>
      <c r="J2492" s="3">
        <v>42052</v>
      </c>
      <c r="K2492" s="3">
        <v>42112</v>
      </c>
      <c r="L2492"/>
      <c r="N2492"/>
      <c r="O2492">
        <v>273.27999999999997</v>
      </c>
      <c r="P2492">
        <v>291</v>
      </c>
      <c r="Q2492" s="4">
        <v>79524.479999999996</v>
      </c>
      <c r="R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 s="3">
        <v>42562</v>
      </c>
      <c r="AC2492" t="s">
        <v>53</v>
      </c>
      <c r="AD2492" t="s">
        <v>53</v>
      </c>
      <c r="AK2492">
        <v>0</v>
      </c>
      <c r="AU2492" s="3">
        <v>42403</v>
      </c>
      <c r="AV2492" s="3">
        <v>42403</v>
      </c>
      <c r="AW2492" t="s">
        <v>54</v>
      </c>
      <c r="AX2492" t="str">
        <f t="shared" si="316"/>
        <v>FOR</v>
      </c>
      <c r="AY2492" t="s">
        <v>55</v>
      </c>
    </row>
    <row r="2493" spans="1:51" hidden="1">
      <c r="A2493">
        <v>104048</v>
      </c>
      <c r="B2493" t="s">
        <v>354</v>
      </c>
      <c r="C2493" t="str">
        <f t="shared" si="317"/>
        <v>00674840152</v>
      </c>
      <c r="D2493" t="str">
        <f t="shared" si="317"/>
        <v>00674840152</v>
      </c>
      <c r="E2493" t="s">
        <v>52</v>
      </c>
      <c r="F2493">
        <v>2015</v>
      </c>
      <c r="G2493" t="str">
        <f>"          5301622968"</f>
        <v xml:space="preserve">          5301622968</v>
      </c>
      <c r="H2493" s="3">
        <v>42035</v>
      </c>
      <c r="I2493" s="3">
        <v>42052</v>
      </c>
      <c r="J2493" s="3">
        <v>42052</v>
      </c>
      <c r="K2493" s="3">
        <v>42112</v>
      </c>
      <c r="L2493"/>
      <c r="N2493"/>
      <c r="O2493">
        <v>136.63999999999999</v>
      </c>
      <c r="P2493">
        <v>291</v>
      </c>
      <c r="Q2493" s="4">
        <v>39762.239999999998</v>
      </c>
      <c r="R2493">
        <v>0</v>
      </c>
      <c r="V2493">
        <v>0</v>
      </c>
      <c r="W2493">
        <v>0</v>
      </c>
      <c r="X2493">
        <v>0</v>
      </c>
      <c r="Y2493">
        <v>0</v>
      </c>
      <c r="Z2493">
        <v>0</v>
      </c>
      <c r="AA2493">
        <v>0</v>
      </c>
      <c r="AB2493" s="3">
        <v>42562</v>
      </c>
      <c r="AC2493" t="s">
        <v>53</v>
      </c>
      <c r="AD2493" t="s">
        <v>53</v>
      </c>
      <c r="AK2493">
        <v>0</v>
      </c>
      <c r="AU2493" s="3">
        <v>42403</v>
      </c>
      <c r="AV2493" s="3">
        <v>42403</v>
      </c>
      <c r="AW2493" t="s">
        <v>54</v>
      </c>
      <c r="AX2493" t="str">
        <f t="shared" si="316"/>
        <v>FOR</v>
      </c>
      <c r="AY2493" t="s">
        <v>55</v>
      </c>
    </row>
    <row r="2494" spans="1:51" hidden="1">
      <c r="A2494">
        <v>104048</v>
      </c>
      <c r="B2494" t="s">
        <v>354</v>
      </c>
      <c r="C2494" t="str">
        <f t="shared" si="317"/>
        <v>00674840152</v>
      </c>
      <c r="D2494" t="str">
        <f t="shared" si="317"/>
        <v>00674840152</v>
      </c>
      <c r="E2494" t="s">
        <v>52</v>
      </c>
      <c r="F2494">
        <v>2015</v>
      </c>
      <c r="G2494" t="str">
        <f>"          5301628109"</f>
        <v xml:space="preserve">          5301628109</v>
      </c>
      <c r="H2494" s="3">
        <v>42057</v>
      </c>
      <c r="I2494" s="3">
        <v>42069</v>
      </c>
      <c r="J2494" s="3">
        <v>42069</v>
      </c>
      <c r="K2494" s="3">
        <v>42129</v>
      </c>
      <c r="L2494"/>
      <c r="N2494"/>
      <c r="O2494" s="4">
        <v>1546.98</v>
      </c>
      <c r="P2494">
        <v>274</v>
      </c>
      <c r="Q2494" s="4">
        <v>423872.52</v>
      </c>
      <c r="R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 s="3">
        <v>42562</v>
      </c>
      <c r="AC2494" t="s">
        <v>53</v>
      </c>
      <c r="AD2494" t="s">
        <v>53</v>
      </c>
      <c r="AK2494">
        <v>0</v>
      </c>
      <c r="AU2494" s="3">
        <v>42403</v>
      </c>
      <c r="AV2494" s="3">
        <v>42403</v>
      </c>
      <c r="AW2494" t="s">
        <v>54</v>
      </c>
      <c r="AX2494" t="str">
        <f t="shared" si="316"/>
        <v>FOR</v>
      </c>
      <c r="AY2494" t="s">
        <v>55</v>
      </c>
    </row>
    <row r="2495" spans="1:51" hidden="1">
      <c r="A2495">
        <v>104048</v>
      </c>
      <c r="B2495" t="s">
        <v>354</v>
      </c>
      <c r="C2495" t="str">
        <f t="shared" si="317"/>
        <v>00674840152</v>
      </c>
      <c r="D2495" t="str">
        <f t="shared" si="317"/>
        <v>00674840152</v>
      </c>
      <c r="E2495" t="s">
        <v>52</v>
      </c>
      <c r="F2495">
        <v>2015</v>
      </c>
      <c r="G2495" t="str">
        <f>"          5301628110"</f>
        <v xml:space="preserve">          5301628110</v>
      </c>
      <c r="H2495" s="3">
        <v>42057</v>
      </c>
      <c r="I2495" s="3">
        <v>42069</v>
      </c>
      <c r="J2495" s="3">
        <v>42069</v>
      </c>
      <c r="K2495" s="3">
        <v>42129</v>
      </c>
      <c r="L2495"/>
      <c r="N2495"/>
      <c r="O2495" s="4">
        <v>4800</v>
      </c>
      <c r="P2495">
        <v>274</v>
      </c>
      <c r="Q2495" s="4">
        <v>1315200</v>
      </c>
      <c r="R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 s="3">
        <v>42562</v>
      </c>
      <c r="AC2495" t="s">
        <v>53</v>
      </c>
      <c r="AD2495" t="s">
        <v>53</v>
      </c>
      <c r="AK2495">
        <v>0</v>
      </c>
      <c r="AU2495" s="3">
        <v>42403</v>
      </c>
      <c r="AV2495" s="3">
        <v>42403</v>
      </c>
      <c r="AW2495" t="s">
        <v>54</v>
      </c>
      <c r="AX2495" t="str">
        <f t="shared" si="316"/>
        <v>FOR</v>
      </c>
      <c r="AY2495" t="s">
        <v>55</v>
      </c>
    </row>
    <row r="2496" spans="1:51" hidden="1">
      <c r="A2496">
        <v>104048</v>
      </c>
      <c r="B2496" t="s">
        <v>354</v>
      </c>
      <c r="C2496" t="str">
        <f t="shared" si="317"/>
        <v>00674840152</v>
      </c>
      <c r="D2496" t="str">
        <f t="shared" si="317"/>
        <v>00674840152</v>
      </c>
      <c r="E2496" t="s">
        <v>52</v>
      </c>
      <c r="F2496">
        <v>2015</v>
      </c>
      <c r="G2496" t="str">
        <f>"          5301628111"</f>
        <v xml:space="preserve">          5301628111</v>
      </c>
      <c r="H2496" s="3">
        <v>42057</v>
      </c>
      <c r="I2496" s="3">
        <v>42069</v>
      </c>
      <c r="J2496" s="3">
        <v>42069</v>
      </c>
      <c r="K2496" s="3">
        <v>42129</v>
      </c>
      <c r="L2496"/>
      <c r="N2496"/>
      <c r="O2496">
        <v>764.1</v>
      </c>
      <c r="P2496">
        <v>274</v>
      </c>
      <c r="Q2496" s="4">
        <v>209363.4</v>
      </c>
      <c r="R2496">
        <v>0</v>
      </c>
      <c r="V2496">
        <v>0</v>
      </c>
      <c r="W2496">
        <v>0</v>
      </c>
      <c r="X2496">
        <v>0</v>
      </c>
      <c r="Y2496">
        <v>0</v>
      </c>
      <c r="Z2496">
        <v>0</v>
      </c>
      <c r="AA2496">
        <v>0</v>
      </c>
      <c r="AB2496" s="3">
        <v>42562</v>
      </c>
      <c r="AC2496" t="s">
        <v>53</v>
      </c>
      <c r="AD2496" t="s">
        <v>53</v>
      </c>
      <c r="AK2496">
        <v>0</v>
      </c>
      <c r="AU2496" s="3">
        <v>42403</v>
      </c>
      <c r="AV2496" s="3">
        <v>42403</v>
      </c>
      <c r="AW2496" t="s">
        <v>54</v>
      </c>
      <c r="AX2496" t="str">
        <f t="shared" si="316"/>
        <v>FOR</v>
      </c>
      <c r="AY2496" t="s">
        <v>55</v>
      </c>
    </row>
    <row r="2497" spans="1:51" hidden="1">
      <c r="A2497">
        <v>104048</v>
      </c>
      <c r="B2497" t="s">
        <v>354</v>
      </c>
      <c r="C2497" t="str">
        <f t="shared" si="317"/>
        <v>00674840152</v>
      </c>
      <c r="D2497" t="str">
        <f t="shared" si="317"/>
        <v>00674840152</v>
      </c>
      <c r="E2497" t="s">
        <v>52</v>
      </c>
      <c r="F2497">
        <v>2015</v>
      </c>
      <c r="G2497" t="str">
        <f>"          5301628112"</f>
        <v xml:space="preserve">          5301628112</v>
      </c>
      <c r="H2497" s="3">
        <v>42057</v>
      </c>
      <c r="I2497" s="3">
        <v>42069</v>
      </c>
      <c r="J2497" s="3">
        <v>42069</v>
      </c>
      <c r="K2497" s="3">
        <v>42129</v>
      </c>
      <c r="L2497"/>
      <c r="N2497"/>
      <c r="O2497">
        <v>124.86</v>
      </c>
      <c r="P2497">
        <v>274</v>
      </c>
      <c r="Q2497" s="4">
        <v>34211.64</v>
      </c>
      <c r="R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 s="3">
        <v>42562</v>
      </c>
      <c r="AC2497" t="s">
        <v>53</v>
      </c>
      <c r="AD2497" t="s">
        <v>53</v>
      </c>
      <c r="AK2497">
        <v>0</v>
      </c>
      <c r="AU2497" s="3">
        <v>42403</v>
      </c>
      <c r="AV2497" s="3">
        <v>42403</v>
      </c>
      <c r="AW2497" t="s">
        <v>54</v>
      </c>
      <c r="AX2497" t="str">
        <f t="shared" si="316"/>
        <v>FOR</v>
      </c>
      <c r="AY2497" t="s">
        <v>55</v>
      </c>
    </row>
    <row r="2498" spans="1:51" hidden="1">
      <c r="A2498">
        <v>104048</v>
      </c>
      <c r="B2498" t="s">
        <v>354</v>
      </c>
      <c r="C2498" t="str">
        <f t="shared" si="317"/>
        <v>00674840152</v>
      </c>
      <c r="D2498" t="str">
        <f t="shared" si="317"/>
        <v>00674840152</v>
      </c>
      <c r="E2498" t="s">
        <v>52</v>
      </c>
      <c r="F2498">
        <v>2015</v>
      </c>
      <c r="G2498" t="str">
        <f>"          5301628113"</f>
        <v xml:space="preserve">          5301628113</v>
      </c>
      <c r="H2498" s="3">
        <v>42057</v>
      </c>
      <c r="I2498" s="3">
        <v>42069</v>
      </c>
      <c r="J2498" s="3">
        <v>42069</v>
      </c>
      <c r="K2498" s="3">
        <v>42129</v>
      </c>
      <c r="L2498"/>
      <c r="N2498"/>
      <c r="O2498">
        <v>588</v>
      </c>
      <c r="P2498">
        <v>274</v>
      </c>
      <c r="Q2498" s="4">
        <v>161112</v>
      </c>
      <c r="R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 s="3">
        <v>42562</v>
      </c>
      <c r="AC2498" t="s">
        <v>53</v>
      </c>
      <c r="AD2498" t="s">
        <v>53</v>
      </c>
      <c r="AK2498">
        <v>0</v>
      </c>
      <c r="AU2498" s="3">
        <v>42403</v>
      </c>
      <c r="AV2498" s="3">
        <v>42403</v>
      </c>
      <c r="AW2498" t="s">
        <v>54</v>
      </c>
      <c r="AX2498" t="str">
        <f t="shared" si="316"/>
        <v>FOR</v>
      </c>
      <c r="AY2498" t="s">
        <v>55</v>
      </c>
    </row>
    <row r="2499" spans="1:51" hidden="1">
      <c r="A2499">
        <v>104048</v>
      </c>
      <c r="B2499" t="s">
        <v>354</v>
      </c>
      <c r="C2499" t="str">
        <f t="shared" si="317"/>
        <v>00674840152</v>
      </c>
      <c r="D2499" t="str">
        <f t="shared" si="317"/>
        <v>00674840152</v>
      </c>
      <c r="E2499" t="s">
        <v>52</v>
      </c>
      <c r="F2499">
        <v>2015</v>
      </c>
      <c r="G2499" t="str">
        <f>"          5301628114"</f>
        <v xml:space="preserve">          5301628114</v>
      </c>
      <c r="H2499" s="3">
        <v>42057</v>
      </c>
      <c r="I2499" s="3">
        <v>42069</v>
      </c>
      <c r="J2499" s="3">
        <v>42069</v>
      </c>
      <c r="K2499" s="3">
        <v>42129</v>
      </c>
      <c r="L2499"/>
      <c r="N2499"/>
      <c r="O2499">
        <v>620</v>
      </c>
      <c r="P2499">
        <v>274</v>
      </c>
      <c r="Q2499" s="4">
        <v>169880</v>
      </c>
      <c r="R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 s="3">
        <v>42562</v>
      </c>
      <c r="AC2499" t="s">
        <v>53</v>
      </c>
      <c r="AD2499" t="s">
        <v>53</v>
      </c>
      <c r="AK2499">
        <v>0</v>
      </c>
      <c r="AU2499" s="3">
        <v>42403</v>
      </c>
      <c r="AV2499" s="3">
        <v>42403</v>
      </c>
      <c r="AW2499" t="s">
        <v>54</v>
      </c>
      <c r="AX2499" t="str">
        <f t="shared" si="316"/>
        <v>FOR</v>
      </c>
      <c r="AY2499" t="s">
        <v>55</v>
      </c>
    </row>
    <row r="2500" spans="1:51" hidden="1">
      <c r="A2500">
        <v>104048</v>
      </c>
      <c r="B2500" t="s">
        <v>354</v>
      </c>
      <c r="C2500" t="str">
        <f t="shared" si="317"/>
        <v>00674840152</v>
      </c>
      <c r="D2500" t="str">
        <f t="shared" si="317"/>
        <v>00674840152</v>
      </c>
      <c r="E2500" t="s">
        <v>52</v>
      </c>
      <c r="F2500">
        <v>2015</v>
      </c>
      <c r="G2500" t="str">
        <f>"          5301631996"</f>
        <v xml:space="preserve">          5301631996</v>
      </c>
      <c r="H2500" s="3">
        <v>42059</v>
      </c>
      <c r="I2500" s="3">
        <v>42069</v>
      </c>
      <c r="J2500" s="3">
        <v>42069</v>
      </c>
      <c r="K2500" s="3">
        <v>42129</v>
      </c>
      <c r="L2500"/>
      <c r="N2500"/>
      <c r="O2500" s="4">
        <v>1611.1</v>
      </c>
      <c r="P2500">
        <v>274</v>
      </c>
      <c r="Q2500" s="4">
        <v>441441.4</v>
      </c>
      <c r="R2500">
        <v>0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 s="3">
        <v>42562</v>
      </c>
      <c r="AC2500" t="s">
        <v>53</v>
      </c>
      <c r="AD2500" t="s">
        <v>53</v>
      </c>
      <c r="AK2500">
        <v>0</v>
      </c>
      <c r="AU2500" s="3">
        <v>42403</v>
      </c>
      <c r="AV2500" s="3">
        <v>42403</v>
      </c>
      <c r="AW2500" t="s">
        <v>54</v>
      </c>
      <c r="AX2500" t="str">
        <f t="shared" si="316"/>
        <v>FOR</v>
      </c>
      <c r="AY2500" t="s">
        <v>55</v>
      </c>
    </row>
    <row r="2501" spans="1:51" hidden="1">
      <c r="A2501">
        <v>104048</v>
      </c>
      <c r="B2501" t="s">
        <v>354</v>
      </c>
      <c r="C2501" t="str">
        <f t="shared" si="317"/>
        <v>00674840152</v>
      </c>
      <c r="D2501" t="str">
        <f t="shared" si="317"/>
        <v>00674840152</v>
      </c>
      <c r="E2501" t="s">
        <v>52</v>
      </c>
      <c r="F2501">
        <v>2015</v>
      </c>
      <c r="G2501" t="str">
        <f>"          5301632138"</f>
        <v xml:space="preserve">          5301632138</v>
      </c>
      <c r="H2501" s="3">
        <v>42059</v>
      </c>
      <c r="I2501" s="3">
        <v>42069</v>
      </c>
      <c r="J2501" s="3">
        <v>42069</v>
      </c>
      <c r="K2501" s="3">
        <v>42129</v>
      </c>
      <c r="L2501"/>
      <c r="N2501"/>
      <c r="O2501" s="4">
        <v>1965</v>
      </c>
      <c r="P2501">
        <v>274</v>
      </c>
      <c r="Q2501" s="4">
        <v>538410</v>
      </c>
      <c r="R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 s="3">
        <v>42562</v>
      </c>
      <c r="AC2501" t="s">
        <v>53</v>
      </c>
      <c r="AD2501" t="s">
        <v>53</v>
      </c>
      <c r="AK2501">
        <v>0</v>
      </c>
      <c r="AU2501" s="3">
        <v>42403</v>
      </c>
      <c r="AV2501" s="3">
        <v>42403</v>
      </c>
      <c r="AW2501" t="s">
        <v>54</v>
      </c>
      <c r="AX2501" t="str">
        <f t="shared" si="316"/>
        <v>FOR</v>
      </c>
      <c r="AY2501" t="s">
        <v>55</v>
      </c>
    </row>
    <row r="2502" spans="1:51" hidden="1">
      <c r="A2502">
        <v>104048</v>
      </c>
      <c r="B2502" t="s">
        <v>354</v>
      </c>
      <c r="C2502" t="str">
        <f t="shared" si="317"/>
        <v>00674840152</v>
      </c>
      <c r="D2502" t="str">
        <f t="shared" si="317"/>
        <v>00674840152</v>
      </c>
      <c r="E2502" t="s">
        <v>52</v>
      </c>
      <c r="F2502">
        <v>2015</v>
      </c>
      <c r="G2502" t="str">
        <f>"          5301632139"</f>
        <v xml:space="preserve">          5301632139</v>
      </c>
      <c r="H2502" s="3">
        <v>42059</v>
      </c>
      <c r="I2502" s="3">
        <v>42069</v>
      </c>
      <c r="J2502" s="3">
        <v>42069</v>
      </c>
      <c r="K2502" s="3">
        <v>42129</v>
      </c>
      <c r="L2502"/>
      <c r="N2502"/>
      <c r="O2502" s="4">
        <v>1240</v>
      </c>
      <c r="P2502">
        <v>274</v>
      </c>
      <c r="Q2502" s="4">
        <v>339760</v>
      </c>
      <c r="R2502">
        <v>0</v>
      </c>
      <c r="V2502">
        <v>0</v>
      </c>
      <c r="W2502">
        <v>0</v>
      </c>
      <c r="X2502">
        <v>0</v>
      </c>
      <c r="Y2502">
        <v>0</v>
      </c>
      <c r="Z2502">
        <v>0</v>
      </c>
      <c r="AA2502">
        <v>0</v>
      </c>
      <c r="AB2502" s="3">
        <v>42562</v>
      </c>
      <c r="AC2502" t="s">
        <v>53</v>
      </c>
      <c r="AD2502" t="s">
        <v>53</v>
      </c>
      <c r="AK2502">
        <v>0</v>
      </c>
      <c r="AU2502" s="3">
        <v>42403</v>
      </c>
      <c r="AV2502" s="3">
        <v>42403</v>
      </c>
      <c r="AW2502" t="s">
        <v>54</v>
      </c>
      <c r="AX2502" t="str">
        <f t="shared" si="316"/>
        <v>FOR</v>
      </c>
      <c r="AY2502" t="s">
        <v>55</v>
      </c>
    </row>
    <row r="2503" spans="1:51" hidden="1">
      <c r="A2503">
        <v>104048</v>
      </c>
      <c r="B2503" t="s">
        <v>354</v>
      </c>
      <c r="C2503" t="str">
        <f t="shared" si="317"/>
        <v>00674840152</v>
      </c>
      <c r="D2503" t="str">
        <f t="shared" si="317"/>
        <v>00674840152</v>
      </c>
      <c r="E2503" t="s">
        <v>52</v>
      </c>
      <c r="F2503">
        <v>2015</v>
      </c>
      <c r="G2503" t="str">
        <f>"          5301633620"</f>
        <v xml:space="preserve">          5301633620</v>
      </c>
      <c r="H2503" s="3">
        <v>42065</v>
      </c>
      <c r="I2503" s="3">
        <v>42076</v>
      </c>
      <c r="J2503" s="3">
        <v>42076</v>
      </c>
      <c r="K2503" s="3">
        <v>42136</v>
      </c>
      <c r="L2503"/>
      <c r="N2503"/>
      <c r="O2503">
        <v>264.39999999999998</v>
      </c>
      <c r="P2503">
        <v>267</v>
      </c>
      <c r="Q2503" s="4">
        <v>70594.8</v>
      </c>
      <c r="R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 s="3">
        <v>42562</v>
      </c>
      <c r="AC2503" t="s">
        <v>53</v>
      </c>
      <c r="AD2503" t="s">
        <v>53</v>
      </c>
      <c r="AK2503">
        <v>0</v>
      </c>
      <c r="AU2503" s="3">
        <v>42403</v>
      </c>
      <c r="AV2503" s="3">
        <v>42403</v>
      </c>
      <c r="AW2503" t="s">
        <v>54</v>
      </c>
      <c r="AX2503" t="str">
        <f t="shared" si="316"/>
        <v>FOR</v>
      </c>
      <c r="AY2503" t="s">
        <v>55</v>
      </c>
    </row>
    <row r="2504" spans="1:51" hidden="1">
      <c r="A2504">
        <v>104048</v>
      </c>
      <c r="B2504" t="s">
        <v>354</v>
      </c>
      <c r="C2504" t="str">
        <f t="shared" si="317"/>
        <v>00674840152</v>
      </c>
      <c r="D2504" t="str">
        <f t="shared" si="317"/>
        <v>00674840152</v>
      </c>
      <c r="E2504" t="s">
        <v>52</v>
      </c>
      <c r="F2504">
        <v>2015</v>
      </c>
      <c r="G2504" t="str">
        <f>"          5301633621"</f>
        <v xml:space="preserve">          5301633621</v>
      </c>
      <c r="H2504" s="3">
        <v>42065</v>
      </c>
      <c r="I2504" s="3">
        <v>42076</v>
      </c>
      <c r="J2504" s="3">
        <v>42076</v>
      </c>
      <c r="K2504" s="3">
        <v>42136</v>
      </c>
      <c r="L2504"/>
      <c r="N2504"/>
      <c r="O2504">
        <v>592.79999999999995</v>
      </c>
      <c r="P2504">
        <v>267</v>
      </c>
      <c r="Q2504" s="4">
        <v>158277.6</v>
      </c>
      <c r="R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 s="3">
        <v>42562</v>
      </c>
      <c r="AC2504" t="s">
        <v>53</v>
      </c>
      <c r="AD2504" t="s">
        <v>53</v>
      </c>
      <c r="AK2504">
        <v>0</v>
      </c>
      <c r="AU2504" s="3">
        <v>42403</v>
      </c>
      <c r="AV2504" s="3">
        <v>42403</v>
      </c>
      <c r="AW2504" t="s">
        <v>54</v>
      </c>
      <c r="AX2504" t="str">
        <f t="shared" si="316"/>
        <v>FOR</v>
      </c>
      <c r="AY2504" t="s">
        <v>55</v>
      </c>
    </row>
    <row r="2505" spans="1:51" hidden="1">
      <c r="A2505">
        <v>104048</v>
      </c>
      <c r="B2505" t="s">
        <v>354</v>
      </c>
      <c r="C2505" t="str">
        <f t="shared" si="317"/>
        <v>00674840152</v>
      </c>
      <c r="D2505" t="str">
        <f t="shared" si="317"/>
        <v>00674840152</v>
      </c>
      <c r="E2505" t="s">
        <v>52</v>
      </c>
      <c r="F2505">
        <v>2015</v>
      </c>
      <c r="G2505" t="str">
        <f>"          5301633622"</f>
        <v xml:space="preserve">          5301633622</v>
      </c>
      <c r="H2505" s="3">
        <v>42065</v>
      </c>
      <c r="I2505" s="3">
        <v>42076</v>
      </c>
      <c r="J2505" s="3">
        <v>42076</v>
      </c>
      <c r="K2505" s="3">
        <v>42136</v>
      </c>
      <c r="L2505"/>
      <c r="N2505"/>
      <c r="O2505">
        <v>478</v>
      </c>
      <c r="P2505">
        <v>267</v>
      </c>
      <c r="Q2505" s="4">
        <v>127626</v>
      </c>
      <c r="R2505">
        <v>0</v>
      </c>
      <c r="V2505">
        <v>0</v>
      </c>
      <c r="W2505">
        <v>0</v>
      </c>
      <c r="X2505">
        <v>0</v>
      </c>
      <c r="Y2505">
        <v>0</v>
      </c>
      <c r="Z2505">
        <v>0</v>
      </c>
      <c r="AA2505">
        <v>0</v>
      </c>
      <c r="AB2505" s="3">
        <v>42562</v>
      </c>
      <c r="AC2505" t="s">
        <v>53</v>
      </c>
      <c r="AD2505" t="s">
        <v>53</v>
      </c>
      <c r="AK2505">
        <v>0</v>
      </c>
      <c r="AU2505" s="3">
        <v>42403</v>
      </c>
      <c r="AV2505" s="3">
        <v>42403</v>
      </c>
      <c r="AW2505" t="s">
        <v>54</v>
      </c>
      <c r="AX2505" t="str">
        <f t="shared" si="316"/>
        <v>FOR</v>
      </c>
      <c r="AY2505" t="s">
        <v>55</v>
      </c>
    </row>
    <row r="2506" spans="1:51" hidden="1">
      <c r="A2506">
        <v>104048</v>
      </c>
      <c r="B2506" t="s">
        <v>354</v>
      </c>
      <c r="C2506" t="str">
        <f t="shared" si="317"/>
        <v>00674840152</v>
      </c>
      <c r="D2506" t="str">
        <f t="shared" si="317"/>
        <v>00674840152</v>
      </c>
      <c r="E2506" t="s">
        <v>52</v>
      </c>
      <c r="F2506">
        <v>2015</v>
      </c>
      <c r="G2506" t="str">
        <f>"          5301633623"</f>
        <v xml:space="preserve">          5301633623</v>
      </c>
      <c r="H2506" s="3">
        <v>42065</v>
      </c>
      <c r="I2506" s="3">
        <v>42076</v>
      </c>
      <c r="J2506" s="3">
        <v>42076</v>
      </c>
      <c r="K2506" s="3">
        <v>42136</v>
      </c>
      <c r="L2506"/>
      <c r="N2506"/>
      <c r="O2506">
        <v>617.20000000000005</v>
      </c>
      <c r="P2506">
        <v>267</v>
      </c>
      <c r="Q2506" s="4">
        <v>164792.4</v>
      </c>
      <c r="R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 s="3">
        <v>42562</v>
      </c>
      <c r="AC2506" t="s">
        <v>53</v>
      </c>
      <c r="AD2506" t="s">
        <v>53</v>
      </c>
      <c r="AK2506">
        <v>0</v>
      </c>
      <c r="AU2506" s="3">
        <v>42403</v>
      </c>
      <c r="AV2506" s="3">
        <v>42403</v>
      </c>
      <c r="AW2506" t="s">
        <v>54</v>
      </c>
      <c r="AX2506" t="str">
        <f t="shared" si="316"/>
        <v>FOR</v>
      </c>
      <c r="AY2506" t="s">
        <v>55</v>
      </c>
    </row>
    <row r="2507" spans="1:51" hidden="1">
      <c r="A2507">
        <v>104048</v>
      </c>
      <c r="B2507" t="s">
        <v>354</v>
      </c>
      <c r="C2507" t="str">
        <f t="shared" si="317"/>
        <v>00674840152</v>
      </c>
      <c r="D2507" t="str">
        <f t="shared" si="317"/>
        <v>00674840152</v>
      </c>
      <c r="E2507" t="s">
        <v>52</v>
      </c>
      <c r="F2507">
        <v>2015</v>
      </c>
      <c r="G2507" t="str">
        <f>"          5301633624"</f>
        <v xml:space="preserve">          5301633624</v>
      </c>
      <c r="H2507" s="3">
        <v>42065</v>
      </c>
      <c r="I2507" s="3">
        <v>42076</v>
      </c>
      <c r="J2507" s="3">
        <v>42076</v>
      </c>
      <c r="K2507" s="3">
        <v>42136</v>
      </c>
      <c r="L2507"/>
      <c r="N2507"/>
      <c r="O2507">
        <v>534.4</v>
      </c>
      <c r="P2507">
        <v>267</v>
      </c>
      <c r="Q2507" s="4">
        <v>142684.79999999999</v>
      </c>
      <c r="R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 s="3">
        <v>42562</v>
      </c>
      <c r="AC2507" t="s">
        <v>53</v>
      </c>
      <c r="AD2507" t="s">
        <v>53</v>
      </c>
      <c r="AK2507">
        <v>0</v>
      </c>
      <c r="AU2507" s="3">
        <v>42403</v>
      </c>
      <c r="AV2507" s="3">
        <v>42403</v>
      </c>
      <c r="AW2507" t="s">
        <v>54</v>
      </c>
      <c r="AX2507" t="str">
        <f t="shared" si="316"/>
        <v>FOR</v>
      </c>
      <c r="AY2507" t="s">
        <v>55</v>
      </c>
    </row>
    <row r="2508" spans="1:51" hidden="1">
      <c r="A2508">
        <v>104048</v>
      </c>
      <c r="B2508" t="s">
        <v>354</v>
      </c>
      <c r="C2508" t="str">
        <f t="shared" si="317"/>
        <v>00674840152</v>
      </c>
      <c r="D2508" t="str">
        <f t="shared" si="317"/>
        <v>00674840152</v>
      </c>
      <c r="E2508" t="s">
        <v>52</v>
      </c>
      <c r="F2508">
        <v>2015</v>
      </c>
      <c r="G2508" t="str">
        <f>"          5301633625"</f>
        <v xml:space="preserve">          5301633625</v>
      </c>
      <c r="H2508" s="3">
        <v>42065</v>
      </c>
      <c r="I2508" s="3">
        <v>42076</v>
      </c>
      <c r="J2508" s="3">
        <v>42076</v>
      </c>
      <c r="K2508" s="3">
        <v>42136</v>
      </c>
      <c r="L2508"/>
      <c r="N2508"/>
      <c r="O2508">
        <v>284</v>
      </c>
      <c r="P2508">
        <v>267</v>
      </c>
      <c r="Q2508" s="4">
        <v>75828</v>
      </c>
      <c r="R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 s="3">
        <v>42562</v>
      </c>
      <c r="AC2508" t="s">
        <v>53</v>
      </c>
      <c r="AD2508" t="s">
        <v>53</v>
      </c>
      <c r="AK2508">
        <v>0</v>
      </c>
      <c r="AU2508" s="3">
        <v>42403</v>
      </c>
      <c r="AV2508" s="3">
        <v>42403</v>
      </c>
      <c r="AW2508" t="s">
        <v>54</v>
      </c>
      <c r="AX2508" t="str">
        <f t="shared" si="316"/>
        <v>FOR</v>
      </c>
      <c r="AY2508" t="s">
        <v>55</v>
      </c>
    </row>
    <row r="2509" spans="1:51" hidden="1">
      <c r="A2509">
        <v>104048</v>
      </c>
      <c r="B2509" t="s">
        <v>354</v>
      </c>
      <c r="C2509" t="str">
        <f t="shared" si="317"/>
        <v>00674840152</v>
      </c>
      <c r="D2509" t="str">
        <f t="shared" si="317"/>
        <v>00674840152</v>
      </c>
      <c r="E2509" t="s">
        <v>52</v>
      </c>
      <c r="F2509">
        <v>2015</v>
      </c>
      <c r="G2509" t="str">
        <f>"          5301633626"</f>
        <v xml:space="preserve">          5301633626</v>
      </c>
      <c r="H2509" s="3">
        <v>42065</v>
      </c>
      <c r="I2509" s="3">
        <v>42076</v>
      </c>
      <c r="J2509" s="3">
        <v>42076</v>
      </c>
      <c r="K2509" s="3">
        <v>42136</v>
      </c>
      <c r="L2509"/>
      <c r="N2509"/>
      <c r="O2509">
        <v>302.39999999999998</v>
      </c>
      <c r="P2509">
        <v>267</v>
      </c>
      <c r="Q2509" s="4">
        <v>80740.800000000003</v>
      </c>
      <c r="R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 s="3">
        <v>42562</v>
      </c>
      <c r="AC2509" t="s">
        <v>53</v>
      </c>
      <c r="AD2509" t="s">
        <v>53</v>
      </c>
      <c r="AK2509">
        <v>0</v>
      </c>
      <c r="AU2509" s="3">
        <v>42403</v>
      </c>
      <c r="AV2509" s="3">
        <v>42403</v>
      </c>
      <c r="AW2509" t="s">
        <v>54</v>
      </c>
      <c r="AX2509" t="str">
        <f t="shared" si="316"/>
        <v>FOR</v>
      </c>
      <c r="AY2509" t="s">
        <v>55</v>
      </c>
    </row>
    <row r="2510" spans="1:51" hidden="1">
      <c r="A2510">
        <v>104048</v>
      </c>
      <c r="B2510" t="s">
        <v>354</v>
      </c>
      <c r="C2510" t="str">
        <f t="shared" si="317"/>
        <v>00674840152</v>
      </c>
      <c r="D2510" t="str">
        <f t="shared" si="317"/>
        <v>00674840152</v>
      </c>
      <c r="E2510" t="s">
        <v>52</v>
      </c>
      <c r="F2510">
        <v>2015</v>
      </c>
      <c r="G2510" t="str">
        <f>"          5301633627"</f>
        <v xml:space="preserve">          5301633627</v>
      </c>
      <c r="H2510" s="3">
        <v>42065</v>
      </c>
      <c r="I2510" s="3">
        <v>42076</v>
      </c>
      <c r="J2510" s="3">
        <v>42076</v>
      </c>
      <c r="K2510" s="3">
        <v>42136</v>
      </c>
      <c r="L2510"/>
      <c r="N2510"/>
      <c r="O2510">
        <v>319.39999999999998</v>
      </c>
      <c r="P2510">
        <v>267</v>
      </c>
      <c r="Q2510" s="4">
        <v>85279.8</v>
      </c>
      <c r="R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 s="3">
        <v>42562</v>
      </c>
      <c r="AC2510" t="s">
        <v>53</v>
      </c>
      <c r="AD2510" t="s">
        <v>53</v>
      </c>
      <c r="AK2510">
        <v>0</v>
      </c>
      <c r="AU2510" s="3">
        <v>42403</v>
      </c>
      <c r="AV2510" s="3">
        <v>42403</v>
      </c>
      <c r="AW2510" t="s">
        <v>54</v>
      </c>
      <c r="AX2510" t="str">
        <f t="shared" si="316"/>
        <v>FOR</v>
      </c>
      <c r="AY2510" t="s">
        <v>55</v>
      </c>
    </row>
    <row r="2511" spans="1:51" hidden="1">
      <c r="A2511">
        <v>104048</v>
      </c>
      <c r="B2511" t="s">
        <v>354</v>
      </c>
      <c r="C2511" t="str">
        <f t="shared" si="317"/>
        <v>00674840152</v>
      </c>
      <c r="D2511" t="str">
        <f t="shared" si="317"/>
        <v>00674840152</v>
      </c>
      <c r="E2511" t="s">
        <v>52</v>
      </c>
      <c r="F2511">
        <v>2015</v>
      </c>
      <c r="G2511" t="str">
        <f>"          5301633628"</f>
        <v xml:space="preserve">          5301633628</v>
      </c>
      <c r="H2511" s="3">
        <v>42065</v>
      </c>
      <c r="I2511" s="3">
        <v>42076</v>
      </c>
      <c r="J2511" s="3">
        <v>42076</v>
      </c>
      <c r="K2511" s="3">
        <v>42136</v>
      </c>
      <c r="L2511"/>
      <c r="N2511"/>
      <c r="O2511">
        <v>702.4</v>
      </c>
      <c r="P2511">
        <v>267</v>
      </c>
      <c r="Q2511" s="4">
        <v>187540.8</v>
      </c>
      <c r="R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 s="3">
        <v>42562</v>
      </c>
      <c r="AC2511" t="s">
        <v>53</v>
      </c>
      <c r="AD2511" t="s">
        <v>53</v>
      </c>
      <c r="AK2511">
        <v>0</v>
      </c>
      <c r="AU2511" s="3">
        <v>42403</v>
      </c>
      <c r="AV2511" s="3">
        <v>42403</v>
      </c>
      <c r="AW2511" t="s">
        <v>54</v>
      </c>
      <c r="AX2511" t="str">
        <f t="shared" si="316"/>
        <v>FOR</v>
      </c>
      <c r="AY2511" t="s">
        <v>55</v>
      </c>
    </row>
    <row r="2512" spans="1:51" hidden="1">
      <c r="A2512">
        <v>104048</v>
      </c>
      <c r="B2512" t="s">
        <v>354</v>
      </c>
      <c r="C2512" t="str">
        <f t="shared" ref="C2512:D2531" si="318">"00674840152"</f>
        <v>00674840152</v>
      </c>
      <c r="D2512" t="str">
        <f t="shared" si="318"/>
        <v>00674840152</v>
      </c>
      <c r="E2512" t="s">
        <v>52</v>
      </c>
      <c r="F2512">
        <v>2015</v>
      </c>
      <c r="G2512" t="str">
        <f>"          5301633629"</f>
        <v xml:space="preserve">          5301633629</v>
      </c>
      <c r="H2512" s="3">
        <v>42065</v>
      </c>
      <c r="I2512" s="3">
        <v>42076</v>
      </c>
      <c r="J2512" s="3">
        <v>42076</v>
      </c>
      <c r="K2512" s="3">
        <v>42136</v>
      </c>
      <c r="L2512"/>
      <c r="N2512"/>
      <c r="O2512">
        <v>806.4</v>
      </c>
      <c r="P2512">
        <v>267</v>
      </c>
      <c r="Q2512" s="4">
        <v>215308.79999999999</v>
      </c>
      <c r="R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 s="3">
        <v>42562</v>
      </c>
      <c r="AC2512" t="s">
        <v>53</v>
      </c>
      <c r="AD2512" t="s">
        <v>53</v>
      </c>
      <c r="AK2512">
        <v>0</v>
      </c>
      <c r="AU2512" s="3">
        <v>42403</v>
      </c>
      <c r="AV2512" s="3">
        <v>42403</v>
      </c>
      <c r="AW2512" t="s">
        <v>54</v>
      </c>
      <c r="AX2512" t="str">
        <f t="shared" si="316"/>
        <v>FOR</v>
      </c>
      <c r="AY2512" t="s">
        <v>55</v>
      </c>
    </row>
    <row r="2513" spans="1:51" hidden="1">
      <c r="A2513">
        <v>104048</v>
      </c>
      <c r="B2513" t="s">
        <v>354</v>
      </c>
      <c r="C2513" t="str">
        <f t="shared" si="318"/>
        <v>00674840152</v>
      </c>
      <c r="D2513" t="str">
        <f t="shared" si="318"/>
        <v>00674840152</v>
      </c>
      <c r="E2513" t="s">
        <v>52</v>
      </c>
      <c r="F2513">
        <v>2015</v>
      </c>
      <c r="G2513" t="str">
        <f>"          5301633630"</f>
        <v xml:space="preserve">          5301633630</v>
      </c>
      <c r="H2513" s="3">
        <v>42065</v>
      </c>
      <c r="I2513" s="3">
        <v>42076</v>
      </c>
      <c r="J2513" s="3">
        <v>42076</v>
      </c>
      <c r="K2513" s="3">
        <v>42136</v>
      </c>
      <c r="L2513"/>
      <c r="N2513"/>
      <c r="O2513">
        <v>577.4</v>
      </c>
      <c r="P2513">
        <v>267</v>
      </c>
      <c r="Q2513" s="4">
        <v>154165.79999999999</v>
      </c>
      <c r="R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 s="3">
        <v>42562</v>
      </c>
      <c r="AC2513" t="s">
        <v>53</v>
      </c>
      <c r="AD2513" t="s">
        <v>53</v>
      </c>
      <c r="AK2513">
        <v>0</v>
      </c>
      <c r="AU2513" s="3">
        <v>42403</v>
      </c>
      <c r="AV2513" s="3">
        <v>42403</v>
      </c>
      <c r="AW2513" t="s">
        <v>54</v>
      </c>
      <c r="AX2513" t="str">
        <f t="shared" si="316"/>
        <v>FOR</v>
      </c>
      <c r="AY2513" t="s">
        <v>55</v>
      </c>
    </row>
    <row r="2514" spans="1:51" hidden="1">
      <c r="A2514">
        <v>104048</v>
      </c>
      <c r="B2514" t="s">
        <v>354</v>
      </c>
      <c r="C2514" t="str">
        <f t="shared" si="318"/>
        <v>00674840152</v>
      </c>
      <c r="D2514" t="str">
        <f t="shared" si="318"/>
        <v>00674840152</v>
      </c>
      <c r="E2514" t="s">
        <v>52</v>
      </c>
      <c r="F2514">
        <v>2015</v>
      </c>
      <c r="G2514" t="str">
        <f>"          5301633631"</f>
        <v xml:space="preserve">          5301633631</v>
      </c>
      <c r="H2514" s="3">
        <v>42065</v>
      </c>
      <c r="I2514" s="3">
        <v>42076</v>
      </c>
      <c r="J2514" s="3">
        <v>42076</v>
      </c>
      <c r="K2514" s="3">
        <v>42136</v>
      </c>
      <c r="L2514"/>
      <c r="N2514"/>
      <c r="O2514">
        <v>464.4</v>
      </c>
      <c r="P2514">
        <v>267</v>
      </c>
      <c r="Q2514" s="4">
        <v>123994.8</v>
      </c>
      <c r="R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 s="3">
        <v>42562</v>
      </c>
      <c r="AC2514" t="s">
        <v>53</v>
      </c>
      <c r="AD2514" t="s">
        <v>53</v>
      </c>
      <c r="AK2514">
        <v>0</v>
      </c>
      <c r="AU2514" s="3">
        <v>42403</v>
      </c>
      <c r="AV2514" s="3">
        <v>42403</v>
      </c>
      <c r="AW2514" t="s">
        <v>54</v>
      </c>
      <c r="AX2514" t="str">
        <f t="shared" si="316"/>
        <v>FOR</v>
      </c>
      <c r="AY2514" t="s">
        <v>55</v>
      </c>
    </row>
    <row r="2515" spans="1:51" hidden="1">
      <c r="A2515">
        <v>104048</v>
      </c>
      <c r="B2515" t="s">
        <v>354</v>
      </c>
      <c r="C2515" t="str">
        <f t="shared" si="318"/>
        <v>00674840152</v>
      </c>
      <c r="D2515" t="str">
        <f t="shared" si="318"/>
        <v>00674840152</v>
      </c>
      <c r="E2515" t="s">
        <v>52</v>
      </c>
      <c r="F2515">
        <v>2015</v>
      </c>
      <c r="G2515" t="str">
        <f>"          5301633632"</f>
        <v xml:space="preserve">          5301633632</v>
      </c>
      <c r="H2515" s="3">
        <v>42065</v>
      </c>
      <c r="I2515" s="3">
        <v>42076</v>
      </c>
      <c r="J2515" s="3">
        <v>42076</v>
      </c>
      <c r="K2515" s="3">
        <v>42136</v>
      </c>
      <c r="L2515"/>
      <c r="N2515"/>
      <c r="O2515">
        <v>24.6</v>
      </c>
      <c r="P2515">
        <v>267</v>
      </c>
      <c r="Q2515" s="4">
        <v>6568.2</v>
      </c>
      <c r="R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 s="3">
        <v>42562</v>
      </c>
      <c r="AC2515" t="s">
        <v>53</v>
      </c>
      <c r="AD2515" t="s">
        <v>53</v>
      </c>
      <c r="AK2515">
        <v>0</v>
      </c>
      <c r="AU2515" s="3">
        <v>42403</v>
      </c>
      <c r="AV2515" s="3">
        <v>42403</v>
      </c>
      <c r="AW2515" t="s">
        <v>54</v>
      </c>
      <c r="AX2515" t="str">
        <f t="shared" si="316"/>
        <v>FOR</v>
      </c>
      <c r="AY2515" t="s">
        <v>55</v>
      </c>
    </row>
    <row r="2516" spans="1:51" hidden="1">
      <c r="A2516">
        <v>104048</v>
      </c>
      <c r="B2516" t="s">
        <v>354</v>
      </c>
      <c r="C2516" t="str">
        <f t="shared" si="318"/>
        <v>00674840152</v>
      </c>
      <c r="D2516" t="str">
        <f t="shared" si="318"/>
        <v>00674840152</v>
      </c>
      <c r="E2516" t="s">
        <v>52</v>
      </c>
      <c r="F2516">
        <v>2015</v>
      </c>
      <c r="G2516" t="str">
        <f>"          5301633633"</f>
        <v xml:space="preserve">          5301633633</v>
      </c>
      <c r="H2516" s="3">
        <v>42065</v>
      </c>
      <c r="I2516" s="3">
        <v>42076</v>
      </c>
      <c r="J2516" s="3">
        <v>42076</v>
      </c>
      <c r="K2516" s="3">
        <v>42136</v>
      </c>
      <c r="L2516"/>
      <c r="N2516"/>
      <c r="O2516">
        <v>56</v>
      </c>
      <c r="P2516">
        <v>267</v>
      </c>
      <c r="Q2516" s="4">
        <v>14952</v>
      </c>
      <c r="R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 s="3">
        <v>42562</v>
      </c>
      <c r="AC2516" t="s">
        <v>53</v>
      </c>
      <c r="AD2516" t="s">
        <v>53</v>
      </c>
      <c r="AK2516">
        <v>0</v>
      </c>
      <c r="AU2516" s="3">
        <v>42403</v>
      </c>
      <c r="AV2516" s="3">
        <v>42403</v>
      </c>
      <c r="AW2516" t="s">
        <v>54</v>
      </c>
      <c r="AX2516" t="str">
        <f t="shared" si="316"/>
        <v>FOR</v>
      </c>
      <c r="AY2516" t="s">
        <v>55</v>
      </c>
    </row>
    <row r="2517" spans="1:51" hidden="1">
      <c r="A2517">
        <v>104048</v>
      </c>
      <c r="B2517" t="s">
        <v>354</v>
      </c>
      <c r="C2517" t="str">
        <f t="shared" si="318"/>
        <v>00674840152</v>
      </c>
      <c r="D2517" t="str">
        <f t="shared" si="318"/>
        <v>00674840152</v>
      </c>
      <c r="E2517" t="s">
        <v>52</v>
      </c>
      <c r="F2517">
        <v>2015</v>
      </c>
      <c r="G2517" t="str">
        <f>"          5301633634"</f>
        <v xml:space="preserve">          5301633634</v>
      </c>
      <c r="H2517" s="3">
        <v>42065</v>
      </c>
      <c r="I2517" s="3">
        <v>42076</v>
      </c>
      <c r="J2517" s="3">
        <v>42076</v>
      </c>
      <c r="K2517" s="3">
        <v>42136</v>
      </c>
      <c r="L2517"/>
      <c r="N2517"/>
      <c r="O2517">
        <v>62.4</v>
      </c>
      <c r="P2517">
        <v>267</v>
      </c>
      <c r="Q2517" s="4">
        <v>16660.8</v>
      </c>
      <c r="R2517">
        <v>0</v>
      </c>
      <c r="V2517">
        <v>0</v>
      </c>
      <c r="W2517">
        <v>0</v>
      </c>
      <c r="X2517">
        <v>0</v>
      </c>
      <c r="Y2517">
        <v>0</v>
      </c>
      <c r="Z2517">
        <v>0</v>
      </c>
      <c r="AA2517">
        <v>0</v>
      </c>
      <c r="AB2517" s="3">
        <v>42562</v>
      </c>
      <c r="AC2517" t="s">
        <v>53</v>
      </c>
      <c r="AD2517" t="s">
        <v>53</v>
      </c>
      <c r="AK2517">
        <v>0</v>
      </c>
      <c r="AU2517" s="3">
        <v>42403</v>
      </c>
      <c r="AV2517" s="3">
        <v>42403</v>
      </c>
      <c r="AW2517" t="s">
        <v>54</v>
      </c>
      <c r="AX2517" t="str">
        <f t="shared" si="316"/>
        <v>FOR</v>
      </c>
      <c r="AY2517" t="s">
        <v>55</v>
      </c>
    </row>
    <row r="2518" spans="1:51" hidden="1">
      <c r="A2518">
        <v>104048</v>
      </c>
      <c r="B2518" t="s">
        <v>354</v>
      </c>
      <c r="C2518" t="str">
        <f t="shared" si="318"/>
        <v>00674840152</v>
      </c>
      <c r="D2518" t="str">
        <f t="shared" si="318"/>
        <v>00674840152</v>
      </c>
      <c r="E2518" t="s">
        <v>52</v>
      </c>
      <c r="F2518">
        <v>2015</v>
      </c>
      <c r="G2518" t="str">
        <f>"          5301633635"</f>
        <v xml:space="preserve">          5301633635</v>
      </c>
      <c r="H2518" s="3">
        <v>42065</v>
      </c>
      <c r="I2518" s="3">
        <v>42076</v>
      </c>
      <c r="J2518" s="3">
        <v>42076</v>
      </c>
      <c r="K2518" s="3">
        <v>42136</v>
      </c>
      <c r="L2518"/>
      <c r="N2518"/>
      <c r="O2518">
        <v>69.2</v>
      </c>
      <c r="P2518">
        <v>267</v>
      </c>
      <c r="Q2518" s="4">
        <v>18476.400000000001</v>
      </c>
      <c r="R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 s="3">
        <v>42562</v>
      </c>
      <c r="AC2518" t="s">
        <v>53</v>
      </c>
      <c r="AD2518" t="s">
        <v>53</v>
      </c>
      <c r="AK2518">
        <v>0</v>
      </c>
      <c r="AU2518" s="3">
        <v>42403</v>
      </c>
      <c r="AV2518" s="3">
        <v>42403</v>
      </c>
      <c r="AW2518" t="s">
        <v>54</v>
      </c>
      <c r="AX2518" t="str">
        <f t="shared" si="316"/>
        <v>FOR</v>
      </c>
      <c r="AY2518" t="s">
        <v>55</v>
      </c>
    </row>
    <row r="2519" spans="1:51" hidden="1">
      <c r="A2519">
        <v>104048</v>
      </c>
      <c r="B2519" t="s">
        <v>354</v>
      </c>
      <c r="C2519" t="str">
        <f t="shared" si="318"/>
        <v>00674840152</v>
      </c>
      <c r="D2519" t="str">
        <f t="shared" si="318"/>
        <v>00674840152</v>
      </c>
      <c r="E2519" t="s">
        <v>52</v>
      </c>
      <c r="F2519">
        <v>2015</v>
      </c>
      <c r="G2519" t="str">
        <f>"          5301633636"</f>
        <v xml:space="preserve">          5301633636</v>
      </c>
      <c r="H2519" s="3">
        <v>42065</v>
      </c>
      <c r="I2519" s="3">
        <v>42076</v>
      </c>
      <c r="J2519" s="3">
        <v>42076</v>
      </c>
      <c r="K2519" s="3">
        <v>42136</v>
      </c>
      <c r="L2519"/>
      <c r="N2519"/>
      <c r="O2519">
        <v>852.3</v>
      </c>
      <c r="P2519">
        <v>267</v>
      </c>
      <c r="Q2519" s="4">
        <v>227564.1</v>
      </c>
      <c r="R2519">
        <v>0</v>
      </c>
      <c r="V2519">
        <v>0</v>
      </c>
      <c r="W2519">
        <v>0</v>
      </c>
      <c r="X2519">
        <v>0</v>
      </c>
      <c r="Y2519">
        <v>0</v>
      </c>
      <c r="Z2519">
        <v>0</v>
      </c>
      <c r="AA2519">
        <v>0</v>
      </c>
      <c r="AB2519" s="3">
        <v>42562</v>
      </c>
      <c r="AC2519" t="s">
        <v>53</v>
      </c>
      <c r="AD2519" t="s">
        <v>53</v>
      </c>
      <c r="AK2519">
        <v>0</v>
      </c>
      <c r="AU2519" s="3">
        <v>42403</v>
      </c>
      <c r="AV2519" s="3">
        <v>42403</v>
      </c>
      <c r="AW2519" t="s">
        <v>54</v>
      </c>
      <c r="AX2519" t="str">
        <f t="shared" si="316"/>
        <v>FOR</v>
      </c>
      <c r="AY2519" t="s">
        <v>55</v>
      </c>
    </row>
    <row r="2520" spans="1:51" hidden="1">
      <c r="A2520">
        <v>104048</v>
      </c>
      <c r="B2520" t="s">
        <v>354</v>
      </c>
      <c r="C2520" t="str">
        <f t="shared" si="318"/>
        <v>00674840152</v>
      </c>
      <c r="D2520" t="str">
        <f t="shared" si="318"/>
        <v>00674840152</v>
      </c>
      <c r="E2520" t="s">
        <v>52</v>
      </c>
      <c r="F2520">
        <v>2015</v>
      </c>
      <c r="G2520" t="str">
        <f>"          5301633637"</f>
        <v xml:space="preserve">          5301633637</v>
      </c>
      <c r="H2520" s="3">
        <v>42065</v>
      </c>
      <c r="I2520" s="3">
        <v>42076</v>
      </c>
      <c r="J2520" s="3">
        <v>42076</v>
      </c>
      <c r="K2520" s="3">
        <v>42136</v>
      </c>
      <c r="L2520"/>
      <c r="N2520"/>
      <c r="O2520">
        <v>22.2</v>
      </c>
      <c r="P2520">
        <v>267</v>
      </c>
      <c r="Q2520" s="4">
        <v>5927.4</v>
      </c>
      <c r="R2520">
        <v>0</v>
      </c>
      <c r="V2520">
        <v>0</v>
      </c>
      <c r="W2520">
        <v>0</v>
      </c>
      <c r="X2520">
        <v>0</v>
      </c>
      <c r="Y2520">
        <v>0</v>
      </c>
      <c r="Z2520">
        <v>0</v>
      </c>
      <c r="AA2520">
        <v>0</v>
      </c>
      <c r="AB2520" s="3">
        <v>42562</v>
      </c>
      <c r="AC2520" t="s">
        <v>53</v>
      </c>
      <c r="AD2520" t="s">
        <v>53</v>
      </c>
      <c r="AK2520">
        <v>0</v>
      </c>
      <c r="AU2520" s="3">
        <v>42403</v>
      </c>
      <c r="AV2520" s="3">
        <v>42403</v>
      </c>
      <c r="AW2520" t="s">
        <v>54</v>
      </c>
      <c r="AX2520" t="str">
        <f t="shared" si="316"/>
        <v>FOR</v>
      </c>
      <c r="AY2520" t="s">
        <v>55</v>
      </c>
    </row>
    <row r="2521" spans="1:51" hidden="1">
      <c r="A2521">
        <v>104048</v>
      </c>
      <c r="B2521" t="s">
        <v>354</v>
      </c>
      <c r="C2521" t="str">
        <f t="shared" si="318"/>
        <v>00674840152</v>
      </c>
      <c r="D2521" t="str">
        <f t="shared" si="318"/>
        <v>00674840152</v>
      </c>
      <c r="E2521" t="s">
        <v>52</v>
      </c>
      <c r="F2521">
        <v>2015</v>
      </c>
      <c r="G2521" t="str">
        <f>"          5301633638"</f>
        <v xml:space="preserve">          5301633638</v>
      </c>
      <c r="H2521" s="3">
        <v>42065</v>
      </c>
      <c r="I2521" s="3">
        <v>42076</v>
      </c>
      <c r="J2521" s="3">
        <v>42076</v>
      </c>
      <c r="K2521" s="3">
        <v>42136</v>
      </c>
      <c r="L2521"/>
      <c r="N2521"/>
      <c r="O2521">
        <v>25.8</v>
      </c>
      <c r="P2521">
        <v>267</v>
      </c>
      <c r="Q2521" s="4">
        <v>6888.6</v>
      </c>
      <c r="R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 s="3">
        <v>42562</v>
      </c>
      <c r="AC2521" t="s">
        <v>53</v>
      </c>
      <c r="AD2521" t="s">
        <v>53</v>
      </c>
      <c r="AK2521">
        <v>0</v>
      </c>
      <c r="AU2521" s="3">
        <v>42403</v>
      </c>
      <c r="AV2521" s="3">
        <v>42403</v>
      </c>
      <c r="AW2521" t="s">
        <v>54</v>
      </c>
      <c r="AX2521" t="str">
        <f t="shared" si="316"/>
        <v>FOR</v>
      </c>
      <c r="AY2521" t="s">
        <v>55</v>
      </c>
    </row>
    <row r="2522" spans="1:51" hidden="1">
      <c r="A2522">
        <v>104048</v>
      </c>
      <c r="B2522" t="s">
        <v>354</v>
      </c>
      <c r="C2522" t="str">
        <f t="shared" si="318"/>
        <v>00674840152</v>
      </c>
      <c r="D2522" t="str">
        <f t="shared" si="318"/>
        <v>00674840152</v>
      </c>
      <c r="E2522" t="s">
        <v>52</v>
      </c>
      <c r="F2522">
        <v>2015</v>
      </c>
      <c r="G2522" t="str">
        <f>"          5301633639"</f>
        <v xml:space="preserve">          5301633639</v>
      </c>
      <c r="H2522" s="3">
        <v>42065</v>
      </c>
      <c r="I2522" s="3">
        <v>42076</v>
      </c>
      <c r="J2522" s="3">
        <v>42076</v>
      </c>
      <c r="K2522" s="3">
        <v>42136</v>
      </c>
      <c r="L2522"/>
      <c r="N2522"/>
      <c r="O2522">
        <v>25.8</v>
      </c>
      <c r="P2522">
        <v>267</v>
      </c>
      <c r="Q2522" s="4">
        <v>6888.6</v>
      </c>
      <c r="R2522">
        <v>0</v>
      </c>
      <c r="V2522">
        <v>0</v>
      </c>
      <c r="W2522">
        <v>0</v>
      </c>
      <c r="X2522">
        <v>0</v>
      </c>
      <c r="Y2522">
        <v>0</v>
      </c>
      <c r="Z2522">
        <v>0</v>
      </c>
      <c r="AA2522">
        <v>0</v>
      </c>
      <c r="AB2522" s="3">
        <v>42562</v>
      </c>
      <c r="AC2522" t="s">
        <v>53</v>
      </c>
      <c r="AD2522" t="s">
        <v>53</v>
      </c>
      <c r="AK2522">
        <v>0</v>
      </c>
      <c r="AU2522" s="3">
        <v>42403</v>
      </c>
      <c r="AV2522" s="3">
        <v>42403</v>
      </c>
      <c r="AW2522" t="s">
        <v>54</v>
      </c>
      <c r="AX2522" t="str">
        <f t="shared" si="316"/>
        <v>FOR</v>
      </c>
      <c r="AY2522" t="s">
        <v>55</v>
      </c>
    </row>
    <row r="2523" spans="1:51" hidden="1">
      <c r="A2523">
        <v>104048</v>
      </c>
      <c r="B2523" t="s">
        <v>354</v>
      </c>
      <c r="C2523" t="str">
        <f t="shared" si="318"/>
        <v>00674840152</v>
      </c>
      <c r="D2523" t="str">
        <f t="shared" si="318"/>
        <v>00674840152</v>
      </c>
      <c r="E2523" t="s">
        <v>52</v>
      </c>
      <c r="F2523">
        <v>2015</v>
      </c>
      <c r="G2523" t="str">
        <f>"          5301633640"</f>
        <v xml:space="preserve">          5301633640</v>
      </c>
      <c r="H2523" s="3">
        <v>42065</v>
      </c>
      <c r="I2523" s="3">
        <v>42076</v>
      </c>
      <c r="J2523" s="3">
        <v>42076</v>
      </c>
      <c r="K2523" s="3">
        <v>42136</v>
      </c>
      <c r="L2523"/>
      <c r="N2523"/>
      <c r="O2523">
        <v>34.799999999999997</v>
      </c>
      <c r="P2523">
        <v>267</v>
      </c>
      <c r="Q2523" s="4">
        <v>9291.6</v>
      </c>
      <c r="R2523">
        <v>0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 s="3">
        <v>42562</v>
      </c>
      <c r="AC2523" t="s">
        <v>53</v>
      </c>
      <c r="AD2523" t="s">
        <v>53</v>
      </c>
      <c r="AK2523">
        <v>0</v>
      </c>
      <c r="AU2523" s="3">
        <v>42403</v>
      </c>
      <c r="AV2523" s="3">
        <v>42403</v>
      </c>
      <c r="AW2523" t="s">
        <v>54</v>
      </c>
      <c r="AX2523" t="str">
        <f t="shared" si="316"/>
        <v>FOR</v>
      </c>
      <c r="AY2523" t="s">
        <v>55</v>
      </c>
    </row>
    <row r="2524" spans="1:51" hidden="1">
      <c r="A2524">
        <v>104048</v>
      </c>
      <c r="B2524" t="s">
        <v>354</v>
      </c>
      <c r="C2524" t="str">
        <f t="shared" si="318"/>
        <v>00674840152</v>
      </c>
      <c r="D2524" t="str">
        <f t="shared" si="318"/>
        <v>00674840152</v>
      </c>
      <c r="E2524" t="s">
        <v>52</v>
      </c>
      <c r="F2524">
        <v>2015</v>
      </c>
      <c r="G2524" t="str">
        <f>"          5301633641"</f>
        <v xml:space="preserve">          5301633641</v>
      </c>
      <c r="H2524" s="3">
        <v>42065</v>
      </c>
      <c r="I2524" s="3">
        <v>42076</v>
      </c>
      <c r="J2524" s="3">
        <v>42076</v>
      </c>
      <c r="K2524" s="3">
        <v>42136</v>
      </c>
      <c r="L2524"/>
      <c r="N2524"/>
      <c r="O2524" s="4">
        <v>1022.7</v>
      </c>
      <c r="P2524">
        <v>267</v>
      </c>
      <c r="Q2524" s="4">
        <v>273060.90000000002</v>
      </c>
      <c r="R2524">
        <v>0</v>
      </c>
      <c r="V2524">
        <v>0</v>
      </c>
      <c r="W2524">
        <v>0</v>
      </c>
      <c r="X2524">
        <v>0</v>
      </c>
      <c r="Y2524">
        <v>0</v>
      </c>
      <c r="Z2524">
        <v>0</v>
      </c>
      <c r="AA2524">
        <v>0</v>
      </c>
      <c r="AB2524" s="3">
        <v>42562</v>
      </c>
      <c r="AC2524" t="s">
        <v>53</v>
      </c>
      <c r="AD2524" t="s">
        <v>53</v>
      </c>
      <c r="AK2524">
        <v>0</v>
      </c>
      <c r="AU2524" s="3">
        <v>42403</v>
      </c>
      <c r="AV2524" s="3">
        <v>42403</v>
      </c>
      <c r="AW2524" t="s">
        <v>54</v>
      </c>
      <c r="AX2524" t="str">
        <f t="shared" si="316"/>
        <v>FOR</v>
      </c>
      <c r="AY2524" t="s">
        <v>55</v>
      </c>
    </row>
    <row r="2525" spans="1:51" hidden="1">
      <c r="A2525">
        <v>104048</v>
      </c>
      <c r="B2525" t="s">
        <v>354</v>
      </c>
      <c r="C2525" t="str">
        <f t="shared" si="318"/>
        <v>00674840152</v>
      </c>
      <c r="D2525" t="str">
        <f t="shared" si="318"/>
        <v>00674840152</v>
      </c>
      <c r="E2525" t="s">
        <v>52</v>
      </c>
      <c r="F2525">
        <v>2015</v>
      </c>
      <c r="G2525" t="str">
        <f>"          5301633642"</f>
        <v xml:space="preserve">          5301633642</v>
      </c>
      <c r="H2525" s="3">
        <v>42065</v>
      </c>
      <c r="I2525" s="3">
        <v>42076</v>
      </c>
      <c r="J2525" s="3">
        <v>42076</v>
      </c>
      <c r="K2525" s="3">
        <v>42136</v>
      </c>
      <c r="L2525"/>
      <c r="N2525"/>
      <c r="O2525" s="4">
        <v>1143.3</v>
      </c>
      <c r="P2525">
        <v>267</v>
      </c>
      <c r="Q2525" s="4">
        <v>305261.09999999998</v>
      </c>
      <c r="R2525">
        <v>0</v>
      </c>
      <c r="V2525">
        <v>0</v>
      </c>
      <c r="W2525">
        <v>0</v>
      </c>
      <c r="X2525">
        <v>0</v>
      </c>
      <c r="Y2525">
        <v>0</v>
      </c>
      <c r="Z2525">
        <v>0</v>
      </c>
      <c r="AA2525">
        <v>0</v>
      </c>
      <c r="AB2525" s="3">
        <v>42562</v>
      </c>
      <c r="AC2525" t="s">
        <v>53</v>
      </c>
      <c r="AD2525" t="s">
        <v>53</v>
      </c>
      <c r="AK2525">
        <v>0</v>
      </c>
      <c r="AU2525" s="3">
        <v>42403</v>
      </c>
      <c r="AV2525" s="3">
        <v>42403</v>
      </c>
      <c r="AW2525" t="s">
        <v>54</v>
      </c>
      <c r="AX2525" t="str">
        <f t="shared" si="316"/>
        <v>FOR</v>
      </c>
      <c r="AY2525" t="s">
        <v>55</v>
      </c>
    </row>
    <row r="2526" spans="1:51" hidden="1">
      <c r="A2526">
        <v>104048</v>
      </c>
      <c r="B2526" t="s">
        <v>354</v>
      </c>
      <c r="C2526" t="str">
        <f t="shared" si="318"/>
        <v>00674840152</v>
      </c>
      <c r="D2526" t="str">
        <f t="shared" si="318"/>
        <v>00674840152</v>
      </c>
      <c r="E2526" t="s">
        <v>52</v>
      </c>
      <c r="F2526">
        <v>2015</v>
      </c>
      <c r="G2526" t="str">
        <f>"          5301633643"</f>
        <v xml:space="preserve">          5301633643</v>
      </c>
      <c r="H2526" s="3">
        <v>42065</v>
      </c>
      <c r="I2526" s="3">
        <v>42076</v>
      </c>
      <c r="J2526" s="3">
        <v>42076</v>
      </c>
      <c r="K2526" s="3">
        <v>42136</v>
      </c>
      <c r="L2526"/>
      <c r="N2526"/>
      <c r="O2526">
        <v>23.9</v>
      </c>
      <c r="P2526">
        <v>267</v>
      </c>
      <c r="Q2526" s="4">
        <v>6381.3</v>
      </c>
      <c r="R2526">
        <v>0</v>
      </c>
      <c r="V2526">
        <v>0</v>
      </c>
      <c r="W2526">
        <v>0</v>
      </c>
      <c r="X2526">
        <v>0</v>
      </c>
      <c r="Y2526">
        <v>0</v>
      </c>
      <c r="Z2526">
        <v>0</v>
      </c>
      <c r="AA2526">
        <v>0</v>
      </c>
      <c r="AB2526" s="3">
        <v>42562</v>
      </c>
      <c r="AC2526" t="s">
        <v>53</v>
      </c>
      <c r="AD2526" t="s">
        <v>53</v>
      </c>
      <c r="AK2526">
        <v>0</v>
      </c>
      <c r="AU2526" s="3">
        <v>42403</v>
      </c>
      <c r="AV2526" s="3">
        <v>42403</v>
      </c>
      <c r="AW2526" t="s">
        <v>54</v>
      </c>
      <c r="AX2526" t="str">
        <f t="shared" si="316"/>
        <v>FOR</v>
      </c>
      <c r="AY2526" t="s">
        <v>55</v>
      </c>
    </row>
    <row r="2527" spans="1:51" hidden="1">
      <c r="A2527">
        <v>104048</v>
      </c>
      <c r="B2527" t="s">
        <v>354</v>
      </c>
      <c r="C2527" t="str">
        <f t="shared" si="318"/>
        <v>00674840152</v>
      </c>
      <c r="D2527" t="str">
        <f t="shared" si="318"/>
        <v>00674840152</v>
      </c>
      <c r="E2527" t="s">
        <v>52</v>
      </c>
      <c r="F2527">
        <v>2015</v>
      </c>
      <c r="G2527" t="str">
        <f>"          5301633644"</f>
        <v xml:space="preserve">          5301633644</v>
      </c>
      <c r="H2527" s="3">
        <v>42065</v>
      </c>
      <c r="I2527" s="3">
        <v>42076</v>
      </c>
      <c r="J2527" s="3">
        <v>42076</v>
      </c>
      <c r="K2527" s="3">
        <v>42136</v>
      </c>
      <c r="L2527"/>
      <c r="N2527"/>
      <c r="O2527">
        <v>122.5</v>
      </c>
      <c r="P2527">
        <v>267</v>
      </c>
      <c r="Q2527" s="4">
        <v>32707.5</v>
      </c>
      <c r="R2527">
        <v>0</v>
      </c>
      <c r="V2527">
        <v>0</v>
      </c>
      <c r="W2527">
        <v>0</v>
      </c>
      <c r="X2527">
        <v>0</v>
      </c>
      <c r="Y2527">
        <v>0</v>
      </c>
      <c r="Z2527">
        <v>0</v>
      </c>
      <c r="AA2527">
        <v>0</v>
      </c>
      <c r="AB2527" s="3">
        <v>42562</v>
      </c>
      <c r="AC2527" t="s">
        <v>53</v>
      </c>
      <c r="AD2527" t="s">
        <v>53</v>
      </c>
      <c r="AK2527">
        <v>0</v>
      </c>
      <c r="AU2527" s="3">
        <v>42403</v>
      </c>
      <c r="AV2527" s="3">
        <v>42403</v>
      </c>
      <c r="AW2527" t="s">
        <v>54</v>
      </c>
      <c r="AX2527" t="str">
        <f t="shared" si="316"/>
        <v>FOR</v>
      </c>
      <c r="AY2527" t="s">
        <v>55</v>
      </c>
    </row>
    <row r="2528" spans="1:51" hidden="1">
      <c r="A2528">
        <v>104048</v>
      </c>
      <c r="B2528" t="s">
        <v>354</v>
      </c>
      <c r="C2528" t="str">
        <f t="shared" si="318"/>
        <v>00674840152</v>
      </c>
      <c r="D2528" t="str">
        <f t="shared" si="318"/>
        <v>00674840152</v>
      </c>
      <c r="E2528" t="s">
        <v>52</v>
      </c>
      <c r="F2528">
        <v>2015</v>
      </c>
      <c r="G2528" t="str">
        <f>"          5301633645"</f>
        <v xml:space="preserve">          5301633645</v>
      </c>
      <c r="H2528" s="3">
        <v>42065</v>
      </c>
      <c r="I2528" s="3">
        <v>42076</v>
      </c>
      <c r="J2528" s="3">
        <v>42076</v>
      </c>
      <c r="K2528" s="3">
        <v>42136</v>
      </c>
      <c r="L2528"/>
      <c r="N2528"/>
      <c r="O2528">
        <v>37.4</v>
      </c>
      <c r="P2528">
        <v>267</v>
      </c>
      <c r="Q2528" s="4">
        <v>9985.7999999999993</v>
      </c>
      <c r="R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 s="3">
        <v>42562</v>
      </c>
      <c r="AC2528" t="s">
        <v>53</v>
      </c>
      <c r="AD2528" t="s">
        <v>53</v>
      </c>
      <c r="AK2528">
        <v>0</v>
      </c>
      <c r="AU2528" s="3">
        <v>42403</v>
      </c>
      <c r="AV2528" s="3">
        <v>42403</v>
      </c>
      <c r="AW2528" t="s">
        <v>54</v>
      </c>
      <c r="AX2528" t="str">
        <f t="shared" si="316"/>
        <v>FOR</v>
      </c>
      <c r="AY2528" t="s">
        <v>55</v>
      </c>
    </row>
    <row r="2529" spans="1:51" hidden="1">
      <c r="A2529">
        <v>104048</v>
      </c>
      <c r="B2529" t="s">
        <v>354</v>
      </c>
      <c r="C2529" t="str">
        <f t="shared" si="318"/>
        <v>00674840152</v>
      </c>
      <c r="D2529" t="str">
        <f t="shared" si="318"/>
        <v>00674840152</v>
      </c>
      <c r="E2529" t="s">
        <v>52</v>
      </c>
      <c r="F2529">
        <v>2015</v>
      </c>
      <c r="G2529" t="str">
        <f>"          5301633646"</f>
        <v xml:space="preserve">          5301633646</v>
      </c>
      <c r="H2529" s="3">
        <v>42065</v>
      </c>
      <c r="I2529" s="3">
        <v>42076</v>
      </c>
      <c r="J2529" s="3">
        <v>42076</v>
      </c>
      <c r="K2529" s="3">
        <v>42136</v>
      </c>
      <c r="L2529"/>
      <c r="N2529"/>
      <c r="O2529">
        <v>50.2</v>
      </c>
      <c r="P2529">
        <v>267</v>
      </c>
      <c r="Q2529" s="4">
        <v>13403.4</v>
      </c>
      <c r="R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 s="3">
        <v>42562</v>
      </c>
      <c r="AC2529" t="s">
        <v>53</v>
      </c>
      <c r="AD2529" t="s">
        <v>53</v>
      </c>
      <c r="AK2529">
        <v>0</v>
      </c>
      <c r="AU2529" s="3">
        <v>42403</v>
      </c>
      <c r="AV2529" s="3">
        <v>42403</v>
      </c>
      <c r="AW2529" t="s">
        <v>54</v>
      </c>
      <c r="AX2529" t="str">
        <f t="shared" si="316"/>
        <v>FOR</v>
      </c>
      <c r="AY2529" t="s">
        <v>55</v>
      </c>
    </row>
    <row r="2530" spans="1:51" hidden="1">
      <c r="A2530">
        <v>104048</v>
      </c>
      <c r="B2530" t="s">
        <v>354</v>
      </c>
      <c r="C2530" t="str">
        <f t="shared" si="318"/>
        <v>00674840152</v>
      </c>
      <c r="D2530" t="str">
        <f t="shared" si="318"/>
        <v>00674840152</v>
      </c>
      <c r="E2530" t="s">
        <v>52</v>
      </c>
      <c r="F2530">
        <v>2015</v>
      </c>
      <c r="G2530" t="str">
        <f>"          5301633647"</f>
        <v xml:space="preserve">          5301633647</v>
      </c>
      <c r="H2530" s="3">
        <v>42065</v>
      </c>
      <c r="I2530" s="3">
        <v>42076</v>
      </c>
      <c r="J2530" s="3">
        <v>42076</v>
      </c>
      <c r="K2530" s="3">
        <v>42136</v>
      </c>
      <c r="L2530"/>
      <c r="N2530"/>
      <c r="O2530">
        <v>55.6</v>
      </c>
      <c r="P2530">
        <v>267</v>
      </c>
      <c r="Q2530" s="4">
        <v>14845.2</v>
      </c>
      <c r="R2530">
        <v>0</v>
      </c>
      <c r="V2530">
        <v>0</v>
      </c>
      <c r="W2530">
        <v>0</v>
      </c>
      <c r="X2530">
        <v>0</v>
      </c>
      <c r="Y2530">
        <v>0</v>
      </c>
      <c r="Z2530">
        <v>0</v>
      </c>
      <c r="AA2530">
        <v>0</v>
      </c>
      <c r="AB2530" s="3">
        <v>42562</v>
      </c>
      <c r="AC2530" t="s">
        <v>53</v>
      </c>
      <c r="AD2530" t="s">
        <v>53</v>
      </c>
      <c r="AK2530">
        <v>0</v>
      </c>
      <c r="AU2530" s="3">
        <v>42403</v>
      </c>
      <c r="AV2530" s="3">
        <v>42403</v>
      </c>
      <c r="AW2530" t="s">
        <v>54</v>
      </c>
      <c r="AX2530" t="str">
        <f t="shared" si="316"/>
        <v>FOR</v>
      </c>
      <c r="AY2530" t="s">
        <v>55</v>
      </c>
    </row>
    <row r="2531" spans="1:51" hidden="1">
      <c r="A2531">
        <v>104048</v>
      </c>
      <c r="B2531" t="s">
        <v>354</v>
      </c>
      <c r="C2531" t="str">
        <f t="shared" si="318"/>
        <v>00674840152</v>
      </c>
      <c r="D2531" t="str">
        <f t="shared" si="318"/>
        <v>00674840152</v>
      </c>
      <c r="E2531" t="s">
        <v>52</v>
      </c>
      <c r="F2531">
        <v>2015</v>
      </c>
      <c r="G2531" t="str">
        <f>"          5301633648"</f>
        <v xml:space="preserve">          5301633648</v>
      </c>
      <c r="H2531" s="3">
        <v>42065</v>
      </c>
      <c r="I2531" s="3">
        <v>42076</v>
      </c>
      <c r="J2531" s="3">
        <v>42076</v>
      </c>
      <c r="K2531" s="3">
        <v>42136</v>
      </c>
      <c r="L2531"/>
      <c r="N2531"/>
      <c r="O2531">
        <v>129.19999999999999</v>
      </c>
      <c r="P2531">
        <v>267</v>
      </c>
      <c r="Q2531" s="4">
        <v>34496.400000000001</v>
      </c>
      <c r="R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 s="3">
        <v>42562</v>
      </c>
      <c r="AC2531" t="s">
        <v>53</v>
      </c>
      <c r="AD2531" t="s">
        <v>53</v>
      </c>
      <c r="AK2531">
        <v>0</v>
      </c>
      <c r="AU2531" s="3">
        <v>42403</v>
      </c>
      <c r="AV2531" s="3">
        <v>42403</v>
      </c>
      <c r="AW2531" t="s">
        <v>54</v>
      </c>
      <c r="AX2531" t="str">
        <f t="shared" si="316"/>
        <v>FOR</v>
      </c>
      <c r="AY2531" t="s">
        <v>55</v>
      </c>
    </row>
    <row r="2532" spans="1:51" hidden="1">
      <c r="A2532">
        <v>104048</v>
      </c>
      <c r="B2532" t="s">
        <v>354</v>
      </c>
      <c r="C2532" t="str">
        <f t="shared" ref="C2532:D2551" si="319">"00674840152"</f>
        <v>00674840152</v>
      </c>
      <c r="D2532" t="str">
        <f t="shared" si="319"/>
        <v>00674840152</v>
      </c>
      <c r="E2532" t="s">
        <v>52</v>
      </c>
      <c r="F2532">
        <v>2015</v>
      </c>
      <c r="G2532" t="str">
        <f>"          5301633649"</f>
        <v xml:space="preserve">          5301633649</v>
      </c>
      <c r="H2532" s="3">
        <v>42065</v>
      </c>
      <c r="I2532" s="3">
        <v>42075</v>
      </c>
      <c r="J2532" s="3">
        <v>42075</v>
      </c>
      <c r="K2532" s="3">
        <v>42135</v>
      </c>
      <c r="L2532"/>
      <c r="N2532"/>
      <c r="O2532">
        <v>150.80000000000001</v>
      </c>
      <c r="P2532">
        <v>268</v>
      </c>
      <c r="Q2532" s="4">
        <v>40414.400000000001</v>
      </c>
      <c r="R2532">
        <v>0</v>
      </c>
      <c r="V2532">
        <v>0</v>
      </c>
      <c r="W2532">
        <v>0</v>
      </c>
      <c r="X2532">
        <v>0</v>
      </c>
      <c r="Y2532">
        <v>0</v>
      </c>
      <c r="Z2532">
        <v>0</v>
      </c>
      <c r="AA2532">
        <v>0</v>
      </c>
      <c r="AB2532" s="3">
        <v>42562</v>
      </c>
      <c r="AC2532" t="s">
        <v>53</v>
      </c>
      <c r="AD2532" t="s">
        <v>53</v>
      </c>
      <c r="AK2532">
        <v>0</v>
      </c>
      <c r="AU2532" s="3">
        <v>42403</v>
      </c>
      <c r="AV2532" s="3">
        <v>42403</v>
      </c>
      <c r="AW2532" t="s">
        <v>54</v>
      </c>
      <c r="AX2532" t="str">
        <f t="shared" si="316"/>
        <v>FOR</v>
      </c>
      <c r="AY2532" t="s">
        <v>55</v>
      </c>
    </row>
    <row r="2533" spans="1:51" hidden="1">
      <c r="A2533">
        <v>104048</v>
      </c>
      <c r="B2533" t="s">
        <v>354</v>
      </c>
      <c r="C2533" t="str">
        <f t="shared" si="319"/>
        <v>00674840152</v>
      </c>
      <c r="D2533" t="str">
        <f t="shared" si="319"/>
        <v>00674840152</v>
      </c>
      <c r="E2533" t="s">
        <v>52</v>
      </c>
      <c r="F2533">
        <v>2015</v>
      </c>
      <c r="G2533" t="str">
        <f>"          5301633650"</f>
        <v xml:space="preserve">          5301633650</v>
      </c>
      <c r="H2533" s="3">
        <v>42065</v>
      </c>
      <c r="I2533" s="3">
        <v>42075</v>
      </c>
      <c r="J2533" s="3">
        <v>42075</v>
      </c>
      <c r="K2533" s="3">
        <v>42135</v>
      </c>
      <c r="L2533"/>
      <c r="N2533"/>
      <c r="O2533">
        <v>240</v>
      </c>
      <c r="P2533">
        <v>268</v>
      </c>
      <c r="Q2533" s="4">
        <v>64320</v>
      </c>
      <c r="R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 s="3">
        <v>42562</v>
      </c>
      <c r="AC2533" t="s">
        <v>53</v>
      </c>
      <c r="AD2533" t="s">
        <v>53</v>
      </c>
      <c r="AK2533">
        <v>0</v>
      </c>
      <c r="AU2533" s="3">
        <v>42403</v>
      </c>
      <c r="AV2533" s="3">
        <v>42403</v>
      </c>
      <c r="AW2533" t="s">
        <v>54</v>
      </c>
      <c r="AX2533" t="str">
        <f t="shared" si="316"/>
        <v>FOR</v>
      </c>
      <c r="AY2533" t="s">
        <v>55</v>
      </c>
    </row>
    <row r="2534" spans="1:51" hidden="1">
      <c r="A2534">
        <v>104048</v>
      </c>
      <c r="B2534" t="s">
        <v>354</v>
      </c>
      <c r="C2534" t="str">
        <f t="shared" si="319"/>
        <v>00674840152</v>
      </c>
      <c r="D2534" t="str">
        <f t="shared" si="319"/>
        <v>00674840152</v>
      </c>
      <c r="E2534" t="s">
        <v>52</v>
      </c>
      <c r="F2534">
        <v>2015</v>
      </c>
      <c r="G2534" t="str">
        <f>"          5301633651"</f>
        <v xml:space="preserve">          5301633651</v>
      </c>
      <c r="H2534" s="3">
        <v>42065</v>
      </c>
      <c r="I2534" s="3">
        <v>42075</v>
      </c>
      <c r="J2534" s="3">
        <v>42075</v>
      </c>
      <c r="K2534" s="3">
        <v>42135</v>
      </c>
      <c r="L2534"/>
      <c r="N2534"/>
      <c r="O2534">
        <v>80.099999999999994</v>
      </c>
      <c r="P2534">
        <v>268</v>
      </c>
      <c r="Q2534" s="4">
        <v>21466.799999999999</v>
      </c>
      <c r="R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 s="3">
        <v>42562</v>
      </c>
      <c r="AC2534" t="s">
        <v>53</v>
      </c>
      <c r="AD2534" t="s">
        <v>53</v>
      </c>
      <c r="AK2534">
        <v>0</v>
      </c>
      <c r="AU2534" s="3">
        <v>42403</v>
      </c>
      <c r="AV2534" s="3">
        <v>42403</v>
      </c>
      <c r="AW2534" t="s">
        <v>54</v>
      </c>
      <c r="AX2534" t="str">
        <f t="shared" si="316"/>
        <v>FOR</v>
      </c>
      <c r="AY2534" t="s">
        <v>55</v>
      </c>
    </row>
    <row r="2535" spans="1:51" hidden="1">
      <c r="A2535">
        <v>104048</v>
      </c>
      <c r="B2535" t="s">
        <v>354</v>
      </c>
      <c r="C2535" t="str">
        <f t="shared" si="319"/>
        <v>00674840152</v>
      </c>
      <c r="D2535" t="str">
        <f t="shared" si="319"/>
        <v>00674840152</v>
      </c>
      <c r="E2535" t="s">
        <v>52</v>
      </c>
      <c r="F2535">
        <v>2015</v>
      </c>
      <c r="G2535" t="str">
        <f>"          5301633652"</f>
        <v xml:space="preserve">          5301633652</v>
      </c>
      <c r="H2535" s="3">
        <v>42065</v>
      </c>
      <c r="I2535" s="3">
        <v>42075</v>
      </c>
      <c r="J2535" s="3">
        <v>42075</v>
      </c>
      <c r="K2535" s="3">
        <v>42135</v>
      </c>
      <c r="L2535"/>
      <c r="N2535"/>
      <c r="O2535">
        <v>171.6</v>
      </c>
      <c r="P2535">
        <v>268</v>
      </c>
      <c r="Q2535" s="4">
        <v>45988.800000000003</v>
      </c>
      <c r="R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 s="3">
        <v>42562</v>
      </c>
      <c r="AC2535" t="s">
        <v>53</v>
      </c>
      <c r="AD2535" t="s">
        <v>53</v>
      </c>
      <c r="AK2535">
        <v>0</v>
      </c>
      <c r="AU2535" s="3">
        <v>42403</v>
      </c>
      <c r="AV2535" s="3">
        <v>42403</v>
      </c>
      <c r="AW2535" t="s">
        <v>54</v>
      </c>
      <c r="AX2535" t="str">
        <f t="shared" si="316"/>
        <v>FOR</v>
      </c>
      <c r="AY2535" t="s">
        <v>55</v>
      </c>
    </row>
    <row r="2536" spans="1:51" hidden="1">
      <c r="A2536">
        <v>104048</v>
      </c>
      <c r="B2536" t="s">
        <v>354</v>
      </c>
      <c r="C2536" t="str">
        <f t="shared" si="319"/>
        <v>00674840152</v>
      </c>
      <c r="D2536" t="str">
        <f t="shared" si="319"/>
        <v>00674840152</v>
      </c>
      <c r="E2536" t="s">
        <v>52</v>
      </c>
      <c r="F2536">
        <v>2015</v>
      </c>
      <c r="G2536" t="str">
        <f>"          5301633653"</f>
        <v xml:space="preserve">          5301633653</v>
      </c>
      <c r="H2536" s="3">
        <v>42065</v>
      </c>
      <c r="I2536" s="3">
        <v>42075</v>
      </c>
      <c r="J2536" s="3">
        <v>42075</v>
      </c>
      <c r="K2536" s="3">
        <v>42135</v>
      </c>
      <c r="L2536"/>
      <c r="N2536"/>
      <c r="O2536">
        <v>201</v>
      </c>
      <c r="P2536">
        <v>268</v>
      </c>
      <c r="Q2536" s="4">
        <v>53868</v>
      </c>
      <c r="R2536">
        <v>0</v>
      </c>
      <c r="V2536">
        <v>0</v>
      </c>
      <c r="W2536">
        <v>0</v>
      </c>
      <c r="X2536">
        <v>0</v>
      </c>
      <c r="Y2536">
        <v>0</v>
      </c>
      <c r="Z2536">
        <v>0</v>
      </c>
      <c r="AA2536">
        <v>0</v>
      </c>
      <c r="AB2536" s="3">
        <v>42562</v>
      </c>
      <c r="AC2536" t="s">
        <v>53</v>
      </c>
      <c r="AD2536" t="s">
        <v>53</v>
      </c>
      <c r="AK2536">
        <v>0</v>
      </c>
      <c r="AU2536" s="3">
        <v>42403</v>
      </c>
      <c r="AV2536" s="3">
        <v>42403</v>
      </c>
      <c r="AW2536" t="s">
        <v>54</v>
      </c>
      <c r="AX2536" t="str">
        <f t="shared" si="316"/>
        <v>FOR</v>
      </c>
      <c r="AY2536" t="s">
        <v>55</v>
      </c>
    </row>
    <row r="2537" spans="1:51" hidden="1">
      <c r="A2537">
        <v>104048</v>
      </c>
      <c r="B2537" t="s">
        <v>354</v>
      </c>
      <c r="C2537" t="str">
        <f t="shared" si="319"/>
        <v>00674840152</v>
      </c>
      <c r="D2537" t="str">
        <f t="shared" si="319"/>
        <v>00674840152</v>
      </c>
      <c r="E2537" t="s">
        <v>52</v>
      </c>
      <c r="F2537">
        <v>2015</v>
      </c>
      <c r="G2537" t="str">
        <f>"          5301633654"</f>
        <v xml:space="preserve">          5301633654</v>
      </c>
      <c r="H2537" s="3">
        <v>42065</v>
      </c>
      <c r="I2537" s="3">
        <v>42075</v>
      </c>
      <c r="J2537" s="3">
        <v>42075</v>
      </c>
      <c r="K2537" s="3">
        <v>42135</v>
      </c>
      <c r="L2537"/>
      <c r="N2537"/>
      <c r="O2537">
        <v>238.8</v>
      </c>
      <c r="P2537">
        <v>268</v>
      </c>
      <c r="Q2537" s="4">
        <v>63998.400000000001</v>
      </c>
      <c r="R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 s="3">
        <v>42562</v>
      </c>
      <c r="AC2537" t="s">
        <v>53</v>
      </c>
      <c r="AD2537" t="s">
        <v>53</v>
      </c>
      <c r="AK2537">
        <v>0</v>
      </c>
      <c r="AU2537" s="3">
        <v>42403</v>
      </c>
      <c r="AV2537" s="3">
        <v>42403</v>
      </c>
      <c r="AW2537" t="s">
        <v>54</v>
      </c>
      <c r="AX2537" t="str">
        <f t="shared" si="316"/>
        <v>FOR</v>
      </c>
      <c r="AY2537" t="s">
        <v>55</v>
      </c>
    </row>
    <row r="2538" spans="1:51" hidden="1">
      <c r="A2538">
        <v>104048</v>
      </c>
      <c r="B2538" t="s">
        <v>354</v>
      </c>
      <c r="C2538" t="str">
        <f t="shared" si="319"/>
        <v>00674840152</v>
      </c>
      <c r="D2538" t="str">
        <f t="shared" si="319"/>
        <v>00674840152</v>
      </c>
      <c r="E2538" t="s">
        <v>52</v>
      </c>
      <c r="F2538">
        <v>2015</v>
      </c>
      <c r="G2538" t="str">
        <f>"          5301633655"</f>
        <v xml:space="preserve">          5301633655</v>
      </c>
      <c r="H2538" s="3">
        <v>42065</v>
      </c>
      <c r="I2538" s="3">
        <v>42075</v>
      </c>
      <c r="J2538" s="3">
        <v>42075</v>
      </c>
      <c r="K2538" s="3">
        <v>42135</v>
      </c>
      <c r="L2538"/>
      <c r="N2538"/>
      <c r="O2538">
        <v>324.5</v>
      </c>
      <c r="P2538">
        <v>268</v>
      </c>
      <c r="Q2538" s="4">
        <v>86966</v>
      </c>
      <c r="R2538">
        <v>0</v>
      </c>
      <c r="V2538">
        <v>0</v>
      </c>
      <c r="W2538">
        <v>0</v>
      </c>
      <c r="X2538">
        <v>0</v>
      </c>
      <c r="Y2538">
        <v>0</v>
      </c>
      <c r="Z2538">
        <v>0</v>
      </c>
      <c r="AA2538">
        <v>0</v>
      </c>
      <c r="AB2538" s="3">
        <v>42562</v>
      </c>
      <c r="AC2538" t="s">
        <v>53</v>
      </c>
      <c r="AD2538" t="s">
        <v>53</v>
      </c>
      <c r="AK2538">
        <v>0</v>
      </c>
      <c r="AU2538" s="3">
        <v>42403</v>
      </c>
      <c r="AV2538" s="3">
        <v>42403</v>
      </c>
      <c r="AW2538" t="s">
        <v>54</v>
      </c>
      <c r="AX2538" t="str">
        <f t="shared" si="316"/>
        <v>FOR</v>
      </c>
      <c r="AY2538" t="s">
        <v>55</v>
      </c>
    </row>
    <row r="2539" spans="1:51" hidden="1">
      <c r="A2539">
        <v>104048</v>
      </c>
      <c r="B2539" t="s">
        <v>354</v>
      </c>
      <c r="C2539" t="str">
        <f t="shared" si="319"/>
        <v>00674840152</v>
      </c>
      <c r="D2539" t="str">
        <f t="shared" si="319"/>
        <v>00674840152</v>
      </c>
      <c r="E2539" t="s">
        <v>52</v>
      </c>
      <c r="F2539">
        <v>2015</v>
      </c>
      <c r="G2539" t="str">
        <f>"          5301633656"</f>
        <v xml:space="preserve">          5301633656</v>
      </c>
      <c r="H2539" s="3">
        <v>42065</v>
      </c>
      <c r="I2539" s="3">
        <v>42075</v>
      </c>
      <c r="J2539" s="3">
        <v>42075</v>
      </c>
      <c r="K2539" s="3">
        <v>42135</v>
      </c>
      <c r="L2539"/>
      <c r="N2539"/>
      <c r="O2539">
        <v>78.8</v>
      </c>
      <c r="P2539">
        <v>268</v>
      </c>
      <c r="Q2539" s="4">
        <v>21118.400000000001</v>
      </c>
      <c r="R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 s="3">
        <v>42562</v>
      </c>
      <c r="AC2539" t="s">
        <v>53</v>
      </c>
      <c r="AD2539" t="s">
        <v>53</v>
      </c>
      <c r="AK2539">
        <v>0</v>
      </c>
      <c r="AU2539" s="3">
        <v>42403</v>
      </c>
      <c r="AV2539" s="3">
        <v>42403</v>
      </c>
      <c r="AW2539" t="s">
        <v>54</v>
      </c>
      <c r="AX2539" t="str">
        <f t="shared" si="316"/>
        <v>FOR</v>
      </c>
      <c r="AY2539" t="s">
        <v>55</v>
      </c>
    </row>
    <row r="2540" spans="1:51" hidden="1">
      <c r="A2540">
        <v>104048</v>
      </c>
      <c r="B2540" t="s">
        <v>354</v>
      </c>
      <c r="C2540" t="str">
        <f t="shared" si="319"/>
        <v>00674840152</v>
      </c>
      <c r="D2540" t="str">
        <f t="shared" si="319"/>
        <v>00674840152</v>
      </c>
      <c r="E2540" t="s">
        <v>52</v>
      </c>
      <c r="F2540">
        <v>2015</v>
      </c>
      <c r="G2540" t="str">
        <f>"          5301633657"</f>
        <v xml:space="preserve">          5301633657</v>
      </c>
      <c r="H2540" s="3">
        <v>42065</v>
      </c>
      <c r="I2540" s="3">
        <v>42075</v>
      </c>
      <c r="J2540" s="3">
        <v>42075</v>
      </c>
      <c r="K2540" s="3">
        <v>42135</v>
      </c>
      <c r="L2540"/>
      <c r="N2540"/>
      <c r="O2540">
        <v>97.5</v>
      </c>
      <c r="P2540">
        <v>268</v>
      </c>
      <c r="Q2540" s="4">
        <v>26130</v>
      </c>
      <c r="R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>
        <v>0</v>
      </c>
      <c r="AB2540" s="3">
        <v>42562</v>
      </c>
      <c r="AC2540" t="s">
        <v>53</v>
      </c>
      <c r="AD2540" t="s">
        <v>53</v>
      </c>
      <c r="AK2540">
        <v>0</v>
      </c>
      <c r="AU2540" s="3">
        <v>42403</v>
      </c>
      <c r="AV2540" s="3">
        <v>42403</v>
      </c>
      <c r="AW2540" t="s">
        <v>54</v>
      </c>
      <c r="AX2540" t="str">
        <f t="shared" si="316"/>
        <v>FOR</v>
      </c>
      <c r="AY2540" t="s">
        <v>55</v>
      </c>
    </row>
    <row r="2541" spans="1:51" hidden="1">
      <c r="A2541">
        <v>104048</v>
      </c>
      <c r="B2541" t="s">
        <v>354</v>
      </c>
      <c r="C2541" t="str">
        <f t="shared" si="319"/>
        <v>00674840152</v>
      </c>
      <c r="D2541" t="str">
        <f t="shared" si="319"/>
        <v>00674840152</v>
      </c>
      <c r="E2541" t="s">
        <v>52</v>
      </c>
      <c r="F2541">
        <v>2015</v>
      </c>
      <c r="G2541" t="str">
        <f>"          5301633658"</f>
        <v xml:space="preserve">          5301633658</v>
      </c>
      <c r="H2541" s="3">
        <v>42065</v>
      </c>
      <c r="I2541" s="3">
        <v>42075</v>
      </c>
      <c r="J2541" s="3">
        <v>42075</v>
      </c>
      <c r="K2541" s="3">
        <v>42135</v>
      </c>
      <c r="L2541"/>
      <c r="N2541"/>
      <c r="O2541">
        <v>118.2</v>
      </c>
      <c r="P2541">
        <v>268</v>
      </c>
      <c r="Q2541" s="4">
        <v>31677.599999999999</v>
      </c>
      <c r="R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 s="3">
        <v>42562</v>
      </c>
      <c r="AC2541" t="s">
        <v>53</v>
      </c>
      <c r="AD2541" t="s">
        <v>53</v>
      </c>
      <c r="AK2541">
        <v>0</v>
      </c>
      <c r="AU2541" s="3">
        <v>42403</v>
      </c>
      <c r="AV2541" s="3">
        <v>42403</v>
      </c>
      <c r="AW2541" t="s">
        <v>54</v>
      </c>
      <c r="AX2541" t="str">
        <f t="shared" si="316"/>
        <v>FOR</v>
      </c>
      <c r="AY2541" t="s">
        <v>55</v>
      </c>
    </row>
    <row r="2542" spans="1:51" hidden="1">
      <c r="A2542">
        <v>104048</v>
      </c>
      <c r="B2542" t="s">
        <v>354</v>
      </c>
      <c r="C2542" t="str">
        <f t="shared" si="319"/>
        <v>00674840152</v>
      </c>
      <c r="D2542" t="str">
        <f t="shared" si="319"/>
        <v>00674840152</v>
      </c>
      <c r="E2542" t="s">
        <v>52</v>
      </c>
      <c r="F2542">
        <v>2015</v>
      </c>
      <c r="G2542" t="str">
        <f>"          5301633659"</f>
        <v xml:space="preserve">          5301633659</v>
      </c>
      <c r="H2542" s="3">
        <v>42065</v>
      </c>
      <c r="I2542" s="3">
        <v>42075</v>
      </c>
      <c r="J2542" s="3">
        <v>42075</v>
      </c>
      <c r="K2542" s="3">
        <v>42135</v>
      </c>
      <c r="L2542"/>
      <c r="N2542"/>
      <c r="O2542">
        <v>162.4</v>
      </c>
      <c r="P2542">
        <v>268</v>
      </c>
      <c r="Q2542" s="4">
        <v>43523.199999999997</v>
      </c>
      <c r="R2542">
        <v>0</v>
      </c>
      <c r="V2542">
        <v>0</v>
      </c>
      <c r="W2542">
        <v>0</v>
      </c>
      <c r="X2542">
        <v>0</v>
      </c>
      <c r="Y2542">
        <v>0</v>
      </c>
      <c r="Z2542">
        <v>0</v>
      </c>
      <c r="AA2542">
        <v>0</v>
      </c>
      <c r="AB2542" s="3">
        <v>42562</v>
      </c>
      <c r="AC2542" t="s">
        <v>53</v>
      </c>
      <c r="AD2542" t="s">
        <v>53</v>
      </c>
      <c r="AK2542">
        <v>0</v>
      </c>
      <c r="AU2542" s="3">
        <v>42403</v>
      </c>
      <c r="AV2542" s="3">
        <v>42403</v>
      </c>
      <c r="AW2542" t="s">
        <v>54</v>
      </c>
      <c r="AX2542" t="str">
        <f t="shared" si="316"/>
        <v>FOR</v>
      </c>
      <c r="AY2542" t="s">
        <v>55</v>
      </c>
    </row>
    <row r="2543" spans="1:51" hidden="1">
      <c r="A2543">
        <v>104048</v>
      </c>
      <c r="B2543" t="s">
        <v>354</v>
      </c>
      <c r="C2543" t="str">
        <f t="shared" si="319"/>
        <v>00674840152</v>
      </c>
      <c r="D2543" t="str">
        <f t="shared" si="319"/>
        <v>00674840152</v>
      </c>
      <c r="E2543" t="s">
        <v>52</v>
      </c>
      <c r="F2543">
        <v>2015</v>
      </c>
      <c r="G2543" t="str">
        <f>"          5301633660"</f>
        <v xml:space="preserve">          5301633660</v>
      </c>
      <c r="H2543" s="3">
        <v>42065</v>
      </c>
      <c r="I2543" s="3">
        <v>42075</v>
      </c>
      <c r="J2543" s="3">
        <v>42075</v>
      </c>
      <c r="K2543" s="3">
        <v>42135</v>
      </c>
      <c r="L2543"/>
      <c r="N2543"/>
      <c r="O2543">
        <v>256.8</v>
      </c>
      <c r="P2543">
        <v>268</v>
      </c>
      <c r="Q2543" s="4">
        <v>68822.399999999994</v>
      </c>
      <c r="R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 s="3">
        <v>42562</v>
      </c>
      <c r="AC2543" t="s">
        <v>53</v>
      </c>
      <c r="AD2543" t="s">
        <v>53</v>
      </c>
      <c r="AK2543">
        <v>0</v>
      </c>
      <c r="AU2543" s="3">
        <v>42403</v>
      </c>
      <c r="AV2543" s="3">
        <v>42403</v>
      </c>
      <c r="AW2543" t="s">
        <v>54</v>
      </c>
      <c r="AX2543" t="str">
        <f t="shared" si="316"/>
        <v>FOR</v>
      </c>
      <c r="AY2543" t="s">
        <v>55</v>
      </c>
    </row>
    <row r="2544" spans="1:51" hidden="1">
      <c r="A2544">
        <v>104048</v>
      </c>
      <c r="B2544" t="s">
        <v>354</v>
      </c>
      <c r="C2544" t="str">
        <f t="shared" si="319"/>
        <v>00674840152</v>
      </c>
      <c r="D2544" t="str">
        <f t="shared" si="319"/>
        <v>00674840152</v>
      </c>
      <c r="E2544" t="s">
        <v>52</v>
      </c>
      <c r="F2544">
        <v>2015</v>
      </c>
      <c r="G2544" t="str">
        <f>"          5301633661"</f>
        <v xml:space="preserve">          5301633661</v>
      </c>
      <c r="H2544" s="3">
        <v>42065</v>
      </c>
      <c r="I2544" s="3">
        <v>42075</v>
      </c>
      <c r="J2544" s="3">
        <v>42075</v>
      </c>
      <c r="K2544" s="3">
        <v>42135</v>
      </c>
      <c r="L2544"/>
      <c r="N2544"/>
      <c r="O2544">
        <v>121.8</v>
      </c>
      <c r="P2544">
        <v>268</v>
      </c>
      <c r="Q2544" s="4">
        <v>32642.400000000001</v>
      </c>
      <c r="R2544">
        <v>0</v>
      </c>
      <c r="V2544">
        <v>0</v>
      </c>
      <c r="W2544">
        <v>0</v>
      </c>
      <c r="X2544">
        <v>0</v>
      </c>
      <c r="Y2544">
        <v>0</v>
      </c>
      <c r="Z2544">
        <v>0</v>
      </c>
      <c r="AA2544">
        <v>0</v>
      </c>
      <c r="AB2544" s="3">
        <v>42562</v>
      </c>
      <c r="AC2544" t="s">
        <v>53</v>
      </c>
      <c r="AD2544" t="s">
        <v>53</v>
      </c>
      <c r="AK2544">
        <v>0</v>
      </c>
      <c r="AU2544" s="3">
        <v>42403</v>
      </c>
      <c r="AV2544" s="3">
        <v>42403</v>
      </c>
      <c r="AW2544" t="s">
        <v>54</v>
      </c>
      <c r="AX2544" t="str">
        <f t="shared" si="316"/>
        <v>FOR</v>
      </c>
      <c r="AY2544" t="s">
        <v>55</v>
      </c>
    </row>
    <row r="2545" spans="1:51" hidden="1">
      <c r="A2545">
        <v>104048</v>
      </c>
      <c r="B2545" t="s">
        <v>354</v>
      </c>
      <c r="C2545" t="str">
        <f t="shared" si="319"/>
        <v>00674840152</v>
      </c>
      <c r="D2545" t="str">
        <f t="shared" si="319"/>
        <v>00674840152</v>
      </c>
      <c r="E2545" t="s">
        <v>52</v>
      </c>
      <c r="F2545">
        <v>2015</v>
      </c>
      <c r="G2545" t="str">
        <f>"          5301633662"</f>
        <v xml:space="preserve">          5301633662</v>
      </c>
      <c r="H2545" s="3">
        <v>42065</v>
      </c>
      <c r="I2545" s="3">
        <v>42075</v>
      </c>
      <c r="J2545" s="3">
        <v>42075</v>
      </c>
      <c r="K2545" s="3">
        <v>42135</v>
      </c>
      <c r="L2545"/>
      <c r="N2545"/>
      <c r="O2545">
        <v>208.2</v>
      </c>
      <c r="P2545">
        <v>268</v>
      </c>
      <c r="Q2545" s="4">
        <v>55797.599999999999</v>
      </c>
      <c r="R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 s="3">
        <v>42562</v>
      </c>
      <c r="AC2545" t="s">
        <v>53</v>
      </c>
      <c r="AD2545" t="s">
        <v>53</v>
      </c>
      <c r="AK2545">
        <v>0</v>
      </c>
      <c r="AU2545" s="3">
        <v>42403</v>
      </c>
      <c r="AV2545" s="3">
        <v>42403</v>
      </c>
      <c r="AW2545" t="s">
        <v>54</v>
      </c>
      <c r="AX2545" t="str">
        <f t="shared" si="316"/>
        <v>FOR</v>
      </c>
      <c r="AY2545" t="s">
        <v>55</v>
      </c>
    </row>
    <row r="2546" spans="1:51" hidden="1">
      <c r="A2546">
        <v>104048</v>
      </c>
      <c r="B2546" t="s">
        <v>354</v>
      </c>
      <c r="C2546" t="str">
        <f t="shared" si="319"/>
        <v>00674840152</v>
      </c>
      <c r="D2546" t="str">
        <f t="shared" si="319"/>
        <v>00674840152</v>
      </c>
      <c r="E2546" t="s">
        <v>52</v>
      </c>
      <c r="F2546">
        <v>2015</v>
      </c>
      <c r="G2546" t="str">
        <f>"          5301633663"</f>
        <v xml:space="preserve">          5301633663</v>
      </c>
      <c r="H2546" s="3">
        <v>42065</v>
      </c>
      <c r="I2546" s="3">
        <v>42075</v>
      </c>
      <c r="J2546" s="3">
        <v>42075</v>
      </c>
      <c r="K2546" s="3">
        <v>42135</v>
      </c>
      <c r="L2546"/>
      <c r="N2546"/>
      <c r="O2546">
        <v>250.2</v>
      </c>
      <c r="P2546">
        <v>268</v>
      </c>
      <c r="Q2546" s="4">
        <v>67053.600000000006</v>
      </c>
      <c r="R2546">
        <v>0</v>
      </c>
      <c r="V2546">
        <v>0</v>
      </c>
      <c r="W2546">
        <v>0</v>
      </c>
      <c r="X2546">
        <v>0</v>
      </c>
      <c r="Y2546">
        <v>0</v>
      </c>
      <c r="Z2546">
        <v>0</v>
      </c>
      <c r="AA2546">
        <v>0</v>
      </c>
      <c r="AB2546" s="3">
        <v>42562</v>
      </c>
      <c r="AC2546" t="s">
        <v>53</v>
      </c>
      <c r="AD2546" t="s">
        <v>53</v>
      </c>
      <c r="AK2546">
        <v>0</v>
      </c>
      <c r="AU2546" s="3">
        <v>42403</v>
      </c>
      <c r="AV2546" s="3">
        <v>42403</v>
      </c>
      <c r="AW2546" t="s">
        <v>54</v>
      </c>
      <c r="AX2546" t="str">
        <f t="shared" si="316"/>
        <v>FOR</v>
      </c>
      <c r="AY2546" t="s">
        <v>55</v>
      </c>
    </row>
    <row r="2547" spans="1:51" hidden="1">
      <c r="A2547">
        <v>104048</v>
      </c>
      <c r="B2547" t="s">
        <v>354</v>
      </c>
      <c r="C2547" t="str">
        <f t="shared" si="319"/>
        <v>00674840152</v>
      </c>
      <c r="D2547" t="str">
        <f t="shared" si="319"/>
        <v>00674840152</v>
      </c>
      <c r="E2547" t="s">
        <v>52</v>
      </c>
      <c r="F2547">
        <v>2015</v>
      </c>
      <c r="G2547" t="str">
        <f>"          5301633664"</f>
        <v xml:space="preserve">          5301633664</v>
      </c>
      <c r="H2547" s="3">
        <v>42065</v>
      </c>
      <c r="I2547" s="3">
        <v>42075</v>
      </c>
      <c r="J2547" s="3">
        <v>42075</v>
      </c>
      <c r="K2547" s="3">
        <v>42135</v>
      </c>
      <c r="L2547"/>
      <c r="N2547"/>
      <c r="O2547">
        <v>343.2</v>
      </c>
      <c r="P2547">
        <v>268</v>
      </c>
      <c r="Q2547" s="4">
        <v>91977.600000000006</v>
      </c>
      <c r="R2547">
        <v>0</v>
      </c>
      <c r="V2547">
        <v>0</v>
      </c>
      <c r="W2547">
        <v>0</v>
      </c>
      <c r="X2547">
        <v>0</v>
      </c>
      <c r="Y2547">
        <v>0</v>
      </c>
      <c r="Z2547">
        <v>0</v>
      </c>
      <c r="AA2547">
        <v>0</v>
      </c>
      <c r="AB2547" s="3">
        <v>42562</v>
      </c>
      <c r="AC2547" t="s">
        <v>53</v>
      </c>
      <c r="AD2547" t="s">
        <v>53</v>
      </c>
      <c r="AK2547">
        <v>0</v>
      </c>
      <c r="AU2547" s="3">
        <v>42403</v>
      </c>
      <c r="AV2547" s="3">
        <v>42403</v>
      </c>
      <c r="AW2547" t="s">
        <v>54</v>
      </c>
      <c r="AX2547" t="str">
        <f t="shared" si="316"/>
        <v>FOR</v>
      </c>
      <c r="AY2547" t="s">
        <v>55</v>
      </c>
    </row>
    <row r="2548" spans="1:51" hidden="1">
      <c r="A2548">
        <v>104048</v>
      </c>
      <c r="B2548" t="s">
        <v>354</v>
      </c>
      <c r="C2548" t="str">
        <f t="shared" si="319"/>
        <v>00674840152</v>
      </c>
      <c r="D2548" t="str">
        <f t="shared" si="319"/>
        <v>00674840152</v>
      </c>
      <c r="E2548" t="s">
        <v>52</v>
      </c>
      <c r="F2548">
        <v>2015</v>
      </c>
      <c r="G2548" t="str">
        <f>"          5301633665"</f>
        <v xml:space="preserve">          5301633665</v>
      </c>
      <c r="H2548" s="3">
        <v>42065</v>
      </c>
      <c r="I2548" s="3">
        <v>42075</v>
      </c>
      <c r="J2548" s="3">
        <v>42075</v>
      </c>
      <c r="K2548" s="3">
        <v>42135</v>
      </c>
      <c r="L2548"/>
      <c r="N2548"/>
      <c r="O2548">
        <v>337.5</v>
      </c>
      <c r="P2548">
        <v>268</v>
      </c>
      <c r="Q2548" s="4">
        <v>90450</v>
      </c>
      <c r="R2548">
        <v>0</v>
      </c>
      <c r="V2548">
        <v>0</v>
      </c>
      <c r="W2548">
        <v>0</v>
      </c>
      <c r="X2548">
        <v>0</v>
      </c>
      <c r="Y2548">
        <v>0</v>
      </c>
      <c r="Z2548">
        <v>0</v>
      </c>
      <c r="AA2548">
        <v>0</v>
      </c>
      <c r="AB2548" s="3">
        <v>42562</v>
      </c>
      <c r="AC2548" t="s">
        <v>53</v>
      </c>
      <c r="AD2548" t="s">
        <v>53</v>
      </c>
      <c r="AK2548">
        <v>0</v>
      </c>
      <c r="AU2548" s="3">
        <v>42403</v>
      </c>
      <c r="AV2548" s="3">
        <v>42403</v>
      </c>
      <c r="AW2548" t="s">
        <v>54</v>
      </c>
      <c r="AX2548" t="str">
        <f t="shared" si="316"/>
        <v>FOR</v>
      </c>
      <c r="AY2548" t="s">
        <v>55</v>
      </c>
    </row>
    <row r="2549" spans="1:51" hidden="1">
      <c r="A2549">
        <v>104048</v>
      </c>
      <c r="B2549" t="s">
        <v>354</v>
      </c>
      <c r="C2549" t="str">
        <f t="shared" si="319"/>
        <v>00674840152</v>
      </c>
      <c r="D2549" t="str">
        <f t="shared" si="319"/>
        <v>00674840152</v>
      </c>
      <c r="E2549" t="s">
        <v>52</v>
      </c>
      <c r="F2549">
        <v>2015</v>
      </c>
      <c r="G2549" t="str">
        <f>"          5301633666"</f>
        <v xml:space="preserve">          5301633666</v>
      </c>
      <c r="H2549" s="3">
        <v>42065</v>
      </c>
      <c r="I2549" s="3">
        <v>42075</v>
      </c>
      <c r="J2549" s="3">
        <v>42075</v>
      </c>
      <c r="K2549" s="3">
        <v>42135</v>
      </c>
      <c r="L2549"/>
      <c r="N2549"/>
      <c r="O2549" s="4">
        <v>1021.6</v>
      </c>
      <c r="P2549">
        <v>268</v>
      </c>
      <c r="Q2549" s="4">
        <v>273788.79999999999</v>
      </c>
      <c r="R2549">
        <v>0</v>
      </c>
      <c r="V2549">
        <v>0</v>
      </c>
      <c r="W2549">
        <v>0</v>
      </c>
      <c r="X2549">
        <v>0</v>
      </c>
      <c r="Y2549">
        <v>0</v>
      </c>
      <c r="Z2549">
        <v>0</v>
      </c>
      <c r="AA2549">
        <v>0</v>
      </c>
      <c r="AB2549" s="3">
        <v>42562</v>
      </c>
      <c r="AC2549" t="s">
        <v>53</v>
      </c>
      <c r="AD2549" t="s">
        <v>53</v>
      </c>
      <c r="AK2549">
        <v>0</v>
      </c>
      <c r="AU2549" s="3">
        <v>42403</v>
      </c>
      <c r="AV2549" s="3">
        <v>42403</v>
      </c>
      <c r="AW2549" t="s">
        <v>54</v>
      </c>
      <c r="AX2549" t="str">
        <f t="shared" si="316"/>
        <v>FOR</v>
      </c>
      <c r="AY2549" t="s">
        <v>55</v>
      </c>
    </row>
    <row r="2550" spans="1:51" hidden="1">
      <c r="A2550">
        <v>104048</v>
      </c>
      <c r="B2550" t="s">
        <v>354</v>
      </c>
      <c r="C2550" t="str">
        <f t="shared" si="319"/>
        <v>00674840152</v>
      </c>
      <c r="D2550" t="str">
        <f t="shared" si="319"/>
        <v>00674840152</v>
      </c>
      <c r="E2550" t="s">
        <v>52</v>
      </c>
      <c r="F2550">
        <v>2015</v>
      </c>
      <c r="G2550" t="str">
        <f>"          5301633667"</f>
        <v xml:space="preserve">          5301633667</v>
      </c>
      <c r="H2550" s="3">
        <v>42065</v>
      </c>
      <c r="I2550" s="3">
        <v>42075</v>
      </c>
      <c r="J2550" s="3">
        <v>42075</v>
      </c>
      <c r="K2550" s="3">
        <v>42135</v>
      </c>
      <c r="L2550"/>
      <c r="N2550"/>
      <c r="O2550">
        <v>552.58000000000004</v>
      </c>
      <c r="P2550">
        <v>268</v>
      </c>
      <c r="Q2550" s="4">
        <v>148091.44</v>
      </c>
      <c r="R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 s="3">
        <v>42562</v>
      </c>
      <c r="AC2550" t="s">
        <v>53</v>
      </c>
      <c r="AD2550" t="s">
        <v>53</v>
      </c>
      <c r="AK2550">
        <v>0</v>
      </c>
      <c r="AU2550" s="3">
        <v>42403</v>
      </c>
      <c r="AV2550" s="3">
        <v>42403</v>
      </c>
      <c r="AW2550" t="s">
        <v>54</v>
      </c>
      <c r="AX2550" t="str">
        <f t="shared" si="316"/>
        <v>FOR</v>
      </c>
      <c r="AY2550" t="s">
        <v>55</v>
      </c>
    </row>
    <row r="2551" spans="1:51" hidden="1">
      <c r="A2551">
        <v>104048</v>
      </c>
      <c r="B2551" t="s">
        <v>354</v>
      </c>
      <c r="C2551" t="str">
        <f t="shared" si="319"/>
        <v>00674840152</v>
      </c>
      <c r="D2551" t="str">
        <f t="shared" si="319"/>
        <v>00674840152</v>
      </c>
      <c r="E2551" t="s">
        <v>52</v>
      </c>
      <c r="F2551">
        <v>2015</v>
      </c>
      <c r="G2551" t="str">
        <f>"          5301633668"</f>
        <v xml:space="preserve">          5301633668</v>
      </c>
      <c r="H2551" s="3">
        <v>42065</v>
      </c>
      <c r="I2551" s="3">
        <v>42075</v>
      </c>
      <c r="J2551" s="3">
        <v>42075</v>
      </c>
      <c r="K2551" s="3">
        <v>42135</v>
      </c>
      <c r="L2551"/>
      <c r="N2551"/>
      <c r="O2551">
        <v>163.6</v>
      </c>
      <c r="P2551">
        <v>268</v>
      </c>
      <c r="Q2551" s="4">
        <v>43844.800000000003</v>
      </c>
      <c r="R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 s="3">
        <v>42562</v>
      </c>
      <c r="AC2551" t="s">
        <v>53</v>
      </c>
      <c r="AD2551" t="s">
        <v>53</v>
      </c>
      <c r="AK2551">
        <v>0</v>
      </c>
      <c r="AU2551" s="3">
        <v>42403</v>
      </c>
      <c r="AV2551" s="3">
        <v>42403</v>
      </c>
      <c r="AW2551" t="s">
        <v>54</v>
      </c>
      <c r="AX2551" t="str">
        <f t="shared" si="316"/>
        <v>FOR</v>
      </c>
      <c r="AY2551" t="s">
        <v>55</v>
      </c>
    </row>
    <row r="2552" spans="1:51" hidden="1">
      <c r="A2552">
        <v>104048</v>
      </c>
      <c r="B2552" t="s">
        <v>354</v>
      </c>
      <c r="C2552" t="str">
        <f t="shared" ref="C2552:D2571" si="320">"00674840152"</f>
        <v>00674840152</v>
      </c>
      <c r="D2552" t="str">
        <f t="shared" si="320"/>
        <v>00674840152</v>
      </c>
      <c r="E2552" t="s">
        <v>52</v>
      </c>
      <c r="F2552">
        <v>2015</v>
      </c>
      <c r="G2552" t="str">
        <f>"          5301633669"</f>
        <v xml:space="preserve">          5301633669</v>
      </c>
      <c r="H2552" s="3">
        <v>42065</v>
      </c>
      <c r="I2552" s="3">
        <v>42075</v>
      </c>
      <c r="J2552" s="3">
        <v>42075</v>
      </c>
      <c r="K2552" s="3">
        <v>42135</v>
      </c>
      <c r="L2552"/>
      <c r="N2552"/>
      <c r="O2552">
        <v>174</v>
      </c>
      <c r="P2552">
        <v>268</v>
      </c>
      <c r="Q2552" s="4">
        <v>46632</v>
      </c>
      <c r="R2552">
        <v>0</v>
      </c>
      <c r="V2552">
        <v>0</v>
      </c>
      <c r="W2552">
        <v>0</v>
      </c>
      <c r="X2552">
        <v>0</v>
      </c>
      <c r="Y2552">
        <v>0</v>
      </c>
      <c r="Z2552">
        <v>0</v>
      </c>
      <c r="AA2552">
        <v>0</v>
      </c>
      <c r="AB2552" s="3">
        <v>42562</v>
      </c>
      <c r="AC2552" t="s">
        <v>53</v>
      </c>
      <c r="AD2552" t="s">
        <v>53</v>
      </c>
      <c r="AK2552">
        <v>0</v>
      </c>
      <c r="AU2552" s="3">
        <v>42403</v>
      </c>
      <c r="AV2552" s="3">
        <v>42403</v>
      </c>
      <c r="AW2552" t="s">
        <v>54</v>
      </c>
      <c r="AX2552" t="str">
        <f t="shared" ref="AX2552:AX2615" si="321">"FOR"</f>
        <v>FOR</v>
      </c>
      <c r="AY2552" t="s">
        <v>55</v>
      </c>
    </row>
    <row r="2553" spans="1:51" hidden="1">
      <c r="A2553">
        <v>104048</v>
      </c>
      <c r="B2553" t="s">
        <v>354</v>
      </c>
      <c r="C2553" t="str">
        <f t="shared" si="320"/>
        <v>00674840152</v>
      </c>
      <c r="D2553" t="str">
        <f t="shared" si="320"/>
        <v>00674840152</v>
      </c>
      <c r="E2553" t="s">
        <v>52</v>
      </c>
      <c r="F2553">
        <v>2015</v>
      </c>
      <c r="G2553" t="str">
        <f>"          5301633670"</f>
        <v xml:space="preserve">          5301633670</v>
      </c>
      <c r="H2553" s="3">
        <v>42065</v>
      </c>
      <c r="I2553" s="3">
        <v>42075</v>
      </c>
      <c r="J2553" s="3">
        <v>42075</v>
      </c>
      <c r="K2553" s="3">
        <v>42135</v>
      </c>
      <c r="L2553"/>
      <c r="N2553"/>
      <c r="O2553">
        <v>332</v>
      </c>
      <c r="P2553">
        <v>268</v>
      </c>
      <c r="Q2553" s="4">
        <v>88976</v>
      </c>
      <c r="R2553">
        <v>0</v>
      </c>
      <c r="V2553">
        <v>0</v>
      </c>
      <c r="W2553">
        <v>0</v>
      </c>
      <c r="X2553">
        <v>0</v>
      </c>
      <c r="Y2553">
        <v>0</v>
      </c>
      <c r="Z2553">
        <v>0</v>
      </c>
      <c r="AA2553">
        <v>0</v>
      </c>
      <c r="AB2553" s="3">
        <v>42562</v>
      </c>
      <c r="AC2553" t="s">
        <v>53</v>
      </c>
      <c r="AD2553" t="s">
        <v>53</v>
      </c>
      <c r="AK2553">
        <v>0</v>
      </c>
      <c r="AU2553" s="3">
        <v>42403</v>
      </c>
      <c r="AV2553" s="3">
        <v>42403</v>
      </c>
      <c r="AW2553" t="s">
        <v>54</v>
      </c>
      <c r="AX2553" t="str">
        <f t="shared" si="321"/>
        <v>FOR</v>
      </c>
      <c r="AY2553" t="s">
        <v>55</v>
      </c>
    </row>
    <row r="2554" spans="1:51" hidden="1">
      <c r="A2554">
        <v>104048</v>
      </c>
      <c r="B2554" t="s">
        <v>354</v>
      </c>
      <c r="C2554" t="str">
        <f t="shared" si="320"/>
        <v>00674840152</v>
      </c>
      <c r="D2554" t="str">
        <f t="shared" si="320"/>
        <v>00674840152</v>
      </c>
      <c r="E2554" t="s">
        <v>52</v>
      </c>
      <c r="F2554">
        <v>2015</v>
      </c>
      <c r="G2554" t="str">
        <f>"          5301633671"</f>
        <v xml:space="preserve">          5301633671</v>
      </c>
      <c r="H2554" s="3">
        <v>42065</v>
      </c>
      <c r="I2554" s="3">
        <v>42075</v>
      </c>
      <c r="J2554" s="3">
        <v>42075</v>
      </c>
      <c r="K2554" s="3">
        <v>42135</v>
      </c>
      <c r="L2554"/>
      <c r="N2554"/>
      <c r="O2554">
        <v>159.30000000000001</v>
      </c>
      <c r="P2554">
        <v>268</v>
      </c>
      <c r="Q2554" s="4">
        <v>42692.4</v>
      </c>
      <c r="R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 s="3">
        <v>42562</v>
      </c>
      <c r="AC2554" t="s">
        <v>53</v>
      </c>
      <c r="AD2554" t="s">
        <v>53</v>
      </c>
      <c r="AK2554">
        <v>0</v>
      </c>
      <c r="AU2554" s="3">
        <v>42403</v>
      </c>
      <c r="AV2554" s="3">
        <v>42403</v>
      </c>
      <c r="AW2554" t="s">
        <v>54</v>
      </c>
      <c r="AX2554" t="str">
        <f t="shared" si="321"/>
        <v>FOR</v>
      </c>
      <c r="AY2554" t="s">
        <v>55</v>
      </c>
    </row>
    <row r="2555" spans="1:51" hidden="1">
      <c r="A2555">
        <v>104048</v>
      </c>
      <c r="B2555" t="s">
        <v>354</v>
      </c>
      <c r="C2555" t="str">
        <f t="shared" si="320"/>
        <v>00674840152</v>
      </c>
      <c r="D2555" t="str">
        <f t="shared" si="320"/>
        <v>00674840152</v>
      </c>
      <c r="E2555" t="s">
        <v>52</v>
      </c>
      <c r="F2555">
        <v>2015</v>
      </c>
      <c r="G2555" t="str">
        <f>"          5301633672"</f>
        <v xml:space="preserve">          5301633672</v>
      </c>
      <c r="H2555" s="3">
        <v>42065</v>
      </c>
      <c r="I2555" s="3">
        <v>42075</v>
      </c>
      <c r="J2555" s="3">
        <v>42075</v>
      </c>
      <c r="K2555" s="3">
        <v>42135</v>
      </c>
      <c r="L2555"/>
      <c r="N2555"/>
      <c r="O2555">
        <v>173.55</v>
      </c>
      <c r="P2555">
        <v>268</v>
      </c>
      <c r="Q2555" s="4">
        <v>46511.4</v>
      </c>
      <c r="R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 s="3">
        <v>42562</v>
      </c>
      <c r="AC2555" t="s">
        <v>53</v>
      </c>
      <c r="AD2555" t="s">
        <v>53</v>
      </c>
      <c r="AK2555">
        <v>0</v>
      </c>
      <c r="AU2555" s="3">
        <v>42403</v>
      </c>
      <c r="AV2555" s="3">
        <v>42403</v>
      </c>
      <c r="AW2555" t="s">
        <v>54</v>
      </c>
      <c r="AX2555" t="str">
        <f t="shared" si="321"/>
        <v>FOR</v>
      </c>
      <c r="AY2555" t="s">
        <v>55</v>
      </c>
    </row>
    <row r="2556" spans="1:51" hidden="1">
      <c r="A2556">
        <v>104048</v>
      </c>
      <c r="B2556" t="s">
        <v>354</v>
      </c>
      <c r="C2556" t="str">
        <f t="shared" si="320"/>
        <v>00674840152</v>
      </c>
      <c r="D2556" t="str">
        <f t="shared" si="320"/>
        <v>00674840152</v>
      </c>
      <c r="E2556" t="s">
        <v>52</v>
      </c>
      <c r="F2556">
        <v>2015</v>
      </c>
      <c r="G2556" t="str">
        <f>"          5301633673"</f>
        <v xml:space="preserve">          5301633673</v>
      </c>
      <c r="H2556" s="3">
        <v>42065</v>
      </c>
      <c r="I2556" s="3">
        <v>42075</v>
      </c>
      <c r="J2556" s="3">
        <v>42075</v>
      </c>
      <c r="K2556" s="3">
        <v>42135</v>
      </c>
      <c r="L2556"/>
      <c r="N2556"/>
      <c r="O2556">
        <v>20.100000000000001</v>
      </c>
      <c r="P2556">
        <v>268</v>
      </c>
      <c r="Q2556" s="4">
        <v>5386.8</v>
      </c>
      <c r="R2556">
        <v>0</v>
      </c>
      <c r="V2556">
        <v>0</v>
      </c>
      <c r="W2556">
        <v>0</v>
      </c>
      <c r="X2556">
        <v>0</v>
      </c>
      <c r="Y2556">
        <v>0</v>
      </c>
      <c r="Z2556">
        <v>0</v>
      </c>
      <c r="AA2556">
        <v>0</v>
      </c>
      <c r="AB2556" s="3">
        <v>42562</v>
      </c>
      <c r="AC2556" t="s">
        <v>53</v>
      </c>
      <c r="AD2556" t="s">
        <v>53</v>
      </c>
      <c r="AK2556">
        <v>0</v>
      </c>
      <c r="AU2556" s="3">
        <v>42403</v>
      </c>
      <c r="AV2556" s="3">
        <v>42403</v>
      </c>
      <c r="AW2556" t="s">
        <v>54</v>
      </c>
      <c r="AX2556" t="str">
        <f t="shared" si="321"/>
        <v>FOR</v>
      </c>
      <c r="AY2556" t="s">
        <v>55</v>
      </c>
    </row>
    <row r="2557" spans="1:51" hidden="1">
      <c r="A2557">
        <v>104048</v>
      </c>
      <c r="B2557" t="s">
        <v>354</v>
      </c>
      <c r="C2557" t="str">
        <f t="shared" si="320"/>
        <v>00674840152</v>
      </c>
      <c r="D2557" t="str">
        <f t="shared" si="320"/>
        <v>00674840152</v>
      </c>
      <c r="E2557" t="s">
        <v>52</v>
      </c>
      <c r="F2557">
        <v>2015</v>
      </c>
      <c r="G2557" t="str">
        <f>"          5301633674"</f>
        <v xml:space="preserve">          5301633674</v>
      </c>
      <c r="H2557" s="3">
        <v>42065</v>
      </c>
      <c r="I2557" s="3">
        <v>42075</v>
      </c>
      <c r="J2557" s="3">
        <v>42075</v>
      </c>
      <c r="K2557" s="3">
        <v>42135</v>
      </c>
      <c r="L2557"/>
      <c r="N2557"/>
      <c r="O2557">
        <v>58.5</v>
      </c>
      <c r="P2557">
        <v>268</v>
      </c>
      <c r="Q2557" s="4">
        <v>15678</v>
      </c>
      <c r="R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 s="3">
        <v>42562</v>
      </c>
      <c r="AC2557" t="s">
        <v>53</v>
      </c>
      <c r="AD2557" t="s">
        <v>53</v>
      </c>
      <c r="AK2557">
        <v>0</v>
      </c>
      <c r="AU2557" s="3">
        <v>42403</v>
      </c>
      <c r="AV2557" s="3">
        <v>42403</v>
      </c>
      <c r="AW2557" t="s">
        <v>54</v>
      </c>
      <c r="AX2557" t="str">
        <f t="shared" si="321"/>
        <v>FOR</v>
      </c>
      <c r="AY2557" t="s">
        <v>55</v>
      </c>
    </row>
    <row r="2558" spans="1:51" hidden="1">
      <c r="A2558">
        <v>104048</v>
      </c>
      <c r="B2558" t="s">
        <v>354</v>
      </c>
      <c r="C2558" t="str">
        <f t="shared" si="320"/>
        <v>00674840152</v>
      </c>
      <c r="D2558" t="str">
        <f t="shared" si="320"/>
        <v>00674840152</v>
      </c>
      <c r="E2558" t="s">
        <v>52</v>
      </c>
      <c r="F2558">
        <v>2015</v>
      </c>
      <c r="G2558" t="str">
        <f>"          5301633675"</f>
        <v xml:space="preserve">          5301633675</v>
      </c>
      <c r="H2558" s="3">
        <v>42065</v>
      </c>
      <c r="I2558" s="3">
        <v>42075</v>
      </c>
      <c r="J2558" s="3">
        <v>42075</v>
      </c>
      <c r="K2558" s="3">
        <v>42135</v>
      </c>
      <c r="L2558"/>
      <c r="N2558"/>
      <c r="O2558">
        <v>45.1</v>
      </c>
      <c r="P2558">
        <v>268</v>
      </c>
      <c r="Q2558" s="4">
        <v>12086.8</v>
      </c>
      <c r="R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 s="3">
        <v>42562</v>
      </c>
      <c r="AC2558" t="s">
        <v>53</v>
      </c>
      <c r="AD2558" t="s">
        <v>53</v>
      </c>
      <c r="AK2558">
        <v>0</v>
      </c>
      <c r="AU2558" s="3">
        <v>42403</v>
      </c>
      <c r="AV2558" s="3">
        <v>42403</v>
      </c>
      <c r="AW2558" t="s">
        <v>54</v>
      </c>
      <c r="AX2558" t="str">
        <f t="shared" si="321"/>
        <v>FOR</v>
      </c>
      <c r="AY2558" t="s">
        <v>55</v>
      </c>
    </row>
    <row r="2559" spans="1:51" hidden="1">
      <c r="A2559">
        <v>104048</v>
      </c>
      <c r="B2559" t="s">
        <v>354</v>
      </c>
      <c r="C2559" t="str">
        <f t="shared" si="320"/>
        <v>00674840152</v>
      </c>
      <c r="D2559" t="str">
        <f t="shared" si="320"/>
        <v>00674840152</v>
      </c>
      <c r="E2559" t="s">
        <v>52</v>
      </c>
      <c r="F2559">
        <v>2015</v>
      </c>
      <c r="G2559" t="str">
        <f>"          5301633676"</f>
        <v xml:space="preserve">          5301633676</v>
      </c>
      <c r="H2559" s="3">
        <v>42065</v>
      </c>
      <c r="I2559" s="3">
        <v>42075</v>
      </c>
      <c r="J2559" s="3">
        <v>42075</v>
      </c>
      <c r="K2559" s="3">
        <v>42135</v>
      </c>
      <c r="L2559"/>
      <c r="N2559"/>
      <c r="O2559">
        <v>17.3</v>
      </c>
      <c r="P2559">
        <v>268</v>
      </c>
      <c r="Q2559" s="4">
        <v>4636.3999999999996</v>
      </c>
      <c r="R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 s="3">
        <v>42562</v>
      </c>
      <c r="AC2559" t="s">
        <v>53</v>
      </c>
      <c r="AD2559" t="s">
        <v>53</v>
      </c>
      <c r="AK2559">
        <v>0</v>
      </c>
      <c r="AU2559" s="3">
        <v>42403</v>
      </c>
      <c r="AV2559" s="3">
        <v>42403</v>
      </c>
      <c r="AW2559" t="s">
        <v>54</v>
      </c>
      <c r="AX2559" t="str">
        <f t="shared" si="321"/>
        <v>FOR</v>
      </c>
      <c r="AY2559" t="s">
        <v>55</v>
      </c>
    </row>
    <row r="2560" spans="1:51" hidden="1">
      <c r="A2560">
        <v>104048</v>
      </c>
      <c r="B2560" t="s">
        <v>354</v>
      </c>
      <c r="C2560" t="str">
        <f t="shared" si="320"/>
        <v>00674840152</v>
      </c>
      <c r="D2560" t="str">
        <f t="shared" si="320"/>
        <v>00674840152</v>
      </c>
      <c r="E2560" t="s">
        <v>52</v>
      </c>
      <c r="F2560">
        <v>2015</v>
      </c>
      <c r="G2560" t="str">
        <f>"          5301633677"</f>
        <v xml:space="preserve">          5301633677</v>
      </c>
      <c r="H2560" s="3">
        <v>42065</v>
      </c>
      <c r="I2560" s="3">
        <v>42075</v>
      </c>
      <c r="J2560" s="3">
        <v>42075</v>
      </c>
      <c r="K2560" s="3">
        <v>42135</v>
      </c>
      <c r="L2560"/>
      <c r="N2560"/>
      <c r="O2560">
        <v>21.1</v>
      </c>
      <c r="P2560">
        <v>268</v>
      </c>
      <c r="Q2560" s="4">
        <v>5654.8</v>
      </c>
      <c r="R2560">
        <v>0</v>
      </c>
      <c r="V2560">
        <v>0</v>
      </c>
      <c r="W2560">
        <v>0</v>
      </c>
      <c r="X2560">
        <v>0</v>
      </c>
      <c r="Y2560">
        <v>0</v>
      </c>
      <c r="Z2560">
        <v>0</v>
      </c>
      <c r="AA2560">
        <v>0</v>
      </c>
      <c r="AB2560" s="3">
        <v>42562</v>
      </c>
      <c r="AC2560" t="s">
        <v>53</v>
      </c>
      <c r="AD2560" t="s">
        <v>53</v>
      </c>
      <c r="AK2560">
        <v>0</v>
      </c>
      <c r="AU2560" s="3">
        <v>42403</v>
      </c>
      <c r="AV2560" s="3">
        <v>42403</v>
      </c>
      <c r="AW2560" t="s">
        <v>54</v>
      </c>
      <c r="AX2560" t="str">
        <f t="shared" si="321"/>
        <v>FOR</v>
      </c>
      <c r="AY2560" t="s">
        <v>55</v>
      </c>
    </row>
    <row r="2561" spans="1:51" hidden="1">
      <c r="A2561">
        <v>104048</v>
      </c>
      <c r="B2561" t="s">
        <v>354</v>
      </c>
      <c r="C2561" t="str">
        <f t="shared" si="320"/>
        <v>00674840152</v>
      </c>
      <c r="D2561" t="str">
        <f t="shared" si="320"/>
        <v>00674840152</v>
      </c>
      <c r="E2561" t="s">
        <v>52</v>
      </c>
      <c r="F2561">
        <v>2015</v>
      </c>
      <c r="G2561" t="str">
        <f>"          5301633678"</f>
        <v xml:space="preserve">          5301633678</v>
      </c>
      <c r="H2561" s="3">
        <v>42065</v>
      </c>
      <c r="I2561" s="3">
        <v>42075</v>
      </c>
      <c r="J2561" s="3">
        <v>42075</v>
      </c>
      <c r="K2561" s="3">
        <v>42135</v>
      </c>
      <c r="L2561"/>
      <c r="N2561"/>
      <c r="O2561">
        <v>48.1</v>
      </c>
      <c r="P2561">
        <v>268</v>
      </c>
      <c r="Q2561" s="4">
        <v>12890.8</v>
      </c>
      <c r="R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 s="3">
        <v>42562</v>
      </c>
      <c r="AC2561" t="s">
        <v>53</v>
      </c>
      <c r="AD2561" t="s">
        <v>53</v>
      </c>
      <c r="AK2561">
        <v>0</v>
      </c>
      <c r="AU2561" s="3">
        <v>42403</v>
      </c>
      <c r="AV2561" s="3">
        <v>42403</v>
      </c>
      <c r="AW2561" t="s">
        <v>54</v>
      </c>
      <c r="AX2561" t="str">
        <f t="shared" si="321"/>
        <v>FOR</v>
      </c>
      <c r="AY2561" t="s">
        <v>55</v>
      </c>
    </row>
    <row r="2562" spans="1:51" hidden="1">
      <c r="A2562">
        <v>104048</v>
      </c>
      <c r="B2562" t="s">
        <v>354</v>
      </c>
      <c r="C2562" t="str">
        <f t="shared" si="320"/>
        <v>00674840152</v>
      </c>
      <c r="D2562" t="str">
        <f t="shared" si="320"/>
        <v>00674840152</v>
      </c>
      <c r="E2562" t="s">
        <v>52</v>
      </c>
      <c r="F2562">
        <v>2015</v>
      </c>
      <c r="G2562" t="str">
        <f>"          5301633679"</f>
        <v xml:space="preserve">          5301633679</v>
      </c>
      <c r="H2562" s="3">
        <v>42065</v>
      </c>
      <c r="I2562" s="3">
        <v>42075</v>
      </c>
      <c r="J2562" s="3">
        <v>42075</v>
      </c>
      <c r="K2562" s="3">
        <v>42135</v>
      </c>
      <c r="L2562"/>
      <c r="N2562"/>
      <c r="O2562">
        <v>229.2</v>
      </c>
      <c r="P2562">
        <v>268</v>
      </c>
      <c r="Q2562" s="4">
        <v>61425.599999999999</v>
      </c>
      <c r="R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 s="3">
        <v>42562</v>
      </c>
      <c r="AC2562" t="s">
        <v>53</v>
      </c>
      <c r="AD2562" t="s">
        <v>53</v>
      </c>
      <c r="AK2562">
        <v>0</v>
      </c>
      <c r="AU2562" s="3">
        <v>42403</v>
      </c>
      <c r="AV2562" s="3">
        <v>42403</v>
      </c>
      <c r="AW2562" t="s">
        <v>54</v>
      </c>
      <c r="AX2562" t="str">
        <f t="shared" si="321"/>
        <v>FOR</v>
      </c>
      <c r="AY2562" t="s">
        <v>55</v>
      </c>
    </row>
    <row r="2563" spans="1:51" hidden="1">
      <c r="A2563">
        <v>104048</v>
      </c>
      <c r="B2563" t="s">
        <v>354</v>
      </c>
      <c r="C2563" t="str">
        <f t="shared" si="320"/>
        <v>00674840152</v>
      </c>
      <c r="D2563" t="str">
        <f t="shared" si="320"/>
        <v>00674840152</v>
      </c>
      <c r="E2563" t="s">
        <v>52</v>
      </c>
      <c r="F2563">
        <v>2015</v>
      </c>
      <c r="G2563" t="str">
        <f>"          5301633680"</f>
        <v xml:space="preserve">          5301633680</v>
      </c>
      <c r="H2563" s="3">
        <v>42065</v>
      </c>
      <c r="I2563" s="3">
        <v>42075</v>
      </c>
      <c r="J2563" s="3">
        <v>42075</v>
      </c>
      <c r="K2563" s="3">
        <v>42135</v>
      </c>
      <c r="L2563"/>
      <c r="N2563"/>
      <c r="O2563">
        <v>27.4</v>
      </c>
      <c r="P2563">
        <v>268</v>
      </c>
      <c r="Q2563" s="4">
        <v>7343.2</v>
      </c>
      <c r="R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 s="3">
        <v>42562</v>
      </c>
      <c r="AC2563" t="s">
        <v>53</v>
      </c>
      <c r="AD2563" t="s">
        <v>53</v>
      </c>
      <c r="AK2563">
        <v>0</v>
      </c>
      <c r="AU2563" s="3">
        <v>42403</v>
      </c>
      <c r="AV2563" s="3">
        <v>42403</v>
      </c>
      <c r="AW2563" t="s">
        <v>54</v>
      </c>
      <c r="AX2563" t="str">
        <f t="shared" si="321"/>
        <v>FOR</v>
      </c>
      <c r="AY2563" t="s">
        <v>55</v>
      </c>
    </row>
    <row r="2564" spans="1:51" hidden="1">
      <c r="A2564">
        <v>104048</v>
      </c>
      <c r="B2564" t="s">
        <v>354</v>
      </c>
      <c r="C2564" t="str">
        <f t="shared" si="320"/>
        <v>00674840152</v>
      </c>
      <c r="D2564" t="str">
        <f t="shared" si="320"/>
        <v>00674840152</v>
      </c>
      <c r="E2564" t="s">
        <v>52</v>
      </c>
      <c r="F2564">
        <v>2015</v>
      </c>
      <c r="G2564" t="str">
        <f>"          5301633681"</f>
        <v xml:space="preserve">          5301633681</v>
      </c>
      <c r="H2564" s="3">
        <v>42065</v>
      </c>
      <c r="I2564" s="3">
        <v>42075</v>
      </c>
      <c r="J2564" s="3">
        <v>42075</v>
      </c>
      <c r="K2564" s="3">
        <v>42135</v>
      </c>
      <c r="L2564"/>
      <c r="N2564"/>
      <c r="O2564">
        <v>135.80000000000001</v>
      </c>
      <c r="P2564">
        <v>268</v>
      </c>
      <c r="Q2564" s="4">
        <v>36394.400000000001</v>
      </c>
      <c r="R2564">
        <v>0</v>
      </c>
      <c r="V2564">
        <v>0</v>
      </c>
      <c r="W2564">
        <v>0</v>
      </c>
      <c r="X2564">
        <v>0</v>
      </c>
      <c r="Y2564">
        <v>0</v>
      </c>
      <c r="Z2564">
        <v>0</v>
      </c>
      <c r="AA2564">
        <v>0</v>
      </c>
      <c r="AB2564" s="3">
        <v>42562</v>
      </c>
      <c r="AC2564" t="s">
        <v>53</v>
      </c>
      <c r="AD2564" t="s">
        <v>53</v>
      </c>
      <c r="AK2564">
        <v>0</v>
      </c>
      <c r="AU2564" s="3">
        <v>42403</v>
      </c>
      <c r="AV2564" s="3">
        <v>42403</v>
      </c>
      <c r="AW2564" t="s">
        <v>54</v>
      </c>
      <c r="AX2564" t="str">
        <f t="shared" si="321"/>
        <v>FOR</v>
      </c>
      <c r="AY2564" t="s">
        <v>55</v>
      </c>
    </row>
    <row r="2565" spans="1:51" hidden="1">
      <c r="A2565">
        <v>104048</v>
      </c>
      <c r="B2565" t="s">
        <v>354</v>
      </c>
      <c r="C2565" t="str">
        <f t="shared" si="320"/>
        <v>00674840152</v>
      </c>
      <c r="D2565" t="str">
        <f t="shared" si="320"/>
        <v>00674840152</v>
      </c>
      <c r="E2565" t="s">
        <v>52</v>
      </c>
      <c r="F2565">
        <v>2015</v>
      </c>
      <c r="G2565" t="str">
        <f>"          5301633682"</f>
        <v xml:space="preserve">          5301633682</v>
      </c>
      <c r="H2565" s="3">
        <v>42065</v>
      </c>
      <c r="I2565" s="3">
        <v>42075</v>
      </c>
      <c r="J2565" s="3">
        <v>42075</v>
      </c>
      <c r="K2565" s="3">
        <v>42135</v>
      </c>
      <c r="L2565"/>
      <c r="N2565"/>
      <c r="O2565">
        <v>76.5</v>
      </c>
      <c r="P2565">
        <v>268</v>
      </c>
      <c r="Q2565" s="4">
        <v>20502</v>
      </c>
      <c r="R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 s="3">
        <v>42562</v>
      </c>
      <c r="AC2565" t="s">
        <v>53</v>
      </c>
      <c r="AD2565" t="s">
        <v>53</v>
      </c>
      <c r="AK2565">
        <v>0</v>
      </c>
      <c r="AU2565" s="3">
        <v>42403</v>
      </c>
      <c r="AV2565" s="3">
        <v>42403</v>
      </c>
      <c r="AW2565" t="s">
        <v>54</v>
      </c>
      <c r="AX2565" t="str">
        <f t="shared" si="321"/>
        <v>FOR</v>
      </c>
      <c r="AY2565" t="s">
        <v>55</v>
      </c>
    </row>
    <row r="2566" spans="1:51" hidden="1">
      <c r="A2566">
        <v>104048</v>
      </c>
      <c r="B2566" t="s">
        <v>354</v>
      </c>
      <c r="C2566" t="str">
        <f t="shared" si="320"/>
        <v>00674840152</v>
      </c>
      <c r="D2566" t="str">
        <f t="shared" si="320"/>
        <v>00674840152</v>
      </c>
      <c r="E2566" t="s">
        <v>52</v>
      </c>
      <c r="F2566">
        <v>2015</v>
      </c>
      <c r="G2566" t="str">
        <f>"          5301633683"</f>
        <v xml:space="preserve">          5301633683</v>
      </c>
      <c r="H2566" s="3">
        <v>42065</v>
      </c>
      <c r="I2566" s="3">
        <v>42075</v>
      </c>
      <c r="J2566" s="3">
        <v>42075</v>
      </c>
      <c r="K2566" s="3">
        <v>42135</v>
      </c>
      <c r="L2566"/>
      <c r="N2566"/>
      <c r="O2566">
        <v>148.19999999999999</v>
      </c>
      <c r="P2566">
        <v>268</v>
      </c>
      <c r="Q2566" s="4">
        <v>39717.599999999999</v>
      </c>
      <c r="R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 s="3">
        <v>42562</v>
      </c>
      <c r="AC2566" t="s">
        <v>53</v>
      </c>
      <c r="AD2566" t="s">
        <v>53</v>
      </c>
      <c r="AK2566">
        <v>0</v>
      </c>
      <c r="AU2566" s="3">
        <v>42403</v>
      </c>
      <c r="AV2566" s="3">
        <v>42403</v>
      </c>
      <c r="AW2566" t="s">
        <v>54</v>
      </c>
      <c r="AX2566" t="str">
        <f t="shared" si="321"/>
        <v>FOR</v>
      </c>
      <c r="AY2566" t="s">
        <v>55</v>
      </c>
    </row>
    <row r="2567" spans="1:51" hidden="1">
      <c r="A2567">
        <v>104048</v>
      </c>
      <c r="B2567" t="s">
        <v>354</v>
      </c>
      <c r="C2567" t="str">
        <f t="shared" si="320"/>
        <v>00674840152</v>
      </c>
      <c r="D2567" t="str">
        <f t="shared" si="320"/>
        <v>00674840152</v>
      </c>
      <c r="E2567" t="s">
        <v>52</v>
      </c>
      <c r="F2567">
        <v>2015</v>
      </c>
      <c r="G2567" t="str">
        <f>"          5301633684"</f>
        <v xml:space="preserve">          5301633684</v>
      </c>
      <c r="H2567" s="3">
        <v>42065</v>
      </c>
      <c r="I2567" s="3">
        <v>42075</v>
      </c>
      <c r="J2567" s="3">
        <v>42075</v>
      </c>
      <c r="K2567" s="3">
        <v>42135</v>
      </c>
      <c r="L2567"/>
      <c r="N2567"/>
      <c r="O2567">
        <v>238.2</v>
      </c>
      <c r="P2567">
        <v>268</v>
      </c>
      <c r="Q2567" s="4">
        <v>63837.599999999999</v>
      </c>
      <c r="R2567">
        <v>0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 s="3">
        <v>42562</v>
      </c>
      <c r="AC2567" t="s">
        <v>53</v>
      </c>
      <c r="AD2567" t="s">
        <v>53</v>
      </c>
      <c r="AK2567">
        <v>0</v>
      </c>
      <c r="AU2567" s="3">
        <v>42403</v>
      </c>
      <c r="AV2567" s="3">
        <v>42403</v>
      </c>
      <c r="AW2567" t="s">
        <v>54</v>
      </c>
      <c r="AX2567" t="str">
        <f t="shared" si="321"/>
        <v>FOR</v>
      </c>
      <c r="AY2567" t="s">
        <v>55</v>
      </c>
    </row>
    <row r="2568" spans="1:51" hidden="1">
      <c r="A2568">
        <v>104048</v>
      </c>
      <c r="B2568" t="s">
        <v>354</v>
      </c>
      <c r="C2568" t="str">
        <f t="shared" si="320"/>
        <v>00674840152</v>
      </c>
      <c r="D2568" t="str">
        <f t="shared" si="320"/>
        <v>00674840152</v>
      </c>
      <c r="E2568" t="s">
        <v>52</v>
      </c>
      <c r="F2568">
        <v>2015</v>
      </c>
      <c r="G2568" t="str">
        <f>"          5301633685"</f>
        <v xml:space="preserve">          5301633685</v>
      </c>
      <c r="H2568" s="3">
        <v>42065</v>
      </c>
      <c r="I2568" s="3">
        <v>42075</v>
      </c>
      <c r="J2568" s="3">
        <v>42075</v>
      </c>
      <c r="K2568" s="3">
        <v>42135</v>
      </c>
      <c r="L2568"/>
      <c r="N2568"/>
      <c r="O2568">
        <v>252.5</v>
      </c>
      <c r="P2568">
        <v>268</v>
      </c>
      <c r="Q2568" s="4">
        <v>67670</v>
      </c>
      <c r="R2568">
        <v>0</v>
      </c>
      <c r="V2568">
        <v>0</v>
      </c>
      <c r="W2568">
        <v>0</v>
      </c>
      <c r="X2568">
        <v>0</v>
      </c>
      <c r="Y2568">
        <v>0</v>
      </c>
      <c r="Z2568">
        <v>0</v>
      </c>
      <c r="AA2568">
        <v>0</v>
      </c>
      <c r="AB2568" s="3">
        <v>42562</v>
      </c>
      <c r="AC2568" t="s">
        <v>53</v>
      </c>
      <c r="AD2568" t="s">
        <v>53</v>
      </c>
      <c r="AK2568">
        <v>0</v>
      </c>
      <c r="AU2568" s="3">
        <v>42403</v>
      </c>
      <c r="AV2568" s="3">
        <v>42403</v>
      </c>
      <c r="AW2568" t="s">
        <v>54</v>
      </c>
      <c r="AX2568" t="str">
        <f t="shared" si="321"/>
        <v>FOR</v>
      </c>
      <c r="AY2568" t="s">
        <v>55</v>
      </c>
    </row>
    <row r="2569" spans="1:51" hidden="1">
      <c r="A2569">
        <v>104048</v>
      </c>
      <c r="B2569" t="s">
        <v>354</v>
      </c>
      <c r="C2569" t="str">
        <f t="shared" si="320"/>
        <v>00674840152</v>
      </c>
      <c r="D2569" t="str">
        <f t="shared" si="320"/>
        <v>00674840152</v>
      </c>
      <c r="E2569" t="s">
        <v>52</v>
      </c>
      <c r="F2569">
        <v>2015</v>
      </c>
      <c r="G2569" t="str">
        <f>"          5301633873"</f>
        <v xml:space="preserve">          5301633873</v>
      </c>
      <c r="H2569" s="3">
        <v>42066</v>
      </c>
      <c r="I2569" s="3">
        <v>42076</v>
      </c>
      <c r="J2569" s="3">
        <v>42076</v>
      </c>
      <c r="K2569" s="3">
        <v>42136</v>
      </c>
      <c r="L2569"/>
      <c r="N2569"/>
      <c r="O2569">
        <v>381.1</v>
      </c>
      <c r="P2569">
        <v>267</v>
      </c>
      <c r="Q2569" s="4">
        <v>101753.7</v>
      </c>
      <c r="R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 s="3">
        <v>42562</v>
      </c>
      <c r="AC2569" t="s">
        <v>53</v>
      </c>
      <c r="AD2569" t="s">
        <v>53</v>
      </c>
      <c r="AK2569">
        <v>0</v>
      </c>
      <c r="AU2569" s="3">
        <v>42403</v>
      </c>
      <c r="AV2569" s="3">
        <v>42403</v>
      </c>
      <c r="AW2569" t="s">
        <v>54</v>
      </c>
      <c r="AX2569" t="str">
        <f t="shared" si="321"/>
        <v>FOR</v>
      </c>
      <c r="AY2569" t="s">
        <v>55</v>
      </c>
    </row>
    <row r="2570" spans="1:51" hidden="1">
      <c r="A2570">
        <v>104048</v>
      </c>
      <c r="B2570" t="s">
        <v>354</v>
      </c>
      <c r="C2570" t="str">
        <f t="shared" si="320"/>
        <v>00674840152</v>
      </c>
      <c r="D2570" t="str">
        <f t="shared" si="320"/>
        <v>00674840152</v>
      </c>
      <c r="E2570" t="s">
        <v>52</v>
      </c>
      <c r="F2570">
        <v>2015</v>
      </c>
      <c r="G2570" t="str">
        <f>"          5301634323"</f>
        <v xml:space="preserve">          5301634323</v>
      </c>
      <c r="H2570" s="3">
        <v>42066</v>
      </c>
      <c r="I2570" s="3">
        <v>42086</v>
      </c>
      <c r="J2570" s="3">
        <v>42086</v>
      </c>
      <c r="K2570" s="3">
        <v>42146</v>
      </c>
      <c r="L2570"/>
      <c r="N2570"/>
      <c r="O2570">
        <v>476.4</v>
      </c>
      <c r="P2570">
        <v>257</v>
      </c>
      <c r="Q2570" s="4">
        <v>122434.8</v>
      </c>
      <c r="R2570">
        <v>0</v>
      </c>
      <c r="V2570">
        <v>0</v>
      </c>
      <c r="W2570">
        <v>0</v>
      </c>
      <c r="X2570">
        <v>0</v>
      </c>
      <c r="Y2570">
        <v>0</v>
      </c>
      <c r="Z2570">
        <v>0</v>
      </c>
      <c r="AA2570">
        <v>0</v>
      </c>
      <c r="AB2570" s="3">
        <v>42562</v>
      </c>
      <c r="AC2570" t="s">
        <v>53</v>
      </c>
      <c r="AD2570" t="s">
        <v>53</v>
      </c>
      <c r="AK2570">
        <v>0</v>
      </c>
      <c r="AU2570" s="3">
        <v>42403</v>
      </c>
      <c r="AV2570" s="3">
        <v>42403</v>
      </c>
      <c r="AW2570" t="s">
        <v>54</v>
      </c>
      <c r="AX2570" t="str">
        <f t="shared" si="321"/>
        <v>FOR</v>
      </c>
      <c r="AY2570" t="s">
        <v>55</v>
      </c>
    </row>
    <row r="2571" spans="1:51" hidden="1">
      <c r="A2571">
        <v>104048</v>
      </c>
      <c r="B2571" t="s">
        <v>354</v>
      </c>
      <c r="C2571" t="str">
        <f t="shared" si="320"/>
        <v>00674840152</v>
      </c>
      <c r="D2571" t="str">
        <f t="shared" si="320"/>
        <v>00674840152</v>
      </c>
      <c r="E2571" t="s">
        <v>52</v>
      </c>
      <c r="F2571">
        <v>2015</v>
      </c>
      <c r="G2571" t="str">
        <f>"          5301634379"</f>
        <v xml:space="preserve">          5301634379</v>
      </c>
      <c r="H2571" s="3">
        <v>42067</v>
      </c>
      <c r="I2571" s="3">
        <v>42080</v>
      </c>
      <c r="J2571" s="3">
        <v>42080</v>
      </c>
      <c r="K2571" s="3">
        <v>42140</v>
      </c>
      <c r="L2571"/>
      <c r="N2571"/>
      <c r="O2571">
        <v>659.48</v>
      </c>
      <c r="P2571">
        <v>275</v>
      </c>
      <c r="Q2571" s="4">
        <v>181357</v>
      </c>
      <c r="R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 s="3">
        <v>42562</v>
      </c>
      <c r="AC2571" t="s">
        <v>53</v>
      </c>
      <c r="AD2571" t="s">
        <v>53</v>
      </c>
      <c r="AK2571">
        <v>0</v>
      </c>
      <c r="AU2571" s="3">
        <v>42415</v>
      </c>
      <c r="AV2571" s="3">
        <v>42415</v>
      </c>
      <c r="AW2571" t="s">
        <v>54</v>
      </c>
      <c r="AX2571" t="str">
        <f t="shared" si="321"/>
        <v>FOR</v>
      </c>
      <c r="AY2571" t="s">
        <v>55</v>
      </c>
    </row>
    <row r="2572" spans="1:51" hidden="1">
      <c r="A2572">
        <v>104048</v>
      </c>
      <c r="B2572" t="s">
        <v>354</v>
      </c>
      <c r="C2572" t="str">
        <f t="shared" ref="C2572:D2591" si="322">"00674840152"</f>
        <v>00674840152</v>
      </c>
      <c r="D2572" t="str">
        <f t="shared" si="322"/>
        <v>00674840152</v>
      </c>
      <c r="E2572" t="s">
        <v>52</v>
      </c>
      <c r="F2572">
        <v>2015</v>
      </c>
      <c r="G2572" t="str">
        <f>"          5301634568"</f>
        <v xml:space="preserve">          5301634568</v>
      </c>
      <c r="H2572" s="3">
        <v>42068</v>
      </c>
      <c r="I2572" s="3">
        <v>42080</v>
      </c>
      <c r="J2572" s="3">
        <v>42080</v>
      </c>
      <c r="K2572" s="3">
        <v>42140</v>
      </c>
      <c r="L2572"/>
      <c r="N2572"/>
      <c r="O2572">
        <v>503</v>
      </c>
      <c r="P2572">
        <v>263</v>
      </c>
      <c r="Q2572" s="4">
        <v>132289</v>
      </c>
      <c r="R2572">
        <v>0</v>
      </c>
      <c r="V2572">
        <v>0</v>
      </c>
      <c r="W2572">
        <v>0</v>
      </c>
      <c r="X2572">
        <v>0</v>
      </c>
      <c r="Y2572">
        <v>0</v>
      </c>
      <c r="Z2572">
        <v>0</v>
      </c>
      <c r="AA2572">
        <v>0</v>
      </c>
      <c r="AB2572" s="3">
        <v>42562</v>
      </c>
      <c r="AC2572" t="s">
        <v>53</v>
      </c>
      <c r="AD2572" t="s">
        <v>53</v>
      </c>
      <c r="AK2572">
        <v>0</v>
      </c>
      <c r="AU2572" s="3">
        <v>42403</v>
      </c>
      <c r="AV2572" s="3">
        <v>42403</v>
      </c>
      <c r="AW2572" t="s">
        <v>54</v>
      </c>
      <c r="AX2572" t="str">
        <f t="shared" si="321"/>
        <v>FOR</v>
      </c>
      <c r="AY2572" t="s">
        <v>55</v>
      </c>
    </row>
    <row r="2573" spans="1:51" hidden="1">
      <c r="A2573">
        <v>104048</v>
      </c>
      <c r="B2573" t="s">
        <v>354</v>
      </c>
      <c r="C2573" t="str">
        <f t="shared" si="322"/>
        <v>00674840152</v>
      </c>
      <c r="D2573" t="str">
        <f t="shared" si="322"/>
        <v>00674840152</v>
      </c>
      <c r="E2573" t="s">
        <v>52</v>
      </c>
      <c r="F2573">
        <v>2015</v>
      </c>
      <c r="G2573" t="str">
        <f>"          5301634569"</f>
        <v xml:space="preserve">          5301634569</v>
      </c>
      <c r="H2573" s="3">
        <v>42068</v>
      </c>
      <c r="I2573" s="3">
        <v>42080</v>
      </c>
      <c r="J2573" s="3">
        <v>42080</v>
      </c>
      <c r="K2573" s="3">
        <v>42140</v>
      </c>
      <c r="L2573"/>
      <c r="N2573"/>
      <c r="O2573" s="4">
        <v>1006</v>
      </c>
      <c r="P2573">
        <v>263</v>
      </c>
      <c r="Q2573" s="4">
        <v>264578</v>
      </c>
      <c r="R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 s="3">
        <v>42562</v>
      </c>
      <c r="AC2573" t="s">
        <v>53</v>
      </c>
      <c r="AD2573" t="s">
        <v>53</v>
      </c>
      <c r="AK2573">
        <v>0</v>
      </c>
      <c r="AU2573" s="3">
        <v>42403</v>
      </c>
      <c r="AV2573" s="3">
        <v>42403</v>
      </c>
      <c r="AW2573" t="s">
        <v>54</v>
      </c>
      <c r="AX2573" t="str">
        <f t="shared" si="321"/>
        <v>FOR</v>
      </c>
      <c r="AY2573" t="s">
        <v>55</v>
      </c>
    </row>
    <row r="2574" spans="1:51" hidden="1">
      <c r="A2574">
        <v>104048</v>
      </c>
      <c r="B2574" t="s">
        <v>354</v>
      </c>
      <c r="C2574" t="str">
        <f t="shared" si="322"/>
        <v>00674840152</v>
      </c>
      <c r="D2574" t="str">
        <f t="shared" si="322"/>
        <v>00674840152</v>
      </c>
      <c r="E2574" t="s">
        <v>52</v>
      </c>
      <c r="F2574">
        <v>2015</v>
      </c>
      <c r="G2574" t="str">
        <f>"          5301634570"</f>
        <v xml:space="preserve">          5301634570</v>
      </c>
      <c r="H2574" s="3">
        <v>42068</v>
      </c>
      <c r="I2574" s="3">
        <v>42080</v>
      </c>
      <c r="J2574" s="3">
        <v>42080</v>
      </c>
      <c r="K2574" s="3">
        <v>42140</v>
      </c>
      <c r="L2574"/>
      <c r="N2574"/>
      <c r="O2574">
        <v>148.19999999999999</v>
      </c>
      <c r="P2574">
        <v>263</v>
      </c>
      <c r="Q2574" s="4">
        <v>38976.6</v>
      </c>
      <c r="R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 s="3">
        <v>42562</v>
      </c>
      <c r="AC2574" t="s">
        <v>53</v>
      </c>
      <c r="AD2574" t="s">
        <v>53</v>
      </c>
      <c r="AK2574">
        <v>0</v>
      </c>
      <c r="AU2574" s="3">
        <v>42403</v>
      </c>
      <c r="AV2574" s="3">
        <v>42403</v>
      </c>
      <c r="AW2574" t="s">
        <v>54</v>
      </c>
      <c r="AX2574" t="str">
        <f t="shared" si="321"/>
        <v>FOR</v>
      </c>
      <c r="AY2574" t="s">
        <v>55</v>
      </c>
    </row>
    <row r="2575" spans="1:51" hidden="1">
      <c r="A2575">
        <v>104048</v>
      </c>
      <c r="B2575" t="s">
        <v>354</v>
      </c>
      <c r="C2575" t="str">
        <f t="shared" si="322"/>
        <v>00674840152</v>
      </c>
      <c r="D2575" t="str">
        <f t="shared" si="322"/>
        <v>00674840152</v>
      </c>
      <c r="E2575" t="s">
        <v>52</v>
      </c>
      <c r="F2575">
        <v>2015</v>
      </c>
      <c r="G2575" t="str">
        <f>"          5301635288"</f>
        <v xml:space="preserve">          5301635288</v>
      </c>
      <c r="H2575" s="3">
        <v>42072</v>
      </c>
      <c r="I2575" s="3">
        <v>42080</v>
      </c>
      <c r="J2575" s="3">
        <v>42080</v>
      </c>
      <c r="K2575" s="3">
        <v>42140</v>
      </c>
      <c r="L2575"/>
      <c r="N2575"/>
      <c r="O2575" s="4">
        <v>1370</v>
      </c>
      <c r="P2575">
        <v>263</v>
      </c>
      <c r="Q2575" s="4">
        <v>360310</v>
      </c>
      <c r="R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 s="3">
        <v>42562</v>
      </c>
      <c r="AC2575" t="s">
        <v>53</v>
      </c>
      <c r="AD2575" t="s">
        <v>53</v>
      </c>
      <c r="AK2575">
        <v>0</v>
      </c>
      <c r="AU2575" s="3">
        <v>42403</v>
      </c>
      <c r="AV2575" s="3">
        <v>42403</v>
      </c>
      <c r="AW2575" t="s">
        <v>54</v>
      </c>
      <c r="AX2575" t="str">
        <f t="shared" si="321"/>
        <v>FOR</v>
      </c>
      <c r="AY2575" t="s">
        <v>55</v>
      </c>
    </row>
    <row r="2576" spans="1:51" hidden="1">
      <c r="A2576">
        <v>104048</v>
      </c>
      <c r="B2576" t="s">
        <v>354</v>
      </c>
      <c r="C2576" t="str">
        <f t="shared" si="322"/>
        <v>00674840152</v>
      </c>
      <c r="D2576" t="str">
        <f t="shared" si="322"/>
        <v>00674840152</v>
      </c>
      <c r="E2576" t="s">
        <v>52</v>
      </c>
      <c r="F2576">
        <v>2015</v>
      </c>
      <c r="G2576" t="str">
        <f>"          5301635648"</f>
        <v xml:space="preserve">          5301635648</v>
      </c>
      <c r="H2576" s="3">
        <v>42073</v>
      </c>
      <c r="I2576" s="3">
        <v>42080</v>
      </c>
      <c r="J2576" s="3">
        <v>42080</v>
      </c>
      <c r="K2576" s="3">
        <v>42140</v>
      </c>
      <c r="L2576"/>
      <c r="N2576"/>
      <c r="O2576">
        <v>154.05000000000001</v>
      </c>
      <c r="P2576">
        <v>263</v>
      </c>
      <c r="Q2576" s="4">
        <v>40515.15</v>
      </c>
      <c r="R2576">
        <v>0</v>
      </c>
      <c r="V2576">
        <v>0</v>
      </c>
      <c r="W2576">
        <v>0</v>
      </c>
      <c r="X2576">
        <v>0</v>
      </c>
      <c r="Y2576">
        <v>0</v>
      </c>
      <c r="Z2576">
        <v>0</v>
      </c>
      <c r="AA2576">
        <v>0</v>
      </c>
      <c r="AB2576" s="3">
        <v>42562</v>
      </c>
      <c r="AC2576" t="s">
        <v>53</v>
      </c>
      <c r="AD2576" t="s">
        <v>53</v>
      </c>
      <c r="AK2576">
        <v>0</v>
      </c>
      <c r="AU2576" s="3">
        <v>42403</v>
      </c>
      <c r="AV2576" s="3">
        <v>42403</v>
      </c>
      <c r="AW2576" t="s">
        <v>54</v>
      </c>
      <c r="AX2576" t="str">
        <f t="shared" si="321"/>
        <v>FOR</v>
      </c>
      <c r="AY2576" t="s">
        <v>55</v>
      </c>
    </row>
    <row r="2577" spans="1:51" hidden="1">
      <c r="A2577">
        <v>104048</v>
      </c>
      <c r="B2577" t="s">
        <v>354</v>
      </c>
      <c r="C2577" t="str">
        <f t="shared" si="322"/>
        <v>00674840152</v>
      </c>
      <c r="D2577" t="str">
        <f t="shared" si="322"/>
        <v>00674840152</v>
      </c>
      <c r="E2577" t="s">
        <v>52</v>
      </c>
      <c r="F2577">
        <v>2015</v>
      </c>
      <c r="G2577" t="str">
        <f>"          5301635969"</f>
        <v xml:space="preserve">          5301635969</v>
      </c>
      <c r="H2577" s="3">
        <v>42074</v>
      </c>
      <c r="I2577" s="3">
        <v>42086</v>
      </c>
      <c r="J2577" s="3">
        <v>42086</v>
      </c>
      <c r="K2577" s="3">
        <v>42146</v>
      </c>
      <c r="L2577"/>
      <c r="N2577"/>
      <c r="O2577">
        <v>76</v>
      </c>
      <c r="P2577">
        <v>269</v>
      </c>
      <c r="Q2577" s="4">
        <v>20444</v>
      </c>
      <c r="R2577">
        <v>0</v>
      </c>
      <c r="V2577">
        <v>0</v>
      </c>
      <c r="W2577">
        <v>0</v>
      </c>
      <c r="X2577">
        <v>0</v>
      </c>
      <c r="Y2577">
        <v>0</v>
      </c>
      <c r="Z2577">
        <v>0</v>
      </c>
      <c r="AA2577">
        <v>0</v>
      </c>
      <c r="AB2577" s="3">
        <v>42562</v>
      </c>
      <c r="AC2577" t="s">
        <v>53</v>
      </c>
      <c r="AD2577" t="s">
        <v>53</v>
      </c>
      <c r="AK2577">
        <v>0</v>
      </c>
      <c r="AU2577" s="3">
        <v>42415</v>
      </c>
      <c r="AV2577" s="3">
        <v>42415</v>
      </c>
      <c r="AW2577" t="s">
        <v>54</v>
      </c>
      <c r="AX2577" t="str">
        <f t="shared" si="321"/>
        <v>FOR</v>
      </c>
      <c r="AY2577" t="s">
        <v>55</v>
      </c>
    </row>
    <row r="2578" spans="1:51" hidden="1">
      <c r="A2578">
        <v>104048</v>
      </c>
      <c r="B2578" t="s">
        <v>354</v>
      </c>
      <c r="C2578" t="str">
        <f t="shared" si="322"/>
        <v>00674840152</v>
      </c>
      <c r="D2578" t="str">
        <f t="shared" si="322"/>
        <v>00674840152</v>
      </c>
      <c r="E2578" t="s">
        <v>52</v>
      </c>
      <c r="F2578">
        <v>2015</v>
      </c>
      <c r="G2578" t="str">
        <f>"          5301636281"</f>
        <v xml:space="preserve">          5301636281</v>
      </c>
      <c r="H2578" s="3">
        <v>42075</v>
      </c>
      <c r="I2578" s="3">
        <v>42086</v>
      </c>
      <c r="J2578" s="3">
        <v>42086</v>
      </c>
      <c r="K2578" s="3">
        <v>42146</v>
      </c>
      <c r="L2578"/>
      <c r="N2578"/>
      <c r="O2578">
        <v>254.9</v>
      </c>
      <c r="P2578">
        <v>257</v>
      </c>
      <c r="Q2578" s="4">
        <v>65509.3</v>
      </c>
      <c r="R2578">
        <v>0</v>
      </c>
      <c r="V2578">
        <v>0</v>
      </c>
      <c r="W2578">
        <v>0</v>
      </c>
      <c r="X2578">
        <v>0</v>
      </c>
      <c r="Y2578">
        <v>0</v>
      </c>
      <c r="Z2578">
        <v>0</v>
      </c>
      <c r="AA2578">
        <v>0</v>
      </c>
      <c r="AB2578" s="3">
        <v>42562</v>
      </c>
      <c r="AC2578" t="s">
        <v>53</v>
      </c>
      <c r="AD2578" t="s">
        <v>53</v>
      </c>
      <c r="AK2578">
        <v>0</v>
      </c>
      <c r="AU2578" s="3">
        <v>42403</v>
      </c>
      <c r="AV2578" s="3">
        <v>42403</v>
      </c>
      <c r="AW2578" t="s">
        <v>54</v>
      </c>
      <c r="AX2578" t="str">
        <f t="shared" si="321"/>
        <v>FOR</v>
      </c>
      <c r="AY2578" t="s">
        <v>55</v>
      </c>
    </row>
    <row r="2579" spans="1:51" hidden="1">
      <c r="A2579">
        <v>104048</v>
      </c>
      <c r="B2579" t="s">
        <v>354</v>
      </c>
      <c r="C2579" t="str">
        <f t="shared" si="322"/>
        <v>00674840152</v>
      </c>
      <c r="D2579" t="str">
        <f t="shared" si="322"/>
        <v>00674840152</v>
      </c>
      <c r="E2579" t="s">
        <v>52</v>
      </c>
      <c r="F2579">
        <v>2015</v>
      </c>
      <c r="G2579" t="str">
        <f>"          5301636747"</f>
        <v xml:space="preserve">          5301636747</v>
      </c>
      <c r="H2579" s="3">
        <v>42076</v>
      </c>
      <c r="I2579" s="3">
        <v>42086</v>
      </c>
      <c r="J2579" s="3">
        <v>42086</v>
      </c>
      <c r="K2579" s="3">
        <v>42146</v>
      </c>
      <c r="L2579"/>
      <c r="N2579"/>
      <c r="O2579">
        <v>301.3</v>
      </c>
      <c r="P2579">
        <v>269</v>
      </c>
      <c r="Q2579" s="4">
        <v>81049.7</v>
      </c>
      <c r="R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 s="3">
        <v>42562</v>
      </c>
      <c r="AC2579" t="s">
        <v>53</v>
      </c>
      <c r="AD2579" t="s">
        <v>53</v>
      </c>
      <c r="AK2579">
        <v>0</v>
      </c>
      <c r="AU2579" s="3">
        <v>42415</v>
      </c>
      <c r="AV2579" s="3">
        <v>42415</v>
      </c>
      <c r="AW2579" t="s">
        <v>54</v>
      </c>
      <c r="AX2579" t="str">
        <f t="shared" si="321"/>
        <v>FOR</v>
      </c>
      <c r="AY2579" t="s">
        <v>55</v>
      </c>
    </row>
    <row r="2580" spans="1:51" hidden="1">
      <c r="A2580">
        <v>104048</v>
      </c>
      <c r="B2580" t="s">
        <v>354</v>
      </c>
      <c r="C2580" t="str">
        <f t="shared" si="322"/>
        <v>00674840152</v>
      </c>
      <c r="D2580" t="str">
        <f t="shared" si="322"/>
        <v>00674840152</v>
      </c>
      <c r="E2580" t="s">
        <v>52</v>
      </c>
      <c r="F2580">
        <v>2015</v>
      </c>
      <c r="G2580" t="str">
        <f>"          5301637403"</f>
        <v xml:space="preserve">          5301637403</v>
      </c>
      <c r="H2580" s="3">
        <v>42080</v>
      </c>
      <c r="I2580" s="3">
        <v>42095</v>
      </c>
      <c r="J2580" s="3">
        <v>42095</v>
      </c>
      <c r="K2580" s="3">
        <v>42155</v>
      </c>
      <c r="L2580"/>
      <c r="N2580"/>
      <c r="O2580">
        <v>118.95</v>
      </c>
      <c r="P2580">
        <v>248</v>
      </c>
      <c r="Q2580" s="4">
        <v>29499.599999999999</v>
      </c>
      <c r="R2580">
        <v>0</v>
      </c>
      <c r="V2580">
        <v>0</v>
      </c>
      <c r="W2580">
        <v>0</v>
      </c>
      <c r="X2580">
        <v>0</v>
      </c>
      <c r="Y2580">
        <v>0</v>
      </c>
      <c r="Z2580">
        <v>0</v>
      </c>
      <c r="AA2580">
        <v>0</v>
      </c>
      <c r="AB2580" s="3">
        <v>42562</v>
      </c>
      <c r="AC2580" t="s">
        <v>53</v>
      </c>
      <c r="AD2580" t="s">
        <v>53</v>
      </c>
      <c r="AK2580">
        <v>0</v>
      </c>
      <c r="AU2580" s="3">
        <v>42403</v>
      </c>
      <c r="AV2580" s="3">
        <v>42403</v>
      </c>
      <c r="AW2580" t="s">
        <v>54</v>
      </c>
      <c r="AX2580" t="str">
        <f t="shared" si="321"/>
        <v>FOR</v>
      </c>
      <c r="AY2580" t="s">
        <v>55</v>
      </c>
    </row>
    <row r="2581" spans="1:51" hidden="1">
      <c r="A2581">
        <v>104048</v>
      </c>
      <c r="B2581" t="s">
        <v>354</v>
      </c>
      <c r="C2581" t="str">
        <f t="shared" si="322"/>
        <v>00674840152</v>
      </c>
      <c r="D2581" t="str">
        <f t="shared" si="322"/>
        <v>00674840152</v>
      </c>
      <c r="E2581" t="s">
        <v>52</v>
      </c>
      <c r="F2581">
        <v>2015</v>
      </c>
      <c r="G2581" t="str">
        <f>"          5301638036"</f>
        <v xml:space="preserve">          5301638036</v>
      </c>
      <c r="H2581" s="3">
        <v>42082</v>
      </c>
      <c r="I2581" s="3">
        <v>42095</v>
      </c>
      <c r="J2581" s="3">
        <v>42095</v>
      </c>
      <c r="K2581" s="3">
        <v>42155</v>
      </c>
      <c r="L2581"/>
      <c r="N2581"/>
      <c r="O2581">
        <v>312.95</v>
      </c>
      <c r="P2581">
        <v>248</v>
      </c>
      <c r="Q2581" s="4">
        <v>77611.600000000006</v>
      </c>
      <c r="R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 s="3">
        <v>42562</v>
      </c>
      <c r="AC2581" t="s">
        <v>53</v>
      </c>
      <c r="AD2581" t="s">
        <v>53</v>
      </c>
      <c r="AK2581">
        <v>0</v>
      </c>
      <c r="AU2581" s="3">
        <v>42403</v>
      </c>
      <c r="AV2581" s="3">
        <v>42403</v>
      </c>
      <c r="AW2581" t="s">
        <v>54</v>
      </c>
      <c r="AX2581" t="str">
        <f t="shared" si="321"/>
        <v>FOR</v>
      </c>
      <c r="AY2581" t="s">
        <v>55</v>
      </c>
    </row>
    <row r="2582" spans="1:51" hidden="1">
      <c r="A2582">
        <v>104048</v>
      </c>
      <c r="B2582" t="s">
        <v>354</v>
      </c>
      <c r="C2582" t="str">
        <f t="shared" si="322"/>
        <v>00674840152</v>
      </c>
      <c r="D2582" t="str">
        <f t="shared" si="322"/>
        <v>00674840152</v>
      </c>
      <c r="E2582" t="s">
        <v>52</v>
      </c>
      <c r="F2582">
        <v>2015</v>
      </c>
      <c r="G2582" t="str">
        <f>"          5301638641"</f>
        <v xml:space="preserve">          5301638641</v>
      </c>
      <c r="H2582" s="3">
        <v>42086</v>
      </c>
      <c r="I2582" s="3">
        <v>42107</v>
      </c>
      <c r="J2582" s="3">
        <v>42107</v>
      </c>
      <c r="K2582" s="3">
        <v>42167</v>
      </c>
      <c r="L2582"/>
      <c r="N2582"/>
      <c r="O2582">
        <v>252.5</v>
      </c>
      <c r="P2582">
        <v>236</v>
      </c>
      <c r="Q2582" s="4">
        <v>59590</v>
      </c>
      <c r="R2582">
        <v>0</v>
      </c>
      <c r="V2582">
        <v>0</v>
      </c>
      <c r="W2582">
        <v>0</v>
      </c>
      <c r="X2582">
        <v>0</v>
      </c>
      <c r="Y2582">
        <v>0</v>
      </c>
      <c r="Z2582">
        <v>0</v>
      </c>
      <c r="AA2582">
        <v>0</v>
      </c>
      <c r="AB2582" s="3">
        <v>42562</v>
      </c>
      <c r="AC2582" t="s">
        <v>53</v>
      </c>
      <c r="AD2582" t="s">
        <v>53</v>
      </c>
      <c r="AK2582">
        <v>0</v>
      </c>
      <c r="AU2582" s="3">
        <v>42403</v>
      </c>
      <c r="AV2582" s="3">
        <v>42403</v>
      </c>
      <c r="AW2582" t="s">
        <v>54</v>
      </c>
      <c r="AX2582" t="str">
        <f t="shared" si="321"/>
        <v>FOR</v>
      </c>
      <c r="AY2582" t="s">
        <v>55</v>
      </c>
    </row>
    <row r="2583" spans="1:51" hidden="1">
      <c r="A2583">
        <v>104048</v>
      </c>
      <c r="B2583" t="s">
        <v>354</v>
      </c>
      <c r="C2583" t="str">
        <f t="shared" si="322"/>
        <v>00674840152</v>
      </c>
      <c r="D2583" t="str">
        <f t="shared" si="322"/>
        <v>00674840152</v>
      </c>
      <c r="E2583" t="s">
        <v>52</v>
      </c>
      <c r="F2583">
        <v>2015</v>
      </c>
      <c r="G2583" t="str">
        <f>"          5301638642"</f>
        <v xml:space="preserve">          5301638642</v>
      </c>
      <c r="H2583" s="3">
        <v>42086</v>
      </c>
      <c r="I2583" s="3">
        <v>42107</v>
      </c>
      <c r="J2583" s="3">
        <v>42107</v>
      </c>
      <c r="K2583" s="3">
        <v>42167</v>
      </c>
      <c r="L2583"/>
      <c r="N2583"/>
      <c r="O2583">
        <v>252.5</v>
      </c>
      <c r="P2583">
        <v>236</v>
      </c>
      <c r="Q2583" s="4">
        <v>59590</v>
      </c>
      <c r="R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 s="3">
        <v>42562</v>
      </c>
      <c r="AC2583" t="s">
        <v>53</v>
      </c>
      <c r="AD2583" t="s">
        <v>53</v>
      </c>
      <c r="AK2583">
        <v>0</v>
      </c>
      <c r="AU2583" s="3">
        <v>42403</v>
      </c>
      <c r="AV2583" s="3">
        <v>42403</v>
      </c>
      <c r="AW2583" t="s">
        <v>54</v>
      </c>
      <c r="AX2583" t="str">
        <f t="shared" si="321"/>
        <v>FOR</v>
      </c>
      <c r="AY2583" t="s">
        <v>55</v>
      </c>
    </row>
    <row r="2584" spans="1:51" hidden="1">
      <c r="A2584">
        <v>104048</v>
      </c>
      <c r="B2584" t="s">
        <v>354</v>
      </c>
      <c r="C2584" t="str">
        <f t="shared" si="322"/>
        <v>00674840152</v>
      </c>
      <c r="D2584" t="str">
        <f t="shared" si="322"/>
        <v>00674840152</v>
      </c>
      <c r="E2584" t="s">
        <v>52</v>
      </c>
      <c r="F2584">
        <v>2015</v>
      </c>
      <c r="G2584" t="str">
        <f>"          5301638643"</f>
        <v xml:space="preserve">          5301638643</v>
      </c>
      <c r="H2584" s="3">
        <v>42086</v>
      </c>
      <c r="I2584" s="3">
        <v>42107</v>
      </c>
      <c r="J2584" s="3">
        <v>42107</v>
      </c>
      <c r="K2584" s="3">
        <v>42167</v>
      </c>
      <c r="L2584"/>
      <c r="N2584"/>
      <c r="O2584">
        <v>727.5</v>
      </c>
      <c r="P2584">
        <v>236</v>
      </c>
      <c r="Q2584" s="4">
        <v>171690</v>
      </c>
      <c r="R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 s="3">
        <v>42562</v>
      </c>
      <c r="AC2584" t="s">
        <v>53</v>
      </c>
      <c r="AD2584" t="s">
        <v>53</v>
      </c>
      <c r="AK2584">
        <v>0</v>
      </c>
      <c r="AU2584" s="3">
        <v>42403</v>
      </c>
      <c r="AV2584" s="3">
        <v>42403</v>
      </c>
      <c r="AW2584" t="s">
        <v>54</v>
      </c>
      <c r="AX2584" t="str">
        <f t="shared" si="321"/>
        <v>FOR</v>
      </c>
      <c r="AY2584" t="s">
        <v>55</v>
      </c>
    </row>
    <row r="2585" spans="1:51" hidden="1">
      <c r="A2585">
        <v>104048</v>
      </c>
      <c r="B2585" t="s">
        <v>354</v>
      </c>
      <c r="C2585" t="str">
        <f t="shared" si="322"/>
        <v>00674840152</v>
      </c>
      <c r="D2585" t="str">
        <f t="shared" si="322"/>
        <v>00674840152</v>
      </c>
      <c r="E2585" t="s">
        <v>52</v>
      </c>
      <c r="F2585">
        <v>2015</v>
      </c>
      <c r="G2585" t="str">
        <f>"          5301638906"</f>
        <v xml:space="preserve">          5301638906</v>
      </c>
      <c r="H2585" s="3">
        <v>42087</v>
      </c>
      <c r="I2585" s="3">
        <v>42107</v>
      </c>
      <c r="J2585" s="3">
        <v>42107</v>
      </c>
      <c r="K2585" s="3">
        <v>42167</v>
      </c>
      <c r="L2585"/>
      <c r="N2585"/>
      <c r="O2585" s="4">
        <v>1091.3</v>
      </c>
      <c r="P2585">
        <v>236</v>
      </c>
      <c r="Q2585" s="4">
        <v>257546.8</v>
      </c>
      <c r="R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 s="3">
        <v>42562</v>
      </c>
      <c r="AC2585" t="s">
        <v>53</v>
      </c>
      <c r="AD2585" t="s">
        <v>53</v>
      </c>
      <c r="AK2585">
        <v>0</v>
      </c>
      <c r="AU2585" s="3">
        <v>42403</v>
      </c>
      <c r="AV2585" s="3">
        <v>42403</v>
      </c>
      <c r="AW2585" t="s">
        <v>54</v>
      </c>
      <c r="AX2585" t="str">
        <f t="shared" si="321"/>
        <v>FOR</v>
      </c>
      <c r="AY2585" t="s">
        <v>55</v>
      </c>
    </row>
    <row r="2586" spans="1:51" hidden="1">
      <c r="A2586">
        <v>104048</v>
      </c>
      <c r="B2586" t="s">
        <v>354</v>
      </c>
      <c r="C2586" t="str">
        <f t="shared" si="322"/>
        <v>00674840152</v>
      </c>
      <c r="D2586" t="str">
        <f t="shared" si="322"/>
        <v>00674840152</v>
      </c>
      <c r="E2586" t="s">
        <v>52</v>
      </c>
      <c r="F2586">
        <v>2015</v>
      </c>
      <c r="G2586" t="str">
        <f>"          5301638907"</f>
        <v xml:space="preserve">          5301638907</v>
      </c>
      <c r="H2586" s="3">
        <v>42087</v>
      </c>
      <c r="I2586" s="3">
        <v>42108</v>
      </c>
      <c r="J2586" s="3">
        <v>42108</v>
      </c>
      <c r="K2586" s="3">
        <v>42168</v>
      </c>
      <c r="L2586"/>
      <c r="N2586"/>
      <c r="O2586" s="4">
        <v>1031.32</v>
      </c>
      <c r="P2586">
        <v>247</v>
      </c>
      <c r="Q2586" s="4">
        <v>254736.04</v>
      </c>
      <c r="R2586">
        <v>0</v>
      </c>
      <c r="V2586">
        <v>0</v>
      </c>
      <c r="W2586">
        <v>0</v>
      </c>
      <c r="X2586">
        <v>0</v>
      </c>
      <c r="Y2586">
        <v>0</v>
      </c>
      <c r="Z2586">
        <v>0</v>
      </c>
      <c r="AA2586">
        <v>0</v>
      </c>
      <c r="AB2586" s="3">
        <v>42562</v>
      </c>
      <c r="AC2586" t="s">
        <v>53</v>
      </c>
      <c r="AD2586" t="s">
        <v>53</v>
      </c>
      <c r="AK2586">
        <v>0</v>
      </c>
      <c r="AU2586" s="3">
        <v>42415</v>
      </c>
      <c r="AV2586" s="3">
        <v>42415</v>
      </c>
      <c r="AW2586" t="s">
        <v>54</v>
      </c>
      <c r="AX2586" t="str">
        <f t="shared" si="321"/>
        <v>FOR</v>
      </c>
      <c r="AY2586" t="s">
        <v>55</v>
      </c>
    </row>
    <row r="2587" spans="1:51" hidden="1">
      <c r="A2587">
        <v>104048</v>
      </c>
      <c r="B2587" t="s">
        <v>354</v>
      </c>
      <c r="C2587" t="str">
        <f t="shared" si="322"/>
        <v>00674840152</v>
      </c>
      <c r="D2587" t="str">
        <f t="shared" si="322"/>
        <v>00674840152</v>
      </c>
      <c r="E2587" t="s">
        <v>52</v>
      </c>
      <c r="F2587">
        <v>2015</v>
      </c>
      <c r="G2587" t="str">
        <f>"          5301640452"</f>
        <v xml:space="preserve">          5301640452</v>
      </c>
      <c r="H2587" s="3">
        <v>42094</v>
      </c>
      <c r="I2587" s="3">
        <v>42142</v>
      </c>
      <c r="J2587" s="3">
        <v>42137</v>
      </c>
      <c r="K2587" s="3">
        <v>42197</v>
      </c>
      <c r="L2587"/>
      <c r="N2587"/>
      <c r="O2587">
        <v>387.4</v>
      </c>
      <c r="P2587">
        <v>206</v>
      </c>
      <c r="Q2587" s="4">
        <v>79804.399999999994</v>
      </c>
      <c r="R2587">
        <v>0</v>
      </c>
      <c r="V2587">
        <v>0</v>
      </c>
      <c r="W2587">
        <v>0</v>
      </c>
      <c r="X2587">
        <v>0</v>
      </c>
      <c r="Y2587">
        <v>0</v>
      </c>
      <c r="Z2587">
        <v>0</v>
      </c>
      <c r="AA2587">
        <v>0</v>
      </c>
      <c r="AB2587" s="3">
        <v>42562</v>
      </c>
      <c r="AC2587" t="s">
        <v>53</v>
      </c>
      <c r="AD2587" t="s">
        <v>53</v>
      </c>
      <c r="AK2587">
        <v>0</v>
      </c>
      <c r="AU2587" s="3">
        <v>42403</v>
      </c>
      <c r="AV2587" s="3">
        <v>42403</v>
      </c>
      <c r="AW2587" t="s">
        <v>54</v>
      </c>
      <c r="AX2587" t="str">
        <f t="shared" si="321"/>
        <v>FOR</v>
      </c>
      <c r="AY2587" t="s">
        <v>55</v>
      </c>
    </row>
    <row r="2588" spans="1:51" hidden="1">
      <c r="A2588">
        <v>104048</v>
      </c>
      <c r="B2588" t="s">
        <v>354</v>
      </c>
      <c r="C2588" t="str">
        <f t="shared" si="322"/>
        <v>00674840152</v>
      </c>
      <c r="D2588" t="str">
        <f t="shared" si="322"/>
        <v>00674840152</v>
      </c>
      <c r="E2588" t="s">
        <v>52</v>
      </c>
      <c r="F2588">
        <v>2015</v>
      </c>
      <c r="G2588" t="str">
        <f>"          5301640641"</f>
        <v xml:space="preserve">          5301640641</v>
      </c>
      <c r="H2588" s="3">
        <v>42094</v>
      </c>
      <c r="I2588" s="3">
        <v>42124</v>
      </c>
      <c r="J2588" s="3">
        <v>42124</v>
      </c>
      <c r="K2588" s="3">
        <v>42184</v>
      </c>
      <c r="L2588"/>
      <c r="N2588"/>
      <c r="O2588">
        <v>927.2</v>
      </c>
      <c r="P2588">
        <v>231</v>
      </c>
      <c r="Q2588" s="4">
        <v>214183.2</v>
      </c>
      <c r="R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 s="3">
        <v>42562</v>
      </c>
      <c r="AC2588" t="s">
        <v>53</v>
      </c>
      <c r="AD2588" t="s">
        <v>53</v>
      </c>
      <c r="AK2588">
        <v>0</v>
      </c>
      <c r="AU2588" s="3">
        <v>42415</v>
      </c>
      <c r="AV2588" s="3">
        <v>42415</v>
      </c>
      <c r="AW2588" t="s">
        <v>54</v>
      </c>
      <c r="AX2588" t="str">
        <f t="shared" si="321"/>
        <v>FOR</v>
      </c>
      <c r="AY2588" t="s">
        <v>55</v>
      </c>
    </row>
    <row r="2589" spans="1:51" hidden="1">
      <c r="A2589">
        <v>104048</v>
      </c>
      <c r="B2589" t="s">
        <v>354</v>
      </c>
      <c r="C2589" t="str">
        <f t="shared" si="322"/>
        <v>00674840152</v>
      </c>
      <c r="D2589" t="str">
        <f t="shared" si="322"/>
        <v>00674840152</v>
      </c>
      <c r="E2589" t="s">
        <v>52</v>
      </c>
      <c r="F2589">
        <v>2015</v>
      </c>
      <c r="G2589" t="str">
        <f>"          5301640642"</f>
        <v xml:space="preserve">          5301640642</v>
      </c>
      <c r="H2589" s="3">
        <v>42094</v>
      </c>
      <c r="I2589" s="3">
        <v>42124</v>
      </c>
      <c r="J2589" s="3">
        <v>42124</v>
      </c>
      <c r="K2589" s="3">
        <v>42184</v>
      </c>
      <c r="L2589"/>
      <c r="N2589"/>
      <c r="O2589" s="4">
        <v>1254.32</v>
      </c>
      <c r="P2589">
        <v>231</v>
      </c>
      <c r="Q2589" s="4">
        <v>289747.92</v>
      </c>
      <c r="R2589">
        <v>0</v>
      </c>
      <c r="V2589">
        <v>0</v>
      </c>
      <c r="W2589">
        <v>0</v>
      </c>
      <c r="X2589">
        <v>0</v>
      </c>
      <c r="Y2589">
        <v>0</v>
      </c>
      <c r="Z2589">
        <v>0</v>
      </c>
      <c r="AA2589">
        <v>0</v>
      </c>
      <c r="AB2589" s="3">
        <v>42562</v>
      </c>
      <c r="AC2589" t="s">
        <v>53</v>
      </c>
      <c r="AD2589" t="s">
        <v>53</v>
      </c>
      <c r="AK2589">
        <v>0</v>
      </c>
      <c r="AU2589" s="3">
        <v>42415</v>
      </c>
      <c r="AV2589" s="3">
        <v>42415</v>
      </c>
      <c r="AW2589" t="s">
        <v>54</v>
      </c>
      <c r="AX2589" t="str">
        <f t="shared" si="321"/>
        <v>FOR</v>
      </c>
      <c r="AY2589" t="s">
        <v>55</v>
      </c>
    </row>
    <row r="2590" spans="1:51" hidden="1">
      <c r="A2590">
        <v>104048</v>
      </c>
      <c r="B2590" t="s">
        <v>354</v>
      </c>
      <c r="C2590" t="str">
        <f t="shared" si="322"/>
        <v>00674840152</v>
      </c>
      <c r="D2590" t="str">
        <f t="shared" si="322"/>
        <v>00674840152</v>
      </c>
      <c r="E2590" t="s">
        <v>52</v>
      </c>
      <c r="F2590">
        <v>2015</v>
      </c>
      <c r="G2590" t="str">
        <f>"          5301641076"</f>
        <v xml:space="preserve">          5301641076</v>
      </c>
      <c r="H2590" s="3">
        <v>42095</v>
      </c>
      <c r="I2590" s="3">
        <v>42135</v>
      </c>
      <c r="J2590" s="3">
        <v>42132</v>
      </c>
      <c r="K2590" s="3">
        <v>42192</v>
      </c>
      <c r="L2590"/>
      <c r="N2590"/>
      <c r="O2590" s="4">
        <v>1200</v>
      </c>
      <c r="P2590">
        <v>261</v>
      </c>
      <c r="Q2590" s="4">
        <v>313200</v>
      </c>
      <c r="R2590">
        <v>0</v>
      </c>
      <c r="V2590">
        <v>0</v>
      </c>
      <c r="W2590">
        <v>0</v>
      </c>
      <c r="X2590">
        <v>0</v>
      </c>
      <c r="Y2590">
        <v>0</v>
      </c>
      <c r="Z2590">
        <v>0</v>
      </c>
      <c r="AA2590">
        <v>0</v>
      </c>
      <c r="AB2590" s="3">
        <v>42562</v>
      </c>
      <c r="AC2590" t="s">
        <v>53</v>
      </c>
      <c r="AD2590" t="s">
        <v>53</v>
      </c>
      <c r="AK2590">
        <v>0</v>
      </c>
      <c r="AU2590" s="3">
        <v>42453</v>
      </c>
      <c r="AV2590" s="3">
        <v>42453</v>
      </c>
      <c r="AW2590" t="s">
        <v>54</v>
      </c>
      <c r="AX2590" t="str">
        <f t="shared" si="321"/>
        <v>FOR</v>
      </c>
      <c r="AY2590" t="s">
        <v>55</v>
      </c>
    </row>
    <row r="2591" spans="1:51" hidden="1">
      <c r="A2591">
        <v>104048</v>
      </c>
      <c r="B2591" t="s">
        <v>354</v>
      </c>
      <c r="C2591" t="str">
        <f t="shared" si="322"/>
        <v>00674840152</v>
      </c>
      <c r="D2591" t="str">
        <f t="shared" si="322"/>
        <v>00674840152</v>
      </c>
      <c r="E2591" t="s">
        <v>52</v>
      </c>
      <c r="F2591">
        <v>2015</v>
      </c>
      <c r="G2591" t="str">
        <f>"          5301641342"</f>
        <v xml:space="preserve">          5301641342</v>
      </c>
      <c r="H2591" s="3">
        <v>42096</v>
      </c>
      <c r="I2591" s="3">
        <v>42142</v>
      </c>
      <c r="J2591" s="3">
        <v>42137</v>
      </c>
      <c r="K2591" s="3">
        <v>42197</v>
      </c>
      <c r="L2591"/>
      <c r="N2591"/>
      <c r="O2591" s="4">
        <v>4560</v>
      </c>
      <c r="P2591">
        <v>256</v>
      </c>
      <c r="Q2591" s="4">
        <v>1167360</v>
      </c>
      <c r="R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 s="3">
        <v>42562</v>
      </c>
      <c r="AC2591" t="s">
        <v>53</v>
      </c>
      <c r="AD2591" t="s">
        <v>53</v>
      </c>
      <c r="AK2591">
        <v>0</v>
      </c>
      <c r="AU2591" s="3">
        <v>42453</v>
      </c>
      <c r="AV2591" s="3">
        <v>42453</v>
      </c>
      <c r="AW2591" t="s">
        <v>54</v>
      </c>
      <c r="AX2591" t="str">
        <f t="shared" si="321"/>
        <v>FOR</v>
      </c>
      <c r="AY2591" t="s">
        <v>55</v>
      </c>
    </row>
    <row r="2592" spans="1:51" hidden="1">
      <c r="A2592">
        <v>104048</v>
      </c>
      <c r="B2592" t="s">
        <v>354</v>
      </c>
      <c r="C2592" t="str">
        <f t="shared" ref="C2592:D2611" si="323">"00674840152"</f>
        <v>00674840152</v>
      </c>
      <c r="D2592" t="str">
        <f t="shared" si="323"/>
        <v>00674840152</v>
      </c>
      <c r="E2592" t="s">
        <v>52</v>
      </c>
      <c r="F2592">
        <v>2015</v>
      </c>
      <c r="G2592" t="str">
        <f>"          5301641343"</f>
        <v xml:space="preserve">          5301641343</v>
      </c>
      <c r="H2592" s="3">
        <v>42096</v>
      </c>
      <c r="I2592" s="3">
        <v>42124</v>
      </c>
      <c r="J2592" s="3">
        <v>42124</v>
      </c>
      <c r="K2592" s="3">
        <v>42184</v>
      </c>
      <c r="L2592"/>
      <c r="N2592"/>
      <c r="O2592" s="4">
        <v>4560</v>
      </c>
      <c r="P2592">
        <v>269</v>
      </c>
      <c r="Q2592" s="4">
        <v>1226640</v>
      </c>
      <c r="R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 s="3">
        <v>42562</v>
      </c>
      <c r="AC2592" t="s">
        <v>53</v>
      </c>
      <c r="AD2592" t="s">
        <v>53</v>
      </c>
      <c r="AK2592">
        <v>0</v>
      </c>
      <c r="AU2592" s="3">
        <v>42453</v>
      </c>
      <c r="AV2592" s="3">
        <v>42453</v>
      </c>
      <c r="AW2592" t="s">
        <v>54</v>
      </c>
      <c r="AX2592" t="str">
        <f t="shared" si="321"/>
        <v>FOR</v>
      </c>
      <c r="AY2592" t="s">
        <v>55</v>
      </c>
    </row>
    <row r="2593" spans="1:51" hidden="1">
      <c r="A2593">
        <v>104048</v>
      </c>
      <c r="B2593" t="s">
        <v>354</v>
      </c>
      <c r="C2593" t="str">
        <f t="shared" si="323"/>
        <v>00674840152</v>
      </c>
      <c r="D2593" t="str">
        <f t="shared" si="323"/>
        <v>00674840152</v>
      </c>
      <c r="E2593" t="s">
        <v>52</v>
      </c>
      <c r="F2593">
        <v>2015</v>
      </c>
      <c r="G2593" t="str">
        <f>"          5301641821"</f>
        <v xml:space="preserve">          5301641821</v>
      </c>
      <c r="H2593" s="3">
        <v>42101</v>
      </c>
      <c r="I2593" s="3">
        <v>42142</v>
      </c>
      <c r="J2593" s="3">
        <v>42137</v>
      </c>
      <c r="K2593" s="3">
        <v>42197</v>
      </c>
      <c r="L2593"/>
      <c r="N2593"/>
      <c r="O2593">
        <v>184</v>
      </c>
      <c r="P2593">
        <v>256</v>
      </c>
      <c r="Q2593" s="4">
        <v>47104</v>
      </c>
      <c r="R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 s="3">
        <v>42562</v>
      </c>
      <c r="AC2593" t="s">
        <v>53</v>
      </c>
      <c r="AD2593" t="s">
        <v>53</v>
      </c>
      <c r="AK2593">
        <v>0</v>
      </c>
      <c r="AU2593" s="3">
        <v>42453</v>
      </c>
      <c r="AV2593" s="3">
        <v>42453</v>
      </c>
      <c r="AW2593" t="s">
        <v>54</v>
      </c>
      <c r="AX2593" t="str">
        <f t="shared" si="321"/>
        <v>FOR</v>
      </c>
      <c r="AY2593" t="s">
        <v>55</v>
      </c>
    </row>
    <row r="2594" spans="1:51" hidden="1">
      <c r="A2594">
        <v>104048</v>
      </c>
      <c r="B2594" t="s">
        <v>354</v>
      </c>
      <c r="C2594" t="str">
        <f t="shared" si="323"/>
        <v>00674840152</v>
      </c>
      <c r="D2594" t="str">
        <f t="shared" si="323"/>
        <v>00674840152</v>
      </c>
      <c r="E2594" t="s">
        <v>52</v>
      </c>
      <c r="F2594">
        <v>2015</v>
      </c>
      <c r="G2594" t="str">
        <f>"          5301642126"</f>
        <v xml:space="preserve">          5301642126</v>
      </c>
      <c r="H2594" s="3">
        <v>42102</v>
      </c>
      <c r="I2594" s="3">
        <v>42115</v>
      </c>
      <c r="J2594" s="3">
        <v>42114</v>
      </c>
      <c r="K2594" s="3">
        <v>42174</v>
      </c>
      <c r="L2594"/>
      <c r="N2594"/>
      <c r="O2594">
        <v>588</v>
      </c>
      <c r="P2594">
        <v>279</v>
      </c>
      <c r="Q2594" s="4">
        <v>164052</v>
      </c>
      <c r="R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 s="3">
        <v>42562</v>
      </c>
      <c r="AC2594" t="s">
        <v>53</v>
      </c>
      <c r="AD2594" t="s">
        <v>53</v>
      </c>
      <c r="AK2594">
        <v>0</v>
      </c>
      <c r="AU2594" s="3">
        <v>42453</v>
      </c>
      <c r="AV2594" s="3">
        <v>42453</v>
      </c>
      <c r="AW2594" t="s">
        <v>54</v>
      </c>
      <c r="AX2594" t="str">
        <f t="shared" si="321"/>
        <v>FOR</v>
      </c>
      <c r="AY2594" t="s">
        <v>55</v>
      </c>
    </row>
    <row r="2595" spans="1:51">
      <c r="A2595">
        <v>104048</v>
      </c>
      <c r="B2595" t="s">
        <v>354</v>
      </c>
      <c r="C2595" t="str">
        <f t="shared" si="323"/>
        <v>00674840152</v>
      </c>
      <c r="D2595" t="str">
        <f t="shared" si="323"/>
        <v>00674840152</v>
      </c>
      <c r="E2595" t="s">
        <v>52</v>
      </c>
      <c r="F2595">
        <v>2015</v>
      </c>
      <c r="G2595" t="str">
        <f>"          5301643424"</f>
        <v xml:space="preserve">          5301643424</v>
      </c>
      <c r="H2595" s="3">
        <v>42108</v>
      </c>
      <c r="I2595" s="3">
        <v>42117</v>
      </c>
      <c r="J2595" s="3">
        <v>42115</v>
      </c>
      <c r="K2595" s="3">
        <v>42175</v>
      </c>
      <c r="L2595" s="1">
        <v>600</v>
      </c>
      <c r="M2595">
        <v>317</v>
      </c>
      <c r="N2595" s="5">
        <v>190200</v>
      </c>
      <c r="O2595">
        <v>600</v>
      </c>
      <c r="P2595">
        <v>317</v>
      </c>
      <c r="Q2595" s="4">
        <v>190200</v>
      </c>
      <c r="R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 s="3">
        <v>42562</v>
      </c>
      <c r="AC2595" t="s">
        <v>53</v>
      </c>
      <c r="AD2595" t="s">
        <v>53</v>
      </c>
      <c r="AK2595">
        <v>0</v>
      </c>
      <c r="AU2595" s="3">
        <v>42492</v>
      </c>
      <c r="AV2595" s="3">
        <v>42492</v>
      </c>
      <c r="AW2595" t="s">
        <v>54</v>
      </c>
      <c r="AX2595" t="str">
        <f t="shared" si="321"/>
        <v>FOR</v>
      </c>
      <c r="AY2595" t="s">
        <v>55</v>
      </c>
    </row>
    <row r="2596" spans="1:51" hidden="1">
      <c r="A2596">
        <v>104048</v>
      </c>
      <c r="B2596" t="s">
        <v>354</v>
      </c>
      <c r="C2596" t="str">
        <f t="shared" si="323"/>
        <v>00674840152</v>
      </c>
      <c r="D2596" t="str">
        <f t="shared" si="323"/>
        <v>00674840152</v>
      </c>
      <c r="E2596" t="s">
        <v>52</v>
      </c>
      <c r="F2596">
        <v>2015</v>
      </c>
      <c r="G2596" t="str">
        <f>"          5301643425"</f>
        <v xml:space="preserve">          5301643425</v>
      </c>
      <c r="H2596" s="3">
        <v>42108</v>
      </c>
      <c r="I2596" s="3">
        <v>42117</v>
      </c>
      <c r="J2596" s="3">
        <v>42115</v>
      </c>
      <c r="K2596" s="3">
        <v>42175</v>
      </c>
      <c r="L2596"/>
      <c r="N2596"/>
      <c r="O2596">
        <v>297.05</v>
      </c>
      <c r="P2596">
        <v>241</v>
      </c>
      <c r="Q2596" s="4">
        <v>71589.05</v>
      </c>
      <c r="R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 s="3">
        <v>42562</v>
      </c>
      <c r="AC2596" t="s">
        <v>53</v>
      </c>
      <c r="AD2596" t="s">
        <v>53</v>
      </c>
      <c r="AK2596">
        <v>0</v>
      </c>
      <c r="AU2596" s="3">
        <v>42416</v>
      </c>
      <c r="AV2596" s="3">
        <v>42416</v>
      </c>
      <c r="AW2596" t="s">
        <v>54</v>
      </c>
      <c r="AX2596" t="str">
        <f t="shared" si="321"/>
        <v>FOR</v>
      </c>
      <c r="AY2596" t="s">
        <v>55</v>
      </c>
    </row>
    <row r="2597" spans="1:51" hidden="1">
      <c r="A2597">
        <v>104048</v>
      </c>
      <c r="B2597" t="s">
        <v>354</v>
      </c>
      <c r="C2597" t="str">
        <f t="shared" si="323"/>
        <v>00674840152</v>
      </c>
      <c r="D2597" t="str">
        <f t="shared" si="323"/>
        <v>00674840152</v>
      </c>
      <c r="E2597" t="s">
        <v>52</v>
      </c>
      <c r="F2597">
        <v>2015</v>
      </c>
      <c r="G2597" t="str">
        <f>"          5301643426"</f>
        <v xml:space="preserve">          5301643426</v>
      </c>
      <c r="H2597" s="3">
        <v>42108</v>
      </c>
      <c r="I2597" s="3">
        <v>42116</v>
      </c>
      <c r="J2597" s="3">
        <v>42115</v>
      </c>
      <c r="K2597" s="3">
        <v>42175</v>
      </c>
      <c r="L2597"/>
      <c r="N2597"/>
      <c r="O2597" s="4">
        <v>1580</v>
      </c>
      <c r="P2597">
        <v>278</v>
      </c>
      <c r="Q2597" s="4">
        <v>439240</v>
      </c>
      <c r="R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 s="3">
        <v>42562</v>
      </c>
      <c r="AC2597" t="s">
        <v>53</v>
      </c>
      <c r="AD2597" t="s">
        <v>53</v>
      </c>
      <c r="AK2597">
        <v>0</v>
      </c>
      <c r="AU2597" s="3">
        <v>42453</v>
      </c>
      <c r="AV2597" s="3">
        <v>42453</v>
      </c>
      <c r="AW2597" t="s">
        <v>54</v>
      </c>
      <c r="AX2597" t="str">
        <f t="shared" si="321"/>
        <v>FOR</v>
      </c>
      <c r="AY2597" t="s">
        <v>55</v>
      </c>
    </row>
    <row r="2598" spans="1:51" hidden="1">
      <c r="A2598">
        <v>104048</v>
      </c>
      <c r="B2598" t="s">
        <v>354</v>
      </c>
      <c r="C2598" t="str">
        <f t="shared" si="323"/>
        <v>00674840152</v>
      </c>
      <c r="D2598" t="str">
        <f t="shared" si="323"/>
        <v>00674840152</v>
      </c>
      <c r="E2598" t="s">
        <v>52</v>
      </c>
      <c r="F2598">
        <v>2015</v>
      </c>
      <c r="G2598" t="str">
        <f>"          5301643912"</f>
        <v xml:space="preserve">          5301643912</v>
      </c>
      <c r="H2598" s="3">
        <v>42109</v>
      </c>
      <c r="I2598" s="3">
        <v>42117</v>
      </c>
      <c r="J2598" s="3">
        <v>42115</v>
      </c>
      <c r="K2598" s="3">
        <v>42175</v>
      </c>
      <c r="L2598"/>
      <c r="N2598"/>
      <c r="O2598" s="4">
        <v>3300</v>
      </c>
      <c r="P2598">
        <v>241</v>
      </c>
      <c r="Q2598" s="4">
        <v>795300</v>
      </c>
      <c r="R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 s="3">
        <v>42562</v>
      </c>
      <c r="AC2598" t="s">
        <v>53</v>
      </c>
      <c r="AD2598" t="s">
        <v>53</v>
      </c>
      <c r="AK2598">
        <v>0</v>
      </c>
      <c r="AU2598" s="3">
        <v>42416</v>
      </c>
      <c r="AV2598" s="3">
        <v>42416</v>
      </c>
      <c r="AW2598" t="s">
        <v>54</v>
      </c>
      <c r="AX2598" t="str">
        <f t="shared" si="321"/>
        <v>FOR</v>
      </c>
      <c r="AY2598" t="s">
        <v>55</v>
      </c>
    </row>
    <row r="2599" spans="1:51" hidden="1">
      <c r="A2599">
        <v>104048</v>
      </c>
      <c r="B2599" t="s">
        <v>354</v>
      </c>
      <c r="C2599" t="str">
        <f t="shared" si="323"/>
        <v>00674840152</v>
      </c>
      <c r="D2599" t="str">
        <f t="shared" si="323"/>
        <v>00674840152</v>
      </c>
      <c r="E2599" t="s">
        <v>52</v>
      </c>
      <c r="F2599">
        <v>2015</v>
      </c>
      <c r="G2599" t="str">
        <f>"          5301644970"</f>
        <v xml:space="preserve">          5301644970</v>
      </c>
      <c r="H2599" s="3">
        <v>42114</v>
      </c>
      <c r="I2599" s="3">
        <v>42117</v>
      </c>
      <c r="J2599" s="3">
        <v>42115</v>
      </c>
      <c r="K2599" s="3">
        <v>42175</v>
      </c>
      <c r="L2599"/>
      <c r="N2599"/>
      <c r="O2599">
        <v>130.62</v>
      </c>
      <c r="P2599">
        <v>241</v>
      </c>
      <c r="Q2599" s="4">
        <v>31479.42</v>
      </c>
      <c r="R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>
        <v>0</v>
      </c>
      <c r="AB2599" s="3">
        <v>42562</v>
      </c>
      <c r="AC2599" t="s">
        <v>53</v>
      </c>
      <c r="AD2599" t="s">
        <v>53</v>
      </c>
      <c r="AK2599">
        <v>0</v>
      </c>
      <c r="AU2599" s="3">
        <v>42416</v>
      </c>
      <c r="AV2599" s="3">
        <v>42416</v>
      </c>
      <c r="AW2599" t="s">
        <v>54</v>
      </c>
      <c r="AX2599" t="str">
        <f t="shared" si="321"/>
        <v>FOR</v>
      </c>
      <c r="AY2599" t="s">
        <v>55</v>
      </c>
    </row>
    <row r="2600" spans="1:51" hidden="1">
      <c r="A2600">
        <v>104048</v>
      </c>
      <c r="B2600" t="s">
        <v>354</v>
      </c>
      <c r="C2600" t="str">
        <f t="shared" si="323"/>
        <v>00674840152</v>
      </c>
      <c r="D2600" t="str">
        <f t="shared" si="323"/>
        <v>00674840152</v>
      </c>
      <c r="E2600" t="s">
        <v>52</v>
      </c>
      <c r="F2600">
        <v>2015</v>
      </c>
      <c r="G2600" t="str">
        <f>"          5301644971"</f>
        <v xml:space="preserve">          5301644971</v>
      </c>
      <c r="H2600" s="3">
        <v>42114</v>
      </c>
      <c r="I2600" s="3">
        <v>42116</v>
      </c>
      <c r="J2600" s="3">
        <v>42115</v>
      </c>
      <c r="K2600" s="3">
        <v>42175</v>
      </c>
      <c r="L2600"/>
      <c r="N2600"/>
      <c r="O2600">
        <v>477.75</v>
      </c>
      <c r="P2600">
        <v>278</v>
      </c>
      <c r="Q2600" s="4">
        <v>132814.5</v>
      </c>
      <c r="R2600">
        <v>0</v>
      </c>
      <c r="V2600">
        <v>0</v>
      </c>
      <c r="W2600">
        <v>0</v>
      </c>
      <c r="X2600">
        <v>0</v>
      </c>
      <c r="Y2600">
        <v>0</v>
      </c>
      <c r="Z2600">
        <v>0</v>
      </c>
      <c r="AA2600">
        <v>0</v>
      </c>
      <c r="AB2600" s="3">
        <v>42562</v>
      </c>
      <c r="AC2600" t="s">
        <v>53</v>
      </c>
      <c r="AD2600" t="s">
        <v>53</v>
      </c>
      <c r="AK2600">
        <v>0</v>
      </c>
      <c r="AU2600" s="3">
        <v>42453</v>
      </c>
      <c r="AV2600" s="3">
        <v>42453</v>
      </c>
      <c r="AW2600" t="s">
        <v>54</v>
      </c>
      <c r="AX2600" t="str">
        <f t="shared" si="321"/>
        <v>FOR</v>
      </c>
      <c r="AY2600" t="s">
        <v>55</v>
      </c>
    </row>
    <row r="2601" spans="1:51" hidden="1">
      <c r="A2601">
        <v>104048</v>
      </c>
      <c r="B2601" t="s">
        <v>354</v>
      </c>
      <c r="C2601" t="str">
        <f t="shared" si="323"/>
        <v>00674840152</v>
      </c>
      <c r="D2601" t="str">
        <f t="shared" si="323"/>
        <v>00674840152</v>
      </c>
      <c r="E2601" t="s">
        <v>52</v>
      </c>
      <c r="F2601">
        <v>2015</v>
      </c>
      <c r="G2601" t="str">
        <f>"          5301645297"</f>
        <v xml:space="preserve">          5301645297</v>
      </c>
      <c r="H2601" s="3">
        <v>42115</v>
      </c>
      <c r="I2601" s="3">
        <v>42135</v>
      </c>
      <c r="J2601" s="3">
        <v>42132</v>
      </c>
      <c r="K2601" s="3">
        <v>42192</v>
      </c>
      <c r="L2601"/>
      <c r="N2601"/>
      <c r="O2601">
        <v>136.65</v>
      </c>
      <c r="P2601">
        <v>261</v>
      </c>
      <c r="Q2601" s="4">
        <v>35665.65</v>
      </c>
      <c r="R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 s="3">
        <v>42562</v>
      </c>
      <c r="AC2601" t="s">
        <v>53</v>
      </c>
      <c r="AD2601" t="s">
        <v>53</v>
      </c>
      <c r="AK2601">
        <v>0</v>
      </c>
      <c r="AU2601" s="3">
        <v>42453</v>
      </c>
      <c r="AV2601" s="3">
        <v>42453</v>
      </c>
      <c r="AW2601" t="s">
        <v>54</v>
      </c>
      <c r="AX2601" t="str">
        <f t="shared" si="321"/>
        <v>FOR</v>
      </c>
      <c r="AY2601" t="s">
        <v>55</v>
      </c>
    </row>
    <row r="2602" spans="1:51" hidden="1">
      <c r="A2602">
        <v>104048</v>
      </c>
      <c r="B2602" t="s">
        <v>354</v>
      </c>
      <c r="C2602" t="str">
        <f t="shared" si="323"/>
        <v>00674840152</v>
      </c>
      <c r="D2602" t="str">
        <f t="shared" si="323"/>
        <v>00674840152</v>
      </c>
      <c r="E2602" t="s">
        <v>52</v>
      </c>
      <c r="F2602">
        <v>2015</v>
      </c>
      <c r="G2602" t="str">
        <f>"          5301645480"</f>
        <v xml:space="preserve">          5301645480</v>
      </c>
      <c r="H2602" s="3">
        <v>42116</v>
      </c>
      <c r="I2602" s="3">
        <v>42142</v>
      </c>
      <c r="J2602" s="3">
        <v>42137</v>
      </c>
      <c r="K2602" s="3">
        <v>42197</v>
      </c>
      <c r="L2602"/>
      <c r="N2602"/>
      <c r="O2602" s="4">
        <v>1103.76</v>
      </c>
      <c r="P2602">
        <v>256</v>
      </c>
      <c r="Q2602" s="4">
        <v>282562.56</v>
      </c>
      <c r="R2602">
        <v>0</v>
      </c>
      <c r="V2602">
        <v>0</v>
      </c>
      <c r="W2602">
        <v>0</v>
      </c>
      <c r="X2602">
        <v>0</v>
      </c>
      <c r="Y2602">
        <v>0</v>
      </c>
      <c r="Z2602">
        <v>0</v>
      </c>
      <c r="AA2602">
        <v>0</v>
      </c>
      <c r="AB2602" s="3">
        <v>42562</v>
      </c>
      <c r="AC2602" t="s">
        <v>53</v>
      </c>
      <c r="AD2602" t="s">
        <v>53</v>
      </c>
      <c r="AK2602">
        <v>0</v>
      </c>
      <c r="AU2602" s="3">
        <v>42453</v>
      </c>
      <c r="AV2602" s="3">
        <v>42453</v>
      </c>
      <c r="AW2602" t="s">
        <v>54</v>
      </c>
      <c r="AX2602" t="str">
        <f t="shared" si="321"/>
        <v>FOR</v>
      </c>
      <c r="AY2602" t="s">
        <v>55</v>
      </c>
    </row>
    <row r="2603" spans="1:51" hidden="1">
      <c r="A2603">
        <v>104048</v>
      </c>
      <c r="B2603" t="s">
        <v>354</v>
      </c>
      <c r="C2603" t="str">
        <f t="shared" si="323"/>
        <v>00674840152</v>
      </c>
      <c r="D2603" t="str">
        <f t="shared" si="323"/>
        <v>00674840152</v>
      </c>
      <c r="E2603" t="s">
        <v>52</v>
      </c>
      <c r="F2603">
        <v>2015</v>
      </c>
      <c r="G2603" t="str">
        <f>"          5301646907"</f>
        <v xml:space="preserve">          5301646907</v>
      </c>
      <c r="H2603" s="3">
        <v>42122</v>
      </c>
      <c r="I2603" s="3">
        <v>42124</v>
      </c>
      <c r="J2603" s="3">
        <v>42123</v>
      </c>
      <c r="K2603" s="3">
        <v>42183</v>
      </c>
      <c r="L2603"/>
      <c r="N2603"/>
      <c r="O2603">
        <v>621.96</v>
      </c>
      <c r="P2603">
        <v>270</v>
      </c>
      <c r="Q2603" s="4">
        <v>167929.2</v>
      </c>
      <c r="R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 s="3">
        <v>42562</v>
      </c>
      <c r="AC2603" t="s">
        <v>53</v>
      </c>
      <c r="AD2603" t="s">
        <v>53</v>
      </c>
      <c r="AK2603">
        <v>0</v>
      </c>
      <c r="AU2603" s="3">
        <v>42453</v>
      </c>
      <c r="AV2603" s="3">
        <v>42453</v>
      </c>
      <c r="AW2603" t="s">
        <v>54</v>
      </c>
      <c r="AX2603" t="str">
        <f t="shared" si="321"/>
        <v>FOR</v>
      </c>
      <c r="AY2603" t="s">
        <v>55</v>
      </c>
    </row>
    <row r="2604" spans="1:51" hidden="1">
      <c r="A2604">
        <v>104048</v>
      </c>
      <c r="B2604" t="s">
        <v>354</v>
      </c>
      <c r="C2604" t="str">
        <f t="shared" si="323"/>
        <v>00674840152</v>
      </c>
      <c r="D2604" t="str">
        <f t="shared" si="323"/>
        <v>00674840152</v>
      </c>
      <c r="E2604" t="s">
        <v>52</v>
      </c>
      <c r="F2604">
        <v>2015</v>
      </c>
      <c r="G2604" t="str">
        <f>"          5301648625"</f>
        <v xml:space="preserve">          5301648625</v>
      </c>
      <c r="H2604" s="3">
        <v>42130</v>
      </c>
      <c r="I2604" s="3">
        <v>42131</v>
      </c>
      <c r="J2604" s="3">
        <v>42131</v>
      </c>
      <c r="K2604" s="3">
        <v>42191</v>
      </c>
      <c r="L2604"/>
      <c r="N2604"/>
      <c r="O2604">
        <v>352.8</v>
      </c>
      <c r="P2604">
        <v>262</v>
      </c>
      <c r="Q2604" s="4">
        <v>92433.600000000006</v>
      </c>
      <c r="R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 s="3">
        <v>42562</v>
      </c>
      <c r="AC2604" t="s">
        <v>53</v>
      </c>
      <c r="AD2604" t="s">
        <v>53</v>
      </c>
      <c r="AK2604">
        <v>0</v>
      </c>
      <c r="AU2604" s="3">
        <v>42453</v>
      </c>
      <c r="AV2604" s="3">
        <v>42453</v>
      </c>
      <c r="AW2604" t="s">
        <v>54</v>
      </c>
      <c r="AX2604" t="str">
        <f t="shared" si="321"/>
        <v>FOR</v>
      </c>
      <c r="AY2604" t="s">
        <v>55</v>
      </c>
    </row>
    <row r="2605" spans="1:51" hidden="1">
      <c r="A2605">
        <v>104048</v>
      </c>
      <c r="B2605" t="s">
        <v>354</v>
      </c>
      <c r="C2605" t="str">
        <f t="shared" si="323"/>
        <v>00674840152</v>
      </c>
      <c r="D2605" t="str">
        <f t="shared" si="323"/>
        <v>00674840152</v>
      </c>
      <c r="E2605" t="s">
        <v>52</v>
      </c>
      <c r="F2605">
        <v>2015</v>
      </c>
      <c r="G2605" t="str">
        <f>"          5301649862"</f>
        <v xml:space="preserve">          5301649862</v>
      </c>
      <c r="H2605" s="3">
        <v>42136</v>
      </c>
      <c r="I2605" s="3">
        <v>42158</v>
      </c>
      <c r="J2605" s="3">
        <v>42138</v>
      </c>
      <c r="K2605" s="3">
        <v>42198</v>
      </c>
      <c r="L2605"/>
      <c r="N2605"/>
      <c r="O2605" s="4">
        <v>2062.65</v>
      </c>
      <c r="P2605">
        <v>255</v>
      </c>
      <c r="Q2605" s="4">
        <v>525975.75</v>
      </c>
      <c r="R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 s="3">
        <v>42562</v>
      </c>
      <c r="AC2605" t="s">
        <v>53</v>
      </c>
      <c r="AD2605" t="s">
        <v>53</v>
      </c>
      <c r="AK2605">
        <v>0</v>
      </c>
      <c r="AU2605" s="3">
        <v>42453</v>
      </c>
      <c r="AV2605" s="3">
        <v>42453</v>
      </c>
      <c r="AW2605" t="s">
        <v>54</v>
      </c>
      <c r="AX2605" t="str">
        <f t="shared" si="321"/>
        <v>FOR</v>
      </c>
      <c r="AY2605" t="s">
        <v>55</v>
      </c>
    </row>
    <row r="2606" spans="1:51" hidden="1">
      <c r="A2606">
        <v>104048</v>
      </c>
      <c r="B2606" t="s">
        <v>354</v>
      </c>
      <c r="C2606" t="str">
        <f t="shared" si="323"/>
        <v>00674840152</v>
      </c>
      <c r="D2606" t="str">
        <f t="shared" si="323"/>
        <v>00674840152</v>
      </c>
      <c r="E2606" t="s">
        <v>52</v>
      </c>
      <c r="F2606">
        <v>2015</v>
      </c>
      <c r="G2606" t="str">
        <f>"          5301650641"</f>
        <v xml:space="preserve">          5301650641</v>
      </c>
      <c r="H2606" s="3">
        <v>42139</v>
      </c>
      <c r="I2606" s="3">
        <v>42158</v>
      </c>
      <c r="J2606" s="3">
        <v>42140</v>
      </c>
      <c r="K2606" s="3">
        <v>42200</v>
      </c>
      <c r="L2606"/>
      <c r="N2606"/>
      <c r="O2606">
        <v>117.12</v>
      </c>
      <c r="P2606">
        <v>253</v>
      </c>
      <c r="Q2606" s="4">
        <v>29631.360000000001</v>
      </c>
      <c r="R2606">
        <v>0</v>
      </c>
      <c r="V2606">
        <v>0</v>
      </c>
      <c r="W2606">
        <v>0</v>
      </c>
      <c r="X2606">
        <v>0</v>
      </c>
      <c r="Y2606">
        <v>0</v>
      </c>
      <c r="Z2606">
        <v>0</v>
      </c>
      <c r="AA2606">
        <v>0</v>
      </c>
      <c r="AB2606" s="3">
        <v>42562</v>
      </c>
      <c r="AC2606" t="s">
        <v>53</v>
      </c>
      <c r="AD2606" t="s">
        <v>53</v>
      </c>
      <c r="AK2606">
        <v>0</v>
      </c>
      <c r="AU2606" s="3">
        <v>42453</v>
      </c>
      <c r="AV2606" s="3">
        <v>42453</v>
      </c>
      <c r="AW2606" t="s">
        <v>54</v>
      </c>
      <c r="AX2606" t="str">
        <f t="shared" si="321"/>
        <v>FOR</v>
      </c>
      <c r="AY2606" t="s">
        <v>55</v>
      </c>
    </row>
    <row r="2607" spans="1:51" hidden="1">
      <c r="A2607">
        <v>104048</v>
      </c>
      <c r="B2607" t="s">
        <v>354</v>
      </c>
      <c r="C2607" t="str">
        <f t="shared" si="323"/>
        <v>00674840152</v>
      </c>
      <c r="D2607" t="str">
        <f t="shared" si="323"/>
        <v>00674840152</v>
      </c>
      <c r="E2607" t="s">
        <v>52</v>
      </c>
      <c r="F2607">
        <v>2015</v>
      </c>
      <c r="G2607" t="str">
        <f>"          5301650642"</f>
        <v xml:space="preserve">          5301650642</v>
      </c>
      <c r="H2607" s="3">
        <v>42139</v>
      </c>
      <c r="I2607" s="3">
        <v>42158</v>
      </c>
      <c r="J2607" s="3">
        <v>42140</v>
      </c>
      <c r="K2607" s="3">
        <v>42200</v>
      </c>
      <c r="L2607"/>
      <c r="N2607"/>
      <c r="O2607">
        <v>328.85</v>
      </c>
      <c r="P2607">
        <v>253</v>
      </c>
      <c r="Q2607" s="4">
        <v>83199.05</v>
      </c>
      <c r="R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 s="3">
        <v>42562</v>
      </c>
      <c r="AC2607" t="s">
        <v>53</v>
      </c>
      <c r="AD2607" t="s">
        <v>53</v>
      </c>
      <c r="AK2607">
        <v>0</v>
      </c>
      <c r="AU2607" s="3">
        <v>42453</v>
      </c>
      <c r="AV2607" s="3">
        <v>42453</v>
      </c>
      <c r="AW2607" t="s">
        <v>54</v>
      </c>
      <c r="AX2607" t="str">
        <f t="shared" si="321"/>
        <v>FOR</v>
      </c>
      <c r="AY2607" t="s">
        <v>55</v>
      </c>
    </row>
    <row r="2608" spans="1:51" hidden="1">
      <c r="A2608">
        <v>104048</v>
      </c>
      <c r="B2608" t="s">
        <v>354</v>
      </c>
      <c r="C2608" t="str">
        <f t="shared" si="323"/>
        <v>00674840152</v>
      </c>
      <c r="D2608" t="str">
        <f t="shared" si="323"/>
        <v>00674840152</v>
      </c>
      <c r="E2608" t="s">
        <v>52</v>
      </c>
      <c r="F2608">
        <v>2015</v>
      </c>
      <c r="G2608" t="str">
        <f>"          5301650643"</f>
        <v xml:space="preserve">          5301650643</v>
      </c>
      <c r="H2608" s="3">
        <v>42139</v>
      </c>
      <c r="I2608" s="3">
        <v>42158</v>
      </c>
      <c r="J2608" s="3">
        <v>42140</v>
      </c>
      <c r="K2608" s="3">
        <v>42200</v>
      </c>
      <c r="L2608"/>
      <c r="N2608"/>
      <c r="O2608">
        <v>535.4</v>
      </c>
      <c r="P2608">
        <v>253</v>
      </c>
      <c r="Q2608" s="4">
        <v>135456.20000000001</v>
      </c>
      <c r="R2608">
        <v>0</v>
      </c>
      <c r="V2608">
        <v>0</v>
      </c>
      <c r="W2608">
        <v>0</v>
      </c>
      <c r="X2608">
        <v>0</v>
      </c>
      <c r="Y2608">
        <v>0</v>
      </c>
      <c r="Z2608">
        <v>0</v>
      </c>
      <c r="AA2608">
        <v>0</v>
      </c>
      <c r="AB2608" s="3">
        <v>42562</v>
      </c>
      <c r="AC2608" t="s">
        <v>53</v>
      </c>
      <c r="AD2608" t="s">
        <v>53</v>
      </c>
      <c r="AK2608">
        <v>0</v>
      </c>
      <c r="AU2608" s="3">
        <v>42453</v>
      </c>
      <c r="AV2608" s="3">
        <v>42453</v>
      </c>
      <c r="AW2608" t="s">
        <v>54</v>
      </c>
      <c r="AX2608" t="str">
        <f t="shared" si="321"/>
        <v>FOR</v>
      </c>
      <c r="AY2608" t="s">
        <v>55</v>
      </c>
    </row>
    <row r="2609" spans="1:51" hidden="1">
      <c r="A2609">
        <v>104048</v>
      </c>
      <c r="B2609" t="s">
        <v>354</v>
      </c>
      <c r="C2609" t="str">
        <f t="shared" si="323"/>
        <v>00674840152</v>
      </c>
      <c r="D2609" t="str">
        <f t="shared" si="323"/>
        <v>00674840152</v>
      </c>
      <c r="E2609" t="s">
        <v>52</v>
      </c>
      <c r="F2609">
        <v>2015</v>
      </c>
      <c r="G2609" t="str">
        <f>"          5301650644"</f>
        <v xml:space="preserve">          5301650644</v>
      </c>
      <c r="H2609" s="3">
        <v>42139</v>
      </c>
      <c r="I2609" s="3">
        <v>42158</v>
      </c>
      <c r="J2609" s="3">
        <v>42140</v>
      </c>
      <c r="K2609" s="3">
        <v>42200</v>
      </c>
      <c r="L2609"/>
      <c r="N2609"/>
      <c r="O2609">
        <v>511.29</v>
      </c>
      <c r="P2609">
        <v>253</v>
      </c>
      <c r="Q2609" s="4">
        <v>129356.37</v>
      </c>
      <c r="R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 s="3">
        <v>42562</v>
      </c>
      <c r="AC2609" t="s">
        <v>53</v>
      </c>
      <c r="AD2609" t="s">
        <v>53</v>
      </c>
      <c r="AK2609">
        <v>0</v>
      </c>
      <c r="AU2609" s="3">
        <v>42453</v>
      </c>
      <c r="AV2609" s="3">
        <v>42453</v>
      </c>
      <c r="AW2609" t="s">
        <v>54</v>
      </c>
      <c r="AX2609" t="str">
        <f t="shared" si="321"/>
        <v>FOR</v>
      </c>
      <c r="AY2609" t="s">
        <v>55</v>
      </c>
    </row>
    <row r="2610" spans="1:51" hidden="1">
      <c r="A2610">
        <v>104048</v>
      </c>
      <c r="B2610" t="s">
        <v>354</v>
      </c>
      <c r="C2610" t="str">
        <f t="shared" si="323"/>
        <v>00674840152</v>
      </c>
      <c r="D2610" t="str">
        <f t="shared" si="323"/>
        <v>00674840152</v>
      </c>
      <c r="E2610" t="s">
        <v>52</v>
      </c>
      <c r="F2610">
        <v>2015</v>
      </c>
      <c r="G2610" t="str">
        <f>"          5301650645"</f>
        <v xml:space="preserve">          5301650645</v>
      </c>
      <c r="H2610" s="3">
        <v>42139</v>
      </c>
      <c r="I2610" s="3">
        <v>42158</v>
      </c>
      <c r="J2610" s="3">
        <v>42140</v>
      </c>
      <c r="K2610" s="3">
        <v>42200</v>
      </c>
      <c r="L2610"/>
      <c r="N2610"/>
      <c r="O2610">
        <v>278.89999999999998</v>
      </c>
      <c r="P2610">
        <v>253</v>
      </c>
      <c r="Q2610" s="4">
        <v>70561.7</v>
      </c>
      <c r="R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 s="3">
        <v>42562</v>
      </c>
      <c r="AC2610" t="s">
        <v>53</v>
      </c>
      <c r="AD2610" t="s">
        <v>53</v>
      </c>
      <c r="AK2610">
        <v>0</v>
      </c>
      <c r="AU2610" s="3">
        <v>42453</v>
      </c>
      <c r="AV2610" s="3">
        <v>42453</v>
      </c>
      <c r="AW2610" t="s">
        <v>54</v>
      </c>
      <c r="AX2610" t="str">
        <f t="shared" si="321"/>
        <v>FOR</v>
      </c>
      <c r="AY2610" t="s">
        <v>55</v>
      </c>
    </row>
    <row r="2611" spans="1:51" hidden="1">
      <c r="A2611">
        <v>104048</v>
      </c>
      <c r="B2611" t="s">
        <v>354</v>
      </c>
      <c r="C2611" t="str">
        <f t="shared" si="323"/>
        <v>00674840152</v>
      </c>
      <c r="D2611" t="str">
        <f t="shared" si="323"/>
        <v>00674840152</v>
      </c>
      <c r="E2611" t="s">
        <v>52</v>
      </c>
      <c r="F2611">
        <v>2015</v>
      </c>
      <c r="G2611" t="str">
        <f>"          5301650646"</f>
        <v xml:space="preserve">          5301650646</v>
      </c>
      <c r="H2611" s="3">
        <v>42139</v>
      </c>
      <c r="I2611" s="3">
        <v>42158</v>
      </c>
      <c r="J2611" s="3">
        <v>42140</v>
      </c>
      <c r="K2611" s="3">
        <v>42200</v>
      </c>
      <c r="L2611"/>
      <c r="N2611"/>
      <c r="O2611" s="4">
        <v>1449.08</v>
      </c>
      <c r="P2611">
        <v>253</v>
      </c>
      <c r="Q2611" s="4">
        <v>366617.24</v>
      </c>
      <c r="R2611">
        <v>0</v>
      </c>
      <c r="V2611">
        <v>0</v>
      </c>
      <c r="W2611">
        <v>0</v>
      </c>
      <c r="X2611">
        <v>0</v>
      </c>
      <c r="Y2611">
        <v>0</v>
      </c>
      <c r="Z2611">
        <v>0</v>
      </c>
      <c r="AA2611">
        <v>0</v>
      </c>
      <c r="AB2611" s="3">
        <v>42562</v>
      </c>
      <c r="AC2611" t="s">
        <v>53</v>
      </c>
      <c r="AD2611" t="s">
        <v>53</v>
      </c>
      <c r="AK2611">
        <v>0</v>
      </c>
      <c r="AU2611" s="3">
        <v>42453</v>
      </c>
      <c r="AV2611" s="3">
        <v>42453</v>
      </c>
      <c r="AW2611" t="s">
        <v>54</v>
      </c>
      <c r="AX2611" t="str">
        <f t="shared" si="321"/>
        <v>FOR</v>
      </c>
      <c r="AY2611" t="s">
        <v>55</v>
      </c>
    </row>
    <row r="2612" spans="1:51" hidden="1">
      <c r="A2612">
        <v>104048</v>
      </c>
      <c r="B2612" t="s">
        <v>354</v>
      </c>
      <c r="C2612" t="str">
        <f t="shared" ref="C2612:D2631" si="324">"00674840152"</f>
        <v>00674840152</v>
      </c>
      <c r="D2612" t="str">
        <f t="shared" si="324"/>
        <v>00674840152</v>
      </c>
      <c r="E2612" t="s">
        <v>52</v>
      </c>
      <c r="F2612">
        <v>2015</v>
      </c>
      <c r="G2612" t="str">
        <f>"          5301650647"</f>
        <v xml:space="preserve">          5301650647</v>
      </c>
      <c r="H2612" s="3">
        <v>42139</v>
      </c>
      <c r="I2612" s="3">
        <v>42158</v>
      </c>
      <c r="J2612" s="3">
        <v>42140</v>
      </c>
      <c r="K2612" s="3">
        <v>42200</v>
      </c>
      <c r="L2612"/>
      <c r="N2612"/>
      <c r="O2612">
        <v>231.94</v>
      </c>
      <c r="P2612">
        <v>253</v>
      </c>
      <c r="Q2612" s="4">
        <v>58680.82</v>
      </c>
      <c r="R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 s="3">
        <v>42562</v>
      </c>
      <c r="AC2612" t="s">
        <v>53</v>
      </c>
      <c r="AD2612" t="s">
        <v>53</v>
      </c>
      <c r="AK2612">
        <v>0</v>
      </c>
      <c r="AU2612" s="3">
        <v>42453</v>
      </c>
      <c r="AV2612" s="3">
        <v>42453</v>
      </c>
      <c r="AW2612" t="s">
        <v>54</v>
      </c>
      <c r="AX2612" t="str">
        <f t="shared" si="321"/>
        <v>FOR</v>
      </c>
      <c r="AY2612" t="s">
        <v>55</v>
      </c>
    </row>
    <row r="2613" spans="1:51" hidden="1">
      <c r="A2613">
        <v>104048</v>
      </c>
      <c r="B2613" t="s">
        <v>354</v>
      </c>
      <c r="C2613" t="str">
        <f t="shared" si="324"/>
        <v>00674840152</v>
      </c>
      <c r="D2613" t="str">
        <f t="shared" si="324"/>
        <v>00674840152</v>
      </c>
      <c r="E2613" t="s">
        <v>52</v>
      </c>
      <c r="F2613">
        <v>2015</v>
      </c>
      <c r="G2613" t="str">
        <f>"          5301650648"</f>
        <v xml:space="preserve">          5301650648</v>
      </c>
      <c r="H2613" s="3">
        <v>42139</v>
      </c>
      <c r="I2613" s="3">
        <v>42158</v>
      </c>
      <c r="J2613" s="3">
        <v>42140</v>
      </c>
      <c r="K2613" s="3">
        <v>42200</v>
      </c>
      <c r="L2613"/>
      <c r="N2613"/>
      <c r="O2613" s="4">
        <v>1203.75</v>
      </c>
      <c r="P2613">
        <v>253</v>
      </c>
      <c r="Q2613" s="4">
        <v>304548.75</v>
      </c>
      <c r="R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>
        <v>0</v>
      </c>
      <c r="AB2613" s="3">
        <v>42562</v>
      </c>
      <c r="AC2613" t="s">
        <v>53</v>
      </c>
      <c r="AD2613" t="s">
        <v>53</v>
      </c>
      <c r="AK2613">
        <v>0</v>
      </c>
      <c r="AU2613" s="3">
        <v>42453</v>
      </c>
      <c r="AV2613" s="3">
        <v>42453</v>
      </c>
      <c r="AW2613" t="s">
        <v>54</v>
      </c>
      <c r="AX2613" t="str">
        <f t="shared" si="321"/>
        <v>FOR</v>
      </c>
      <c r="AY2613" t="s">
        <v>55</v>
      </c>
    </row>
    <row r="2614" spans="1:51" hidden="1">
      <c r="A2614">
        <v>104048</v>
      </c>
      <c r="B2614" t="s">
        <v>354</v>
      </c>
      <c r="C2614" t="str">
        <f t="shared" si="324"/>
        <v>00674840152</v>
      </c>
      <c r="D2614" t="str">
        <f t="shared" si="324"/>
        <v>00674840152</v>
      </c>
      <c r="E2614" t="s">
        <v>52</v>
      </c>
      <c r="F2614">
        <v>2015</v>
      </c>
      <c r="G2614" t="str">
        <f>"          5301651932"</f>
        <v xml:space="preserve">          5301651932</v>
      </c>
      <c r="H2614" s="3">
        <v>42144</v>
      </c>
      <c r="I2614" s="3">
        <v>42160</v>
      </c>
      <c r="J2614" s="3">
        <v>42145</v>
      </c>
      <c r="K2614" s="3">
        <v>42205</v>
      </c>
      <c r="L2614"/>
      <c r="N2614"/>
      <c r="O2614" s="4">
        <v>1899</v>
      </c>
      <c r="P2614">
        <v>248</v>
      </c>
      <c r="Q2614" s="4">
        <v>470952</v>
      </c>
      <c r="R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 s="3">
        <v>42562</v>
      </c>
      <c r="AC2614" t="s">
        <v>53</v>
      </c>
      <c r="AD2614" t="s">
        <v>53</v>
      </c>
      <c r="AK2614">
        <v>0</v>
      </c>
      <c r="AU2614" s="3">
        <v>42453</v>
      </c>
      <c r="AV2614" s="3">
        <v>42453</v>
      </c>
      <c r="AW2614" t="s">
        <v>54</v>
      </c>
      <c r="AX2614" t="str">
        <f t="shared" si="321"/>
        <v>FOR</v>
      </c>
      <c r="AY2614" t="s">
        <v>55</v>
      </c>
    </row>
    <row r="2615" spans="1:51" hidden="1">
      <c r="A2615">
        <v>104048</v>
      </c>
      <c r="B2615" t="s">
        <v>354</v>
      </c>
      <c r="C2615" t="str">
        <f t="shared" si="324"/>
        <v>00674840152</v>
      </c>
      <c r="D2615" t="str">
        <f t="shared" si="324"/>
        <v>00674840152</v>
      </c>
      <c r="E2615" t="s">
        <v>52</v>
      </c>
      <c r="F2615">
        <v>2015</v>
      </c>
      <c r="G2615" t="str">
        <f>"          5301651933"</f>
        <v xml:space="preserve">          5301651933</v>
      </c>
      <c r="H2615" s="3">
        <v>42144</v>
      </c>
      <c r="I2615" s="3">
        <v>42160</v>
      </c>
      <c r="J2615" s="3">
        <v>42145</v>
      </c>
      <c r="K2615" s="3">
        <v>42205</v>
      </c>
      <c r="L2615"/>
      <c r="N2615"/>
      <c r="O2615">
        <v>790</v>
      </c>
      <c r="P2615">
        <v>248</v>
      </c>
      <c r="Q2615" s="4">
        <v>195920</v>
      </c>
      <c r="R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 s="3">
        <v>42562</v>
      </c>
      <c r="AC2615" t="s">
        <v>53</v>
      </c>
      <c r="AD2615" t="s">
        <v>53</v>
      </c>
      <c r="AK2615">
        <v>0</v>
      </c>
      <c r="AU2615" s="3">
        <v>42453</v>
      </c>
      <c r="AV2615" s="3">
        <v>42453</v>
      </c>
      <c r="AW2615" t="s">
        <v>54</v>
      </c>
      <c r="AX2615" t="str">
        <f t="shared" si="321"/>
        <v>FOR</v>
      </c>
      <c r="AY2615" t="s">
        <v>55</v>
      </c>
    </row>
    <row r="2616" spans="1:51" hidden="1">
      <c r="A2616">
        <v>104048</v>
      </c>
      <c r="B2616" t="s">
        <v>354</v>
      </c>
      <c r="C2616" t="str">
        <f t="shared" si="324"/>
        <v>00674840152</v>
      </c>
      <c r="D2616" t="str">
        <f t="shared" si="324"/>
        <v>00674840152</v>
      </c>
      <c r="E2616" t="s">
        <v>52</v>
      </c>
      <c r="F2616">
        <v>2015</v>
      </c>
      <c r="G2616" t="str">
        <f>"          5301652981"</f>
        <v xml:space="preserve">          5301652981</v>
      </c>
      <c r="H2616" s="3">
        <v>42149</v>
      </c>
      <c r="I2616" s="3">
        <v>42160</v>
      </c>
      <c r="J2616" s="3">
        <v>42150</v>
      </c>
      <c r="K2616" s="3">
        <v>42210</v>
      </c>
      <c r="L2616"/>
      <c r="N2616"/>
      <c r="O2616">
        <v>588</v>
      </c>
      <c r="P2616">
        <v>243</v>
      </c>
      <c r="Q2616" s="4">
        <v>142884</v>
      </c>
      <c r="R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 s="3">
        <v>42562</v>
      </c>
      <c r="AC2616" t="s">
        <v>53</v>
      </c>
      <c r="AD2616" t="s">
        <v>53</v>
      </c>
      <c r="AK2616">
        <v>0</v>
      </c>
      <c r="AU2616" s="3">
        <v>42453</v>
      </c>
      <c r="AV2616" s="3">
        <v>42453</v>
      </c>
      <c r="AW2616" t="s">
        <v>54</v>
      </c>
      <c r="AX2616" t="str">
        <f t="shared" ref="AX2616:AX2679" si="325">"FOR"</f>
        <v>FOR</v>
      </c>
      <c r="AY2616" t="s">
        <v>55</v>
      </c>
    </row>
    <row r="2617" spans="1:51" hidden="1">
      <c r="A2617">
        <v>104048</v>
      </c>
      <c r="B2617" t="s">
        <v>354</v>
      </c>
      <c r="C2617" t="str">
        <f t="shared" si="324"/>
        <v>00674840152</v>
      </c>
      <c r="D2617" t="str">
        <f t="shared" si="324"/>
        <v>00674840152</v>
      </c>
      <c r="E2617" t="s">
        <v>52</v>
      </c>
      <c r="F2617">
        <v>2015</v>
      </c>
      <c r="G2617" t="str">
        <f>"          5301652982"</f>
        <v xml:space="preserve">          5301652982</v>
      </c>
      <c r="H2617" s="3">
        <v>42149</v>
      </c>
      <c r="I2617" s="3">
        <v>42160</v>
      </c>
      <c r="J2617" s="3">
        <v>42150</v>
      </c>
      <c r="K2617" s="3">
        <v>42210</v>
      </c>
      <c r="L2617"/>
      <c r="N2617"/>
      <c r="O2617">
        <v>276</v>
      </c>
      <c r="P2617">
        <v>243</v>
      </c>
      <c r="Q2617" s="4">
        <v>67068</v>
      </c>
      <c r="R2617">
        <v>0</v>
      </c>
      <c r="V2617">
        <v>0</v>
      </c>
      <c r="W2617">
        <v>0</v>
      </c>
      <c r="X2617">
        <v>0</v>
      </c>
      <c r="Y2617">
        <v>0</v>
      </c>
      <c r="Z2617">
        <v>0</v>
      </c>
      <c r="AA2617">
        <v>0</v>
      </c>
      <c r="AB2617" s="3">
        <v>42562</v>
      </c>
      <c r="AC2617" t="s">
        <v>53</v>
      </c>
      <c r="AD2617" t="s">
        <v>53</v>
      </c>
      <c r="AK2617">
        <v>0</v>
      </c>
      <c r="AU2617" s="3">
        <v>42453</v>
      </c>
      <c r="AV2617" s="3">
        <v>42453</v>
      </c>
      <c r="AW2617" t="s">
        <v>54</v>
      </c>
      <c r="AX2617" t="str">
        <f t="shared" si="325"/>
        <v>FOR</v>
      </c>
      <c r="AY2617" t="s">
        <v>55</v>
      </c>
    </row>
    <row r="2618" spans="1:51" hidden="1">
      <c r="A2618">
        <v>104048</v>
      </c>
      <c r="B2618" t="s">
        <v>354</v>
      </c>
      <c r="C2618" t="str">
        <f t="shared" si="324"/>
        <v>00674840152</v>
      </c>
      <c r="D2618" t="str">
        <f t="shared" si="324"/>
        <v>00674840152</v>
      </c>
      <c r="E2618" t="s">
        <v>52</v>
      </c>
      <c r="F2618">
        <v>2015</v>
      </c>
      <c r="G2618" t="str">
        <f>"          5301653056"</f>
        <v xml:space="preserve">          5301653056</v>
      </c>
      <c r="H2618" s="3">
        <v>42150</v>
      </c>
      <c r="I2618" s="3">
        <v>42160</v>
      </c>
      <c r="J2618" s="3">
        <v>42151</v>
      </c>
      <c r="K2618" s="3">
        <v>42211</v>
      </c>
      <c r="L2618"/>
      <c r="N2618"/>
      <c r="O2618" s="4">
        <v>4560</v>
      </c>
      <c r="P2618">
        <v>242</v>
      </c>
      <c r="Q2618" s="4">
        <v>1103520</v>
      </c>
      <c r="R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 s="3">
        <v>42562</v>
      </c>
      <c r="AC2618" t="s">
        <v>53</v>
      </c>
      <c r="AD2618" t="s">
        <v>53</v>
      </c>
      <c r="AK2618">
        <v>0</v>
      </c>
      <c r="AU2618" s="3">
        <v>42453</v>
      </c>
      <c r="AV2618" s="3">
        <v>42453</v>
      </c>
      <c r="AW2618" t="s">
        <v>54</v>
      </c>
      <c r="AX2618" t="str">
        <f t="shared" si="325"/>
        <v>FOR</v>
      </c>
      <c r="AY2618" t="s">
        <v>55</v>
      </c>
    </row>
    <row r="2619" spans="1:51" hidden="1">
      <c r="A2619">
        <v>104048</v>
      </c>
      <c r="B2619" t="s">
        <v>354</v>
      </c>
      <c r="C2619" t="str">
        <f t="shared" si="324"/>
        <v>00674840152</v>
      </c>
      <c r="D2619" t="str">
        <f t="shared" si="324"/>
        <v>00674840152</v>
      </c>
      <c r="E2619" t="s">
        <v>52</v>
      </c>
      <c r="F2619">
        <v>2015</v>
      </c>
      <c r="G2619" t="str">
        <f>"          5301653057"</f>
        <v xml:space="preserve">          5301653057</v>
      </c>
      <c r="H2619" s="3">
        <v>42150</v>
      </c>
      <c r="I2619" s="3">
        <v>42160</v>
      </c>
      <c r="J2619" s="3">
        <v>42152</v>
      </c>
      <c r="K2619" s="3">
        <v>42212</v>
      </c>
      <c r="L2619"/>
      <c r="N2619"/>
      <c r="O2619">
        <v>158.1</v>
      </c>
      <c r="P2619">
        <v>241</v>
      </c>
      <c r="Q2619" s="4">
        <v>38102.1</v>
      </c>
      <c r="R2619">
        <v>0</v>
      </c>
      <c r="V2619">
        <v>0</v>
      </c>
      <c r="W2619">
        <v>0</v>
      </c>
      <c r="X2619">
        <v>0</v>
      </c>
      <c r="Y2619">
        <v>0</v>
      </c>
      <c r="Z2619">
        <v>0</v>
      </c>
      <c r="AA2619">
        <v>0</v>
      </c>
      <c r="AB2619" s="3">
        <v>42562</v>
      </c>
      <c r="AC2619" t="s">
        <v>53</v>
      </c>
      <c r="AD2619" t="s">
        <v>53</v>
      </c>
      <c r="AK2619">
        <v>0</v>
      </c>
      <c r="AU2619" s="3">
        <v>42453</v>
      </c>
      <c r="AV2619" s="3">
        <v>42453</v>
      </c>
      <c r="AW2619" t="s">
        <v>54</v>
      </c>
      <c r="AX2619" t="str">
        <f t="shared" si="325"/>
        <v>FOR</v>
      </c>
      <c r="AY2619" t="s">
        <v>55</v>
      </c>
    </row>
    <row r="2620" spans="1:51" hidden="1">
      <c r="A2620">
        <v>104048</v>
      </c>
      <c r="B2620" t="s">
        <v>354</v>
      </c>
      <c r="C2620" t="str">
        <f t="shared" si="324"/>
        <v>00674840152</v>
      </c>
      <c r="D2620" t="str">
        <f t="shared" si="324"/>
        <v>00674840152</v>
      </c>
      <c r="E2620" t="s">
        <v>52</v>
      </c>
      <c r="F2620">
        <v>2015</v>
      </c>
      <c r="G2620" t="str">
        <f>"          5301653058"</f>
        <v xml:space="preserve">          5301653058</v>
      </c>
      <c r="H2620" s="3">
        <v>42150</v>
      </c>
      <c r="I2620" s="3">
        <v>42160</v>
      </c>
      <c r="J2620" s="3">
        <v>42151</v>
      </c>
      <c r="K2620" s="3">
        <v>42211</v>
      </c>
      <c r="L2620"/>
      <c r="N2620"/>
      <c r="O2620">
        <v>659.48</v>
      </c>
      <c r="P2620">
        <v>242</v>
      </c>
      <c r="Q2620" s="4">
        <v>159594.16</v>
      </c>
      <c r="R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 s="3">
        <v>42562</v>
      </c>
      <c r="AC2620" t="s">
        <v>53</v>
      </c>
      <c r="AD2620" t="s">
        <v>53</v>
      </c>
      <c r="AK2620">
        <v>0</v>
      </c>
      <c r="AU2620" s="3">
        <v>42453</v>
      </c>
      <c r="AV2620" s="3">
        <v>42453</v>
      </c>
      <c r="AW2620" t="s">
        <v>54</v>
      </c>
      <c r="AX2620" t="str">
        <f t="shared" si="325"/>
        <v>FOR</v>
      </c>
      <c r="AY2620" t="s">
        <v>55</v>
      </c>
    </row>
    <row r="2621" spans="1:51" hidden="1">
      <c r="A2621">
        <v>104048</v>
      </c>
      <c r="B2621" t="s">
        <v>354</v>
      </c>
      <c r="C2621" t="str">
        <f t="shared" si="324"/>
        <v>00674840152</v>
      </c>
      <c r="D2621" t="str">
        <f t="shared" si="324"/>
        <v>00674840152</v>
      </c>
      <c r="E2621" t="s">
        <v>52</v>
      </c>
      <c r="F2621">
        <v>2015</v>
      </c>
      <c r="G2621" t="str">
        <f>"          5301653059"</f>
        <v xml:space="preserve">          5301653059</v>
      </c>
      <c r="H2621" s="3">
        <v>42150</v>
      </c>
      <c r="I2621" s="3">
        <v>42160</v>
      </c>
      <c r="J2621" s="3">
        <v>42151</v>
      </c>
      <c r="K2621" s="3">
        <v>42211</v>
      </c>
      <c r="L2621"/>
      <c r="N2621"/>
      <c r="O2621" s="4">
        <v>4560</v>
      </c>
      <c r="P2621">
        <v>242</v>
      </c>
      <c r="Q2621" s="4">
        <v>1103520</v>
      </c>
      <c r="R2621">
        <v>0</v>
      </c>
      <c r="V2621">
        <v>0</v>
      </c>
      <c r="W2621">
        <v>0</v>
      </c>
      <c r="X2621">
        <v>0</v>
      </c>
      <c r="Y2621">
        <v>0</v>
      </c>
      <c r="Z2621">
        <v>0</v>
      </c>
      <c r="AA2621">
        <v>0</v>
      </c>
      <c r="AB2621" s="3">
        <v>42562</v>
      </c>
      <c r="AC2621" t="s">
        <v>53</v>
      </c>
      <c r="AD2621" t="s">
        <v>53</v>
      </c>
      <c r="AK2621">
        <v>0</v>
      </c>
      <c r="AU2621" s="3">
        <v>42453</v>
      </c>
      <c r="AV2621" s="3">
        <v>42453</v>
      </c>
      <c r="AW2621" t="s">
        <v>54</v>
      </c>
      <c r="AX2621" t="str">
        <f t="shared" si="325"/>
        <v>FOR</v>
      </c>
      <c r="AY2621" t="s">
        <v>55</v>
      </c>
    </row>
    <row r="2622" spans="1:51">
      <c r="A2622">
        <v>104048</v>
      </c>
      <c r="B2622" t="s">
        <v>354</v>
      </c>
      <c r="C2622" t="str">
        <f t="shared" si="324"/>
        <v>00674840152</v>
      </c>
      <c r="D2622" t="str">
        <f t="shared" si="324"/>
        <v>00674840152</v>
      </c>
      <c r="E2622" t="s">
        <v>52</v>
      </c>
      <c r="F2622">
        <v>2015</v>
      </c>
      <c r="G2622" t="str">
        <f>"          5301655991"</f>
        <v xml:space="preserve">          5301655991</v>
      </c>
      <c r="H2622" s="3">
        <v>42163</v>
      </c>
      <c r="I2622" s="3">
        <v>42165</v>
      </c>
      <c r="J2622" s="3">
        <v>42164</v>
      </c>
      <c r="K2622" s="3">
        <v>42224</v>
      </c>
      <c r="L2622" s="1">
        <v>310.13</v>
      </c>
      <c r="M2622">
        <v>268</v>
      </c>
      <c r="N2622" s="5">
        <v>83114.84</v>
      </c>
      <c r="O2622">
        <v>310.13</v>
      </c>
      <c r="P2622">
        <v>268</v>
      </c>
      <c r="Q2622" s="4">
        <v>83114.84</v>
      </c>
      <c r="R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 s="3">
        <v>42562</v>
      </c>
      <c r="AC2622" t="s">
        <v>53</v>
      </c>
      <c r="AD2622" t="s">
        <v>53</v>
      </c>
      <c r="AK2622">
        <v>0</v>
      </c>
      <c r="AU2622" s="3">
        <v>42492</v>
      </c>
      <c r="AV2622" s="3">
        <v>42492</v>
      </c>
      <c r="AW2622" t="s">
        <v>54</v>
      </c>
      <c r="AX2622" t="str">
        <f t="shared" si="325"/>
        <v>FOR</v>
      </c>
      <c r="AY2622" t="s">
        <v>55</v>
      </c>
    </row>
    <row r="2623" spans="1:51">
      <c r="A2623">
        <v>104048</v>
      </c>
      <c r="B2623" t="s">
        <v>354</v>
      </c>
      <c r="C2623" t="str">
        <f t="shared" si="324"/>
        <v>00674840152</v>
      </c>
      <c r="D2623" t="str">
        <f t="shared" si="324"/>
        <v>00674840152</v>
      </c>
      <c r="E2623" t="s">
        <v>52</v>
      </c>
      <c r="F2623">
        <v>2015</v>
      </c>
      <c r="G2623" t="str">
        <f>"          5301656761"</f>
        <v xml:space="preserve">          5301656761</v>
      </c>
      <c r="H2623" s="3">
        <v>42165</v>
      </c>
      <c r="I2623" s="3">
        <v>42167</v>
      </c>
      <c r="J2623" s="3">
        <v>42166</v>
      </c>
      <c r="K2623" s="3">
        <v>42226</v>
      </c>
      <c r="L2623" s="1">
        <v>259.02</v>
      </c>
      <c r="M2623">
        <v>266</v>
      </c>
      <c r="N2623" s="5">
        <v>68899.320000000007</v>
      </c>
      <c r="O2623">
        <v>259.02</v>
      </c>
      <c r="P2623">
        <v>266</v>
      </c>
      <c r="Q2623" s="4">
        <v>68899.320000000007</v>
      </c>
      <c r="R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 s="3">
        <v>42562</v>
      </c>
      <c r="AC2623" t="s">
        <v>53</v>
      </c>
      <c r="AD2623" t="s">
        <v>53</v>
      </c>
      <c r="AK2623">
        <v>0</v>
      </c>
      <c r="AU2623" s="3">
        <v>42492</v>
      </c>
      <c r="AV2623" s="3">
        <v>42492</v>
      </c>
      <c r="AW2623" t="s">
        <v>54</v>
      </c>
      <c r="AX2623" t="str">
        <f t="shared" si="325"/>
        <v>FOR</v>
      </c>
      <c r="AY2623" t="s">
        <v>55</v>
      </c>
    </row>
    <row r="2624" spans="1:51">
      <c r="A2624">
        <v>104048</v>
      </c>
      <c r="B2624" t="s">
        <v>354</v>
      </c>
      <c r="C2624" t="str">
        <f t="shared" si="324"/>
        <v>00674840152</v>
      </c>
      <c r="D2624" t="str">
        <f t="shared" si="324"/>
        <v>00674840152</v>
      </c>
      <c r="E2624" t="s">
        <v>52</v>
      </c>
      <c r="F2624">
        <v>2015</v>
      </c>
      <c r="G2624" t="str">
        <f>"          5301657110"</f>
        <v xml:space="preserve">          5301657110</v>
      </c>
      <c r="H2624" s="3">
        <v>42166</v>
      </c>
      <c r="I2624" s="3">
        <v>42167</v>
      </c>
      <c r="J2624" s="3">
        <v>42167</v>
      </c>
      <c r="K2624" s="3">
        <v>42227</v>
      </c>
      <c r="L2624" s="1">
        <v>718.9</v>
      </c>
      <c r="M2624">
        <v>265</v>
      </c>
      <c r="N2624" s="5">
        <v>190508.5</v>
      </c>
      <c r="O2624">
        <v>718.9</v>
      </c>
      <c r="P2624">
        <v>265</v>
      </c>
      <c r="Q2624" s="4">
        <v>190508.5</v>
      </c>
      <c r="R2624">
        <v>0</v>
      </c>
      <c r="V2624">
        <v>0</v>
      </c>
      <c r="W2624">
        <v>0</v>
      </c>
      <c r="X2624">
        <v>0</v>
      </c>
      <c r="Y2624">
        <v>0</v>
      </c>
      <c r="Z2624">
        <v>0</v>
      </c>
      <c r="AA2624">
        <v>0</v>
      </c>
      <c r="AB2624" s="3">
        <v>42562</v>
      </c>
      <c r="AC2624" t="s">
        <v>53</v>
      </c>
      <c r="AD2624" t="s">
        <v>53</v>
      </c>
      <c r="AK2624">
        <v>0</v>
      </c>
      <c r="AU2624" s="3">
        <v>42492</v>
      </c>
      <c r="AV2624" s="3">
        <v>42492</v>
      </c>
      <c r="AW2624" t="s">
        <v>54</v>
      </c>
      <c r="AX2624" t="str">
        <f t="shared" si="325"/>
        <v>FOR</v>
      </c>
      <c r="AY2624" t="s">
        <v>55</v>
      </c>
    </row>
    <row r="2625" spans="1:51">
      <c r="A2625">
        <v>104048</v>
      </c>
      <c r="B2625" t="s">
        <v>354</v>
      </c>
      <c r="C2625" t="str">
        <f t="shared" si="324"/>
        <v>00674840152</v>
      </c>
      <c r="D2625" t="str">
        <f t="shared" si="324"/>
        <v>00674840152</v>
      </c>
      <c r="E2625" t="s">
        <v>52</v>
      </c>
      <c r="F2625">
        <v>2015</v>
      </c>
      <c r="G2625" t="str">
        <f>"          5301658277"</f>
        <v xml:space="preserve">          5301658277</v>
      </c>
      <c r="H2625" s="3">
        <v>42171</v>
      </c>
      <c r="I2625" s="3">
        <v>42172</v>
      </c>
      <c r="J2625" s="3">
        <v>42172</v>
      </c>
      <c r="K2625" s="3">
        <v>42232</v>
      </c>
      <c r="L2625" s="1">
        <v>111.56</v>
      </c>
      <c r="M2625">
        <v>260</v>
      </c>
      <c r="N2625" s="5">
        <v>29005.599999999999</v>
      </c>
      <c r="O2625">
        <v>111.56</v>
      </c>
      <c r="P2625">
        <v>260</v>
      </c>
      <c r="Q2625" s="4">
        <v>29005.599999999999</v>
      </c>
      <c r="R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 s="3">
        <v>42562</v>
      </c>
      <c r="AC2625" t="s">
        <v>53</v>
      </c>
      <c r="AD2625" t="s">
        <v>53</v>
      </c>
      <c r="AK2625">
        <v>0</v>
      </c>
      <c r="AU2625" s="3">
        <v>42492</v>
      </c>
      <c r="AV2625" s="3">
        <v>42492</v>
      </c>
      <c r="AW2625" t="s">
        <v>54</v>
      </c>
      <c r="AX2625" t="str">
        <f t="shared" si="325"/>
        <v>FOR</v>
      </c>
      <c r="AY2625" t="s">
        <v>55</v>
      </c>
    </row>
    <row r="2626" spans="1:51">
      <c r="A2626">
        <v>104048</v>
      </c>
      <c r="B2626" t="s">
        <v>354</v>
      </c>
      <c r="C2626" t="str">
        <f t="shared" si="324"/>
        <v>00674840152</v>
      </c>
      <c r="D2626" t="str">
        <f t="shared" si="324"/>
        <v>00674840152</v>
      </c>
      <c r="E2626" t="s">
        <v>52</v>
      </c>
      <c r="F2626">
        <v>2015</v>
      </c>
      <c r="G2626" t="str">
        <f>"          5301658635"</f>
        <v xml:space="preserve">          5301658635</v>
      </c>
      <c r="H2626" s="3">
        <v>42172</v>
      </c>
      <c r="I2626" s="3">
        <v>42174</v>
      </c>
      <c r="J2626" s="3">
        <v>42173</v>
      </c>
      <c r="K2626" s="3">
        <v>42233</v>
      </c>
      <c r="L2626" s="1">
        <v>588</v>
      </c>
      <c r="M2626">
        <v>259</v>
      </c>
      <c r="N2626" s="5">
        <v>152292</v>
      </c>
      <c r="O2626">
        <v>588</v>
      </c>
      <c r="P2626">
        <v>259</v>
      </c>
      <c r="Q2626" s="4">
        <v>152292</v>
      </c>
      <c r="R2626">
        <v>0</v>
      </c>
      <c r="V2626">
        <v>0</v>
      </c>
      <c r="W2626">
        <v>0</v>
      </c>
      <c r="X2626">
        <v>0</v>
      </c>
      <c r="Y2626">
        <v>0</v>
      </c>
      <c r="Z2626">
        <v>0</v>
      </c>
      <c r="AA2626">
        <v>0</v>
      </c>
      <c r="AB2626" s="3">
        <v>42562</v>
      </c>
      <c r="AC2626" t="s">
        <v>53</v>
      </c>
      <c r="AD2626" t="s">
        <v>53</v>
      </c>
      <c r="AK2626">
        <v>0</v>
      </c>
      <c r="AU2626" s="3">
        <v>42492</v>
      </c>
      <c r="AV2626" s="3">
        <v>42492</v>
      </c>
      <c r="AW2626" t="s">
        <v>54</v>
      </c>
      <c r="AX2626" t="str">
        <f t="shared" si="325"/>
        <v>FOR</v>
      </c>
      <c r="AY2626" t="s">
        <v>55</v>
      </c>
    </row>
    <row r="2627" spans="1:51">
      <c r="A2627">
        <v>104048</v>
      </c>
      <c r="B2627" t="s">
        <v>354</v>
      </c>
      <c r="C2627" t="str">
        <f t="shared" si="324"/>
        <v>00674840152</v>
      </c>
      <c r="D2627" t="str">
        <f t="shared" si="324"/>
        <v>00674840152</v>
      </c>
      <c r="E2627" t="s">
        <v>52</v>
      </c>
      <c r="F2627">
        <v>2015</v>
      </c>
      <c r="G2627" t="str">
        <f>"          5301659310"</f>
        <v xml:space="preserve">          5301659310</v>
      </c>
      <c r="H2627" s="3">
        <v>42174</v>
      </c>
      <c r="I2627" s="3">
        <v>42181</v>
      </c>
      <c r="J2627" s="3">
        <v>42175</v>
      </c>
      <c r="K2627" s="3">
        <v>42235</v>
      </c>
      <c r="L2627" s="5">
        <v>8377.9</v>
      </c>
      <c r="M2627">
        <v>257</v>
      </c>
      <c r="N2627" s="5">
        <v>2153120.2999999998</v>
      </c>
      <c r="O2627" s="4">
        <v>8377.9</v>
      </c>
      <c r="P2627">
        <v>257</v>
      </c>
      <c r="Q2627" s="4">
        <v>2153120.2999999998</v>
      </c>
      <c r="R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 s="3">
        <v>42562</v>
      </c>
      <c r="AC2627" t="s">
        <v>53</v>
      </c>
      <c r="AD2627" t="s">
        <v>53</v>
      </c>
      <c r="AK2627">
        <v>0</v>
      </c>
      <c r="AU2627" s="3">
        <v>42492</v>
      </c>
      <c r="AV2627" s="3">
        <v>42492</v>
      </c>
      <c r="AW2627" t="s">
        <v>54</v>
      </c>
      <c r="AX2627" t="str">
        <f t="shared" si="325"/>
        <v>FOR</v>
      </c>
      <c r="AY2627" t="s">
        <v>55</v>
      </c>
    </row>
    <row r="2628" spans="1:51">
      <c r="A2628">
        <v>104048</v>
      </c>
      <c r="B2628" t="s">
        <v>354</v>
      </c>
      <c r="C2628" t="str">
        <f t="shared" si="324"/>
        <v>00674840152</v>
      </c>
      <c r="D2628" t="str">
        <f t="shared" si="324"/>
        <v>00674840152</v>
      </c>
      <c r="E2628" t="s">
        <v>52</v>
      </c>
      <c r="F2628">
        <v>2015</v>
      </c>
      <c r="G2628" t="str">
        <f>"          5301659311"</f>
        <v xml:space="preserve">          5301659311</v>
      </c>
      <c r="H2628" s="3">
        <v>42174</v>
      </c>
      <c r="I2628" s="3">
        <v>42181</v>
      </c>
      <c r="J2628" s="3">
        <v>42175</v>
      </c>
      <c r="K2628" s="3">
        <v>42235</v>
      </c>
      <c r="L2628" s="5">
        <v>3612.18</v>
      </c>
      <c r="M2628">
        <v>257</v>
      </c>
      <c r="N2628" s="5">
        <v>928330.26</v>
      </c>
      <c r="O2628" s="4">
        <v>3612.18</v>
      </c>
      <c r="P2628">
        <v>257</v>
      </c>
      <c r="Q2628" s="4">
        <v>928330.26</v>
      </c>
      <c r="R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 s="3">
        <v>42562</v>
      </c>
      <c r="AC2628" t="s">
        <v>53</v>
      </c>
      <c r="AD2628" t="s">
        <v>53</v>
      </c>
      <c r="AK2628">
        <v>0</v>
      </c>
      <c r="AU2628" s="3">
        <v>42492</v>
      </c>
      <c r="AV2628" s="3">
        <v>42492</v>
      </c>
      <c r="AW2628" t="s">
        <v>54</v>
      </c>
      <c r="AX2628" t="str">
        <f t="shared" si="325"/>
        <v>FOR</v>
      </c>
      <c r="AY2628" t="s">
        <v>55</v>
      </c>
    </row>
    <row r="2629" spans="1:51">
      <c r="A2629">
        <v>104048</v>
      </c>
      <c r="B2629" t="s">
        <v>354</v>
      </c>
      <c r="C2629" t="str">
        <f t="shared" si="324"/>
        <v>00674840152</v>
      </c>
      <c r="D2629" t="str">
        <f t="shared" si="324"/>
        <v>00674840152</v>
      </c>
      <c r="E2629" t="s">
        <v>52</v>
      </c>
      <c r="F2629">
        <v>2015</v>
      </c>
      <c r="G2629" t="str">
        <f>"          5301661029"</f>
        <v xml:space="preserve">          5301661029</v>
      </c>
      <c r="H2629" s="3">
        <v>42181</v>
      </c>
      <c r="I2629" s="3">
        <v>42186</v>
      </c>
      <c r="J2629" s="3">
        <v>42182</v>
      </c>
      <c r="K2629" s="3">
        <v>42242</v>
      </c>
      <c r="L2629" s="5">
        <v>1440</v>
      </c>
      <c r="M2629">
        <v>250</v>
      </c>
      <c r="N2629" s="5">
        <v>360000</v>
      </c>
      <c r="O2629" s="4">
        <v>1440</v>
      </c>
      <c r="P2629">
        <v>250</v>
      </c>
      <c r="Q2629" s="4">
        <v>360000</v>
      </c>
      <c r="R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 s="3">
        <v>42562</v>
      </c>
      <c r="AC2629" t="s">
        <v>53</v>
      </c>
      <c r="AD2629" t="s">
        <v>53</v>
      </c>
      <c r="AK2629">
        <v>0</v>
      </c>
      <c r="AU2629" s="3">
        <v>42492</v>
      </c>
      <c r="AV2629" s="3">
        <v>42492</v>
      </c>
      <c r="AW2629" t="s">
        <v>54</v>
      </c>
      <c r="AX2629" t="str">
        <f t="shared" si="325"/>
        <v>FOR</v>
      </c>
      <c r="AY2629" t="s">
        <v>55</v>
      </c>
    </row>
    <row r="2630" spans="1:51">
      <c r="A2630">
        <v>104048</v>
      </c>
      <c r="B2630" t="s">
        <v>354</v>
      </c>
      <c r="C2630" t="str">
        <f t="shared" si="324"/>
        <v>00674840152</v>
      </c>
      <c r="D2630" t="str">
        <f t="shared" si="324"/>
        <v>00674840152</v>
      </c>
      <c r="E2630" t="s">
        <v>52</v>
      </c>
      <c r="F2630">
        <v>2015</v>
      </c>
      <c r="G2630" t="str">
        <f>"          5301661030"</f>
        <v xml:space="preserve">          5301661030</v>
      </c>
      <c r="H2630" s="3">
        <v>42181</v>
      </c>
      <c r="I2630" s="3">
        <v>42186</v>
      </c>
      <c r="J2630" s="3">
        <v>42182</v>
      </c>
      <c r="K2630" s="3">
        <v>42242</v>
      </c>
      <c r="L2630" s="1">
        <v>496</v>
      </c>
      <c r="M2630">
        <v>250</v>
      </c>
      <c r="N2630" s="5">
        <v>124000</v>
      </c>
      <c r="O2630">
        <v>496</v>
      </c>
      <c r="P2630">
        <v>250</v>
      </c>
      <c r="Q2630" s="4">
        <v>124000</v>
      </c>
      <c r="R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 s="3">
        <v>42562</v>
      </c>
      <c r="AC2630" t="s">
        <v>53</v>
      </c>
      <c r="AD2630" t="s">
        <v>53</v>
      </c>
      <c r="AK2630">
        <v>0</v>
      </c>
      <c r="AU2630" s="3">
        <v>42492</v>
      </c>
      <c r="AV2630" s="3">
        <v>42492</v>
      </c>
      <c r="AW2630" t="s">
        <v>54</v>
      </c>
      <c r="AX2630" t="str">
        <f t="shared" si="325"/>
        <v>FOR</v>
      </c>
      <c r="AY2630" t="s">
        <v>55</v>
      </c>
    </row>
    <row r="2631" spans="1:51">
      <c r="A2631">
        <v>104048</v>
      </c>
      <c r="B2631" t="s">
        <v>354</v>
      </c>
      <c r="C2631" t="str">
        <f t="shared" si="324"/>
        <v>00674840152</v>
      </c>
      <c r="D2631" t="str">
        <f t="shared" si="324"/>
        <v>00674840152</v>
      </c>
      <c r="E2631" t="s">
        <v>52</v>
      </c>
      <c r="F2631">
        <v>2015</v>
      </c>
      <c r="G2631" t="str">
        <f>"          5301661031"</f>
        <v xml:space="preserve">          5301661031</v>
      </c>
      <c r="H2631" s="3">
        <v>42181</v>
      </c>
      <c r="I2631" s="3">
        <v>42186</v>
      </c>
      <c r="J2631" s="3">
        <v>42182</v>
      </c>
      <c r="K2631" s="3">
        <v>42242</v>
      </c>
      <c r="L2631" s="5">
        <v>1580</v>
      </c>
      <c r="M2631">
        <v>250</v>
      </c>
      <c r="N2631" s="5">
        <v>395000</v>
      </c>
      <c r="O2631" s="4">
        <v>1580</v>
      </c>
      <c r="P2631">
        <v>250</v>
      </c>
      <c r="Q2631" s="4">
        <v>395000</v>
      </c>
      <c r="R2631">
        <v>0</v>
      </c>
      <c r="V2631">
        <v>0</v>
      </c>
      <c r="W2631">
        <v>0</v>
      </c>
      <c r="X2631">
        <v>0</v>
      </c>
      <c r="Y2631">
        <v>0</v>
      </c>
      <c r="Z2631">
        <v>0</v>
      </c>
      <c r="AA2631">
        <v>0</v>
      </c>
      <c r="AB2631" s="3">
        <v>42562</v>
      </c>
      <c r="AC2631" t="s">
        <v>53</v>
      </c>
      <c r="AD2631" t="s">
        <v>53</v>
      </c>
      <c r="AK2631">
        <v>0</v>
      </c>
      <c r="AU2631" s="3">
        <v>42492</v>
      </c>
      <c r="AV2631" s="3">
        <v>42492</v>
      </c>
      <c r="AW2631" t="s">
        <v>54</v>
      </c>
      <c r="AX2631" t="str">
        <f t="shared" si="325"/>
        <v>FOR</v>
      </c>
      <c r="AY2631" t="s">
        <v>55</v>
      </c>
    </row>
    <row r="2632" spans="1:51">
      <c r="A2632">
        <v>104048</v>
      </c>
      <c r="B2632" t="s">
        <v>354</v>
      </c>
      <c r="C2632" t="str">
        <f t="shared" ref="C2632:D2645" si="326">"00674840152"</f>
        <v>00674840152</v>
      </c>
      <c r="D2632" t="str">
        <f t="shared" si="326"/>
        <v>00674840152</v>
      </c>
      <c r="E2632" t="s">
        <v>52</v>
      </c>
      <c r="F2632">
        <v>2015</v>
      </c>
      <c r="G2632" t="str">
        <f>"          5301661383"</f>
        <v xml:space="preserve">          5301661383</v>
      </c>
      <c r="H2632" s="3">
        <v>42184</v>
      </c>
      <c r="I2632" s="3">
        <v>42191</v>
      </c>
      <c r="J2632" s="3">
        <v>42185</v>
      </c>
      <c r="K2632" s="3">
        <v>42245</v>
      </c>
      <c r="L2632" s="1">
        <v>677.88</v>
      </c>
      <c r="M2632">
        <v>247</v>
      </c>
      <c r="N2632" s="5">
        <v>167436.35999999999</v>
      </c>
      <c r="O2632">
        <v>677.88</v>
      </c>
      <c r="P2632">
        <v>247</v>
      </c>
      <c r="Q2632" s="4">
        <v>167436.35999999999</v>
      </c>
      <c r="R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 s="3">
        <v>42562</v>
      </c>
      <c r="AC2632" t="s">
        <v>53</v>
      </c>
      <c r="AD2632" t="s">
        <v>53</v>
      </c>
      <c r="AK2632">
        <v>0</v>
      </c>
      <c r="AU2632" s="3">
        <v>42492</v>
      </c>
      <c r="AV2632" s="3">
        <v>42492</v>
      </c>
      <c r="AW2632" t="s">
        <v>54</v>
      </c>
      <c r="AX2632" t="str">
        <f t="shared" si="325"/>
        <v>FOR</v>
      </c>
      <c r="AY2632" t="s">
        <v>55</v>
      </c>
    </row>
    <row r="2633" spans="1:51">
      <c r="A2633">
        <v>104048</v>
      </c>
      <c r="B2633" t="s">
        <v>354</v>
      </c>
      <c r="C2633" t="str">
        <f t="shared" si="326"/>
        <v>00674840152</v>
      </c>
      <c r="D2633" t="str">
        <f t="shared" si="326"/>
        <v>00674840152</v>
      </c>
      <c r="E2633" t="s">
        <v>52</v>
      </c>
      <c r="F2633">
        <v>2015</v>
      </c>
      <c r="G2633" t="str">
        <f>"          5301661384"</f>
        <v xml:space="preserve">          5301661384</v>
      </c>
      <c r="H2633" s="3">
        <v>42184</v>
      </c>
      <c r="I2633" s="3">
        <v>42191</v>
      </c>
      <c r="J2633" s="3">
        <v>42185</v>
      </c>
      <c r="K2633" s="3">
        <v>42245</v>
      </c>
      <c r="L2633" s="1">
        <v>163.86</v>
      </c>
      <c r="M2633">
        <v>247</v>
      </c>
      <c r="N2633" s="5">
        <v>40473.42</v>
      </c>
      <c r="O2633">
        <v>163.86</v>
      </c>
      <c r="P2633">
        <v>247</v>
      </c>
      <c r="Q2633" s="4">
        <v>40473.42</v>
      </c>
      <c r="R2633">
        <v>0</v>
      </c>
      <c r="V2633">
        <v>0</v>
      </c>
      <c r="W2633">
        <v>0</v>
      </c>
      <c r="X2633">
        <v>0</v>
      </c>
      <c r="Y2633">
        <v>0</v>
      </c>
      <c r="Z2633">
        <v>0</v>
      </c>
      <c r="AA2633">
        <v>0</v>
      </c>
      <c r="AB2633" s="3">
        <v>42562</v>
      </c>
      <c r="AC2633" t="s">
        <v>53</v>
      </c>
      <c r="AD2633" t="s">
        <v>53</v>
      </c>
      <c r="AK2633">
        <v>0</v>
      </c>
      <c r="AU2633" s="3">
        <v>42492</v>
      </c>
      <c r="AV2633" s="3">
        <v>42492</v>
      </c>
      <c r="AW2633" t="s">
        <v>54</v>
      </c>
      <c r="AX2633" t="str">
        <f t="shared" si="325"/>
        <v>FOR</v>
      </c>
      <c r="AY2633" t="s">
        <v>55</v>
      </c>
    </row>
    <row r="2634" spans="1:51">
      <c r="A2634">
        <v>104048</v>
      </c>
      <c r="B2634" t="s">
        <v>354</v>
      </c>
      <c r="C2634" t="str">
        <f t="shared" si="326"/>
        <v>00674840152</v>
      </c>
      <c r="D2634" t="str">
        <f t="shared" si="326"/>
        <v>00674840152</v>
      </c>
      <c r="E2634" t="s">
        <v>52</v>
      </c>
      <c r="F2634">
        <v>2015</v>
      </c>
      <c r="G2634" t="str">
        <f>"          5301661385"</f>
        <v xml:space="preserve">          5301661385</v>
      </c>
      <c r="H2634" s="3">
        <v>42184</v>
      </c>
      <c r="I2634" s="3">
        <v>42191</v>
      </c>
      <c r="J2634" s="3">
        <v>42185</v>
      </c>
      <c r="K2634" s="3">
        <v>42245</v>
      </c>
      <c r="L2634" s="1">
        <v>650.74</v>
      </c>
      <c r="M2634">
        <v>247</v>
      </c>
      <c r="N2634" s="5">
        <v>160732.78</v>
      </c>
      <c r="O2634">
        <v>650.74</v>
      </c>
      <c r="P2634">
        <v>247</v>
      </c>
      <c r="Q2634" s="4">
        <v>160732.78</v>
      </c>
      <c r="R2634">
        <v>0</v>
      </c>
      <c r="V2634">
        <v>0</v>
      </c>
      <c r="W2634">
        <v>0</v>
      </c>
      <c r="X2634">
        <v>0</v>
      </c>
      <c r="Y2634">
        <v>0</v>
      </c>
      <c r="Z2634">
        <v>0</v>
      </c>
      <c r="AA2634">
        <v>0</v>
      </c>
      <c r="AB2634" s="3">
        <v>42562</v>
      </c>
      <c r="AC2634" t="s">
        <v>53</v>
      </c>
      <c r="AD2634" t="s">
        <v>53</v>
      </c>
      <c r="AK2634">
        <v>0</v>
      </c>
      <c r="AU2634" s="3">
        <v>42492</v>
      </c>
      <c r="AV2634" s="3">
        <v>42492</v>
      </c>
      <c r="AW2634" t="s">
        <v>54</v>
      </c>
      <c r="AX2634" t="str">
        <f t="shared" si="325"/>
        <v>FOR</v>
      </c>
      <c r="AY2634" t="s">
        <v>55</v>
      </c>
    </row>
    <row r="2635" spans="1:51">
      <c r="A2635">
        <v>104048</v>
      </c>
      <c r="B2635" t="s">
        <v>354</v>
      </c>
      <c r="C2635" t="str">
        <f t="shared" si="326"/>
        <v>00674840152</v>
      </c>
      <c r="D2635" t="str">
        <f t="shared" si="326"/>
        <v>00674840152</v>
      </c>
      <c r="E2635" t="s">
        <v>52</v>
      </c>
      <c r="F2635">
        <v>2015</v>
      </c>
      <c r="G2635" t="str">
        <f>"          5301661866"</f>
        <v xml:space="preserve">          5301661866</v>
      </c>
      <c r="H2635" s="3">
        <v>42185</v>
      </c>
      <c r="I2635" s="3">
        <v>42191</v>
      </c>
      <c r="J2635" s="3">
        <v>42187</v>
      </c>
      <c r="K2635" s="3">
        <v>42247</v>
      </c>
      <c r="L2635" s="1">
        <v>182.46</v>
      </c>
      <c r="M2635">
        <v>245</v>
      </c>
      <c r="N2635" s="5">
        <v>44702.7</v>
      </c>
      <c r="O2635">
        <v>182.46</v>
      </c>
      <c r="P2635">
        <v>245</v>
      </c>
      <c r="Q2635" s="4">
        <v>44702.7</v>
      </c>
      <c r="R2635">
        <v>0</v>
      </c>
      <c r="V2635">
        <v>0</v>
      </c>
      <c r="W2635">
        <v>0</v>
      </c>
      <c r="X2635">
        <v>0</v>
      </c>
      <c r="Y2635">
        <v>0</v>
      </c>
      <c r="Z2635">
        <v>0</v>
      </c>
      <c r="AA2635">
        <v>0</v>
      </c>
      <c r="AB2635" s="3">
        <v>42562</v>
      </c>
      <c r="AC2635" t="s">
        <v>53</v>
      </c>
      <c r="AD2635" t="s">
        <v>53</v>
      </c>
      <c r="AK2635">
        <v>0</v>
      </c>
      <c r="AU2635" s="3">
        <v>42492</v>
      </c>
      <c r="AV2635" s="3">
        <v>42492</v>
      </c>
      <c r="AW2635" t="s">
        <v>54</v>
      </c>
      <c r="AX2635" t="str">
        <f t="shared" si="325"/>
        <v>FOR</v>
      </c>
      <c r="AY2635" t="s">
        <v>55</v>
      </c>
    </row>
    <row r="2636" spans="1:51">
      <c r="A2636">
        <v>104048</v>
      </c>
      <c r="B2636" t="s">
        <v>354</v>
      </c>
      <c r="C2636" t="str">
        <f t="shared" si="326"/>
        <v>00674840152</v>
      </c>
      <c r="D2636" t="str">
        <f t="shared" si="326"/>
        <v>00674840152</v>
      </c>
      <c r="E2636" t="s">
        <v>52</v>
      </c>
      <c r="F2636">
        <v>2015</v>
      </c>
      <c r="G2636" t="str">
        <f>"          5301662542"</f>
        <v xml:space="preserve">          5301662542</v>
      </c>
      <c r="H2636" s="3">
        <v>42187</v>
      </c>
      <c r="I2636" s="3">
        <v>42191</v>
      </c>
      <c r="J2636" s="3">
        <v>42188</v>
      </c>
      <c r="K2636" s="3">
        <v>42248</v>
      </c>
      <c r="L2636" s="5">
        <v>7147.2</v>
      </c>
      <c r="M2636">
        <v>272</v>
      </c>
      <c r="N2636" s="5">
        <v>1944038.3999999999</v>
      </c>
      <c r="O2636" s="4">
        <v>7147.2</v>
      </c>
      <c r="P2636">
        <v>272</v>
      </c>
      <c r="Q2636" s="4">
        <v>1944038.3999999999</v>
      </c>
      <c r="R2636">
        <v>0</v>
      </c>
      <c r="V2636">
        <v>0</v>
      </c>
      <c r="W2636">
        <v>0</v>
      </c>
      <c r="X2636">
        <v>0</v>
      </c>
      <c r="Y2636">
        <v>0</v>
      </c>
      <c r="Z2636">
        <v>0</v>
      </c>
      <c r="AA2636">
        <v>0</v>
      </c>
      <c r="AB2636" s="3">
        <v>42562</v>
      </c>
      <c r="AC2636" t="s">
        <v>53</v>
      </c>
      <c r="AD2636" t="s">
        <v>53</v>
      </c>
      <c r="AK2636">
        <v>0</v>
      </c>
      <c r="AU2636" s="3">
        <v>42520</v>
      </c>
      <c r="AV2636" s="3">
        <v>42520</v>
      </c>
      <c r="AW2636" t="s">
        <v>54</v>
      </c>
      <c r="AX2636" t="str">
        <f t="shared" si="325"/>
        <v>FOR</v>
      </c>
      <c r="AY2636" t="s">
        <v>55</v>
      </c>
    </row>
    <row r="2637" spans="1:51">
      <c r="A2637">
        <v>104048</v>
      </c>
      <c r="B2637" t="s">
        <v>354</v>
      </c>
      <c r="C2637" t="str">
        <f t="shared" si="326"/>
        <v>00674840152</v>
      </c>
      <c r="D2637" t="str">
        <f t="shared" si="326"/>
        <v>00674840152</v>
      </c>
      <c r="E2637" t="s">
        <v>52</v>
      </c>
      <c r="F2637">
        <v>2015</v>
      </c>
      <c r="G2637" t="str">
        <f>"          5301663536"</f>
        <v xml:space="preserve">          5301663536</v>
      </c>
      <c r="H2637" s="3">
        <v>42192</v>
      </c>
      <c r="I2637" s="3">
        <v>42198</v>
      </c>
      <c r="J2637" s="3">
        <v>42193</v>
      </c>
      <c r="K2637" s="3">
        <v>42253</v>
      </c>
      <c r="L2637" s="5">
        <v>9120</v>
      </c>
      <c r="M2637">
        <v>267</v>
      </c>
      <c r="N2637" s="5">
        <v>2435040</v>
      </c>
      <c r="O2637" s="4">
        <v>9120</v>
      </c>
      <c r="P2637">
        <v>267</v>
      </c>
      <c r="Q2637" s="4">
        <v>2435040</v>
      </c>
      <c r="R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 s="3">
        <v>42562</v>
      </c>
      <c r="AC2637" t="s">
        <v>53</v>
      </c>
      <c r="AD2637" t="s">
        <v>53</v>
      </c>
      <c r="AK2637">
        <v>0</v>
      </c>
      <c r="AU2637" s="3">
        <v>42520</v>
      </c>
      <c r="AV2637" s="3">
        <v>42520</v>
      </c>
      <c r="AW2637" t="s">
        <v>54</v>
      </c>
      <c r="AX2637" t="str">
        <f t="shared" si="325"/>
        <v>FOR</v>
      </c>
      <c r="AY2637" t="s">
        <v>55</v>
      </c>
    </row>
    <row r="2638" spans="1:51">
      <c r="A2638">
        <v>104048</v>
      </c>
      <c r="B2638" t="s">
        <v>354</v>
      </c>
      <c r="C2638" t="str">
        <f t="shared" si="326"/>
        <v>00674840152</v>
      </c>
      <c r="D2638" t="str">
        <f t="shared" si="326"/>
        <v>00674840152</v>
      </c>
      <c r="E2638" t="s">
        <v>52</v>
      </c>
      <c r="F2638">
        <v>2015</v>
      </c>
      <c r="G2638" t="str">
        <f>"          5301663814"</f>
        <v xml:space="preserve">          5301663814</v>
      </c>
      <c r="H2638" s="3">
        <v>42193</v>
      </c>
      <c r="I2638" s="3">
        <v>42195</v>
      </c>
      <c r="J2638" s="3">
        <v>42194</v>
      </c>
      <c r="K2638" s="3">
        <v>42254</v>
      </c>
      <c r="L2638" s="1">
        <v>172.25</v>
      </c>
      <c r="M2638">
        <v>266</v>
      </c>
      <c r="N2638" s="5">
        <v>45818.5</v>
      </c>
      <c r="O2638">
        <v>172.25</v>
      </c>
      <c r="P2638">
        <v>266</v>
      </c>
      <c r="Q2638" s="4">
        <v>45818.5</v>
      </c>
      <c r="R2638">
        <v>0</v>
      </c>
      <c r="V2638">
        <v>0</v>
      </c>
      <c r="W2638">
        <v>0</v>
      </c>
      <c r="X2638">
        <v>0</v>
      </c>
      <c r="Y2638">
        <v>0</v>
      </c>
      <c r="Z2638">
        <v>0</v>
      </c>
      <c r="AA2638">
        <v>0</v>
      </c>
      <c r="AB2638" s="3">
        <v>42562</v>
      </c>
      <c r="AC2638" t="s">
        <v>53</v>
      </c>
      <c r="AD2638" t="s">
        <v>53</v>
      </c>
      <c r="AK2638">
        <v>0</v>
      </c>
      <c r="AU2638" s="3">
        <v>42520</v>
      </c>
      <c r="AV2638" s="3">
        <v>42520</v>
      </c>
      <c r="AW2638" t="s">
        <v>54</v>
      </c>
      <c r="AX2638" t="str">
        <f t="shared" si="325"/>
        <v>FOR</v>
      </c>
      <c r="AY2638" t="s">
        <v>55</v>
      </c>
    </row>
    <row r="2639" spans="1:51">
      <c r="A2639">
        <v>104048</v>
      </c>
      <c r="B2639" t="s">
        <v>354</v>
      </c>
      <c r="C2639" t="str">
        <f t="shared" si="326"/>
        <v>00674840152</v>
      </c>
      <c r="D2639" t="str">
        <f t="shared" si="326"/>
        <v>00674840152</v>
      </c>
      <c r="E2639" t="s">
        <v>52</v>
      </c>
      <c r="F2639">
        <v>2015</v>
      </c>
      <c r="G2639" t="str">
        <f>"          5301663815"</f>
        <v xml:space="preserve">          5301663815</v>
      </c>
      <c r="H2639" s="3">
        <v>42193</v>
      </c>
      <c r="I2639" s="3">
        <v>42195</v>
      </c>
      <c r="J2639" s="3">
        <v>42194</v>
      </c>
      <c r="K2639" s="3">
        <v>42254</v>
      </c>
      <c r="L2639" s="1">
        <v>790</v>
      </c>
      <c r="M2639">
        <v>266</v>
      </c>
      <c r="N2639" s="5">
        <v>210140</v>
      </c>
      <c r="O2639">
        <v>790</v>
      </c>
      <c r="P2639">
        <v>266</v>
      </c>
      <c r="Q2639" s="4">
        <v>210140</v>
      </c>
      <c r="R2639">
        <v>0</v>
      </c>
      <c r="V2639">
        <v>0</v>
      </c>
      <c r="W2639">
        <v>0</v>
      </c>
      <c r="X2639">
        <v>0</v>
      </c>
      <c r="Y2639">
        <v>0</v>
      </c>
      <c r="Z2639">
        <v>0</v>
      </c>
      <c r="AA2639">
        <v>0</v>
      </c>
      <c r="AB2639" s="3">
        <v>42562</v>
      </c>
      <c r="AC2639" t="s">
        <v>53</v>
      </c>
      <c r="AD2639" t="s">
        <v>53</v>
      </c>
      <c r="AK2639">
        <v>0</v>
      </c>
      <c r="AU2639" s="3">
        <v>42520</v>
      </c>
      <c r="AV2639" s="3">
        <v>42520</v>
      </c>
      <c r="AW2639" t="s">
        <v>54</v>
      </c>
      <c r="AX2639" t="str">
        <f t="shared" si="325"/>
        <v>FOR</v>
      </c>
      <c r="AY2639" t="s">
        <v>55</v>
      </c>
    </row>
    <row r="2640" spans="1:51">
      <c r="A2640">
        <v>104048</v>
      </c>
      <c r="B2640" t="s">
        <v>354</v>
      </c>
      <c r="C2640" t="str">
        <f t="shared" si="326"/>
        <v>00674840152</v>
      </c>
      <c r="D2640" t="str">
        <f t="shared" si="326"/>
        <v>00674840152</v>
      </c>
      <c r="E2640" t="s">
        <v>52</v>
      </c>
      <c r="F2640">
        <v>2015</v>
      </c>
      <c r="G2640" t="str">
        <f>"          5301663816"</f>
        <v xml:space="preserve">          5301663816</v>
      </c>
      <c r="H2640" s="3">
        <v>42193</v>
      </c>
      <c r="I2640" s="3">
        <v>42195</v>
      </c>
      <c r="J2640" s="3">
        <v>42194</v>
      </c>
      <c r="K2640" s="3">
        <v>42254</v>
      </c>
      <c r="L2640" s="1">
        <v>496</v>
      </c>
      <c r="M2640">
        <v>266</v>
      </c>
      <c r="N2640" s="5">
        <v>131936</v>
      </c>
      <c r="O2640">
        <v>496</v>
      </c>
      <c r="P2640">
        <v>266</v>
      </c>
      <c r="Q2640" s="4">
        <v>131936</v>
      </c>
      <c r="R2640">
        <v>0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 s="3">
        <v>42562</v>
      </c>
      <c r="AC2640" t="s">
        <v>53</v>
      </c>
      <c r="AD2640" t="s">
        <v>53</v>
      </c>
      <c r="AK2640">
        <v>0</v>
      </c>
      <c r="AU2640" s="3">
        <v>42520</v>
      </c>
      <c r="AV2640" s="3">
        <v>42520</v>
      </c>
      <c r="AW2640" t="s">
        <v>54</v>
      </c>
      <c r="AX2640" t="str">
        <f t="shared" si="325"/>
        <v>FOR</v>
      </c>
      <c r="AY2640" t="s">
        <v>55</v>
      </c>
    </row>
    <row r="2641" spans="1:51">
      <c r="A2641">
        <v>104048</v>
      </c>
      <c r="B2641" t="s">
        <v>354</v>
      </c>
      <c r="C2641" t="str">
        <f t="shared" si="326"/>
        <v>00674840152</v>
      </c>
      <c r="D2641" t="str">
        <f t="shared" si="326"/>
        <v>00674840152</v>
      </c>
      <c r="E2641" t="s">
        <v>52</v>
      </c>
      <c r="F2641">
        <v>2015</v>
      </c>
      <c r="G2641" t="str">
        <f>"          5301667700"</f>
        <v xml:space="preserve">          5301667700</v>
      </c>
      <c r="H2641" s="3">
        <v>42207</v>
      </c>
      <c r="I2641" s="3">
        <v>42209</v>
      </c>
      <c r="J2641" s="3">
        <v>42208</v>
      </c>
      <c r="K2641" s="3">
        <v>42268</v>
      </c>
      <c r="L2641" s="5">
        <v>1176</v>
      </c>
      <c r="M2641">
        <v>252</v>
      </c>
      <c r="N2641" s="5">
        <v>296352</v>
      </c>
      <c r="O2641" s="4">
        <v>1176</v>
      </c>
      <c r="P2641">
        <v>252</v>
      </c>
      <c r="Q2641" s="4">
        <v>296352</v>
      </c>
      <c r="R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 s="3">
        <v>42562</v>
      </c>
      <c r="AC2641" t="s">
        <v>53</v>
      </c>
      <c r="AD2641" t="s">
        <v>53</v>
      </c>
      <c r="AK2641">
        <v>0</v>
      </c>
      <c r="AU2641" s="3">
        <v>42520</v>
      </c>
      <c r="AV2641" s="3">
        <v>42520</v>
      </c>
      <c r="AW2641" t="s">
        <v>54</v>
      </c>
      <c r="AX2641" t="str">
        <f t="shared" si="325"/>
        <v>FOR</v>
      </c>
      <c r="AY2641" t="s">
        <v>55</v>
      </c>
    </row>
    <row r="2642" spans="1:51">
      <c r="A2642">
        <v>104048</v>
      </c>
      <c r="B2642" t="s">
        <v>354</v>
      </c>
      <c r="C2642" t="str">
        <f t="shared" si="326"/>
        <v>00674840152</v>
      </c>
      <c r="D2642" t="str">
        <f t="shared" si="326"/>
        <v>00674840152</v>
      </c>
      <c r="E2642" t="s">
        <v>52</v>
      </c>
      <c r="F2642">
        <v>2015</v>
      </c>
      <c r="G2642" t="str">
        <f>"          5301668100"</f>
        <v xml:space="preserve">          5301668100</v>
      </c>
      <c r="H2642" s="3">
        <v>42208</v>
      </c>
      <c r="I2642" s="3">
        <v>42212</v>
      </c>
      <c r="J2642" s="3">
        <v>42209</v>
      </c>
      <c r="K2642" s="3">
        <v>42269</v>
      </c>
      <c r="L2642" s="5">
        <v>3502</v>
      </c>
      <c r="M2642">
        <v>251</v>
      </c>
      <c r="N2642" s="5">
        <v>879002</v>
      </c>
      <c r="O2642" s="4">
        <v>3502</v>
      </c>
      <c r="P2642">
        <v>251</v>
      </c>
      <c r="Q2642" s="4">
        <v>879002</v>
      </c>
      <c r="R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 s="3">
        <v>42562</v>
      </c>
      <c r="AC2642" t="s">
        <v>53</v>
      </c>
      <c r="AD2642" t="s">
        <v>53</v>
      </c>
      <c r="AK2642">
        <v>0</v>
      </c>
      <c r="AU2642" s="3">
        <v>42520</v>
      </c>
      <c r="AV2642" s="3">
        <v>42520</v>
      </c>
      <c r="AW2642" t="s">
        <v>54</v>
      </c>
      <c r="AX2642" t="str">
        <f t="shared" si="325"/>
        <v>FOR</v>
      </c>
      <c r="AY2642" t="s">
        <v>55</v>
      </c>
    </row>
    <row r="2643" spans="1:51">
      <c r="A2643">
        <v>104048</v>
      </c>
      <c r="B2643" t="s">
        <v>354</v>
      </c>
      <c r="C2643" t="str">
        <f t="shared" si="326"/>
        <v>00674840152</v>
      </c>
      <c r="D2643" t="str">
        <f t="shared" si="326"/>
        <v>00674840152</v>
      </c>
      <c r="E2643" t="s">
        <v>52</v>
      </c>
      <c r="F2643">
        <v>2015</v>
      </c>
      <c r="G2643" t="str">
        <f>"          5301669039"</f>
        <v xml:space="preserve">          5301669039</v>
      </c>
      <c r="H2643" s="3">
        <v>42213</v>
      </c>
      <c r="I2643" s="3">
        <v>42215</v>
      </c>
      <c r="J2643" s="3">
        <v>42214</v>
      </c>
      <c r="K2643" s="3">
        <v>42274</v>
      </c>
      <c r="L2643" s="5">
        <v>1147.2</v>
      </c>
      <c r="M2643">
        <v>246</v>
      </c>
      <c r="N2643" s="5">
        <v>282211.20000000001</v>
      </c>
      <c r="O2643" s="4">
        <v>1147.2</v>
      </c>
      <c r="P2643">
        <v>246</v>
      </c>
      <c r="Q2643" s="4">
        <v>282211.20000000001</v>
      </c>
      <c r="R2643">
        <v>0</v>
      </c>
      <c r="V2643">
        <v>0</v>
      </c>
      <c r="W2643">
        <v>0</v>
      </c>
      <c r="X2643">
        <v>0</v>
      </c>
      <c r="Y2643">
        <v>0</v>
      </c>
      <c r="Z2643">
        <v>0</v>
      </c>
      <c r="AA2643">
        <v>0</v>
      </c>
      <c r="AB2643" s="3">
        <v>42562</v>
      </c>
      <c r="AC2643" t="s">
        <v>53</v>
      </c>
      <c r="AD2643" t="s">
        <v>53</v>
      </c>
      <c r="AK2643">
        <v>0</v>
      </c>
      <c r="AU2643" s="3">
        <v>42520</v>
      </c>
      <c r="AV2643" s="3">
        <v>42520</v>
      </c>
      <c r="AW2643" t="s">
        <v>54</v>
      </c>
      <c r="AX2643" t="str">
        <f t="shared" si="325"/>
        <v>FOR</v>
      </c>
      <c r="AY2643" t="s">
        <v>55</v>
      </c>
    </row>
    <row r="2644" spans="1:51">
      <c r="A2644">
        <v>104048</v>
      </c>
      <c r="B2644" t="s">
        <v>354</v>
      </c>
      <c r="C2644" t="str">
        <f t="shared" si="326"/>
        <v>00674840152</v>
      </c>
      <c r="D2644" t="str">
        <f t="shared" si="326"/>
        <v>00674840152</v>
      </c>
      <c r="E2644" t="s">
        <v>52</v>
      </c>
      <c r="F2644">
        <v>2015</v>
      </c>
      <c r="G2644" t="str">
        <f>"          5301669546"</f>
        <v xml:space="preserve">          5301669546</v>
      </c>
      <c r="H2644" s="3">
        <v>42214</v>
      </c>
      <c r="I2644" s="3">
        <v>42216</v>
      </c>
      <c r="J2644" s="3">
        <v>42215</v>
      </c>
      <c r="K2644" s="3">
        <v>42275</v>
      </c>
      <c r="L2644" s="5">
        <v>1440</v>
      </c>
      <c r="M2644">
        <v>245</v>
      </c>
      <c r="N2644" s="5">
        <v>352800</v>
      </c>
      <c r="O2644" s="4">
        <v>1440</v>
      </c>
      <c r="P2644">
        <v>245</v>
      </c>
      <c r="Q2644" s="4">
        <v>352800</v>
      </c>
      <c r="R2644">
        <v>0</v>
      </c>
      <c r="V2644">
        <v>0</v>
      </c>
      <c r="W2644">
        <v>0</v>
      </c>
      <c r="X2644">
        <v>0</v>
      </c>
      <c r="Y2644">
        <v>0</v>
      </c>
      <c r="Z2644">
        <v>0</v>
      </c>
      <c r="AA2644">
        <v>0</v>
      </c>
      <c r="AB2644" s="3">
        <v>42562</v>
      </c>
      <c r="AC2644" t="s">
        <v>53</v>
      </c>
      <c r="AD2644" t="s">
        <v>53</v>
      </c>
      <c r="AK2644">
        <v>0</v>
      </c>
      <c r="AU2644" s="3">
        <v>42520</v>
      </c>
      <c r="AV2644" s="3">
        <v>42520</v>
      </c>
      <c r="AW2644" t="s">
        <v>54</v>
      </c>
      <c r="AX2644" t="str">
        <f t="shared" si="325"/>
        <v>FOR</v>
      </c>
      <c r="AY2644" t="s">
        <v>55</v>
      </c>
    </row>
    <row r="2645" spans="1:51">
      <c r="A2645">
        <v>104048</v>
      </c>
      <c r="B2645" t="s">
        <v>354</v>
      </c>
      <c r="C2645" t="str">
        <f t="shared" si="326"/>
        <v>00674840152</v>
      </c>
      <c r="D2645" t="str">
        <f t="shared" si="326"/>
        <v>00674840152</v>
      </c>
      <c r="E2645" t="s">
        <v>52</v>
      </c>
      <c r="F2645">
        <v>2015</v>
      </c>
      <c r="G2645" t="str">
        <f>"          5301670264"</f>
        <v xml:space="preserve">          5301670264</v>
      </c>
      <c r="H2645" s="3">
        <v>42216</v>
      </c>
      <c r="I2645" s="3">
        <v>42217</v>
      </c>
      <c r="J2645" s="3">
        <v>42217</v>
      </c>
      <c r="K2645" s="3">
        <v>42277</v>
      </c>
      <c r="L2645" s="1">
        <v>459</v>
      </c>
      <c r="M2645">
        <v>243</v>
      </c>
      <c r="N2645" s="5">
        <v>111537</v>
      </c>
      <c r="O2645">
        <v>459</v>
      </c>
      <c r="P2645">
        <v>243</v>
      </c>
      <c r="Q2645" s="4">
        <v>111537</v>
      </c>
      <c r="R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 s="3">
        <v>42562</v>
      </c>
      <c r="AC2645" t="s">
        <v>53</v>
      </c>
      <c r="AD2645" t="s">
        <v>53</v>
      </c>
      <c r="AK2645">
        <v>0</v>
      </c>
      <c r="AU2645" s="3">
        <v>42520</v>
      </c>
      <c r="AV2645" s="3">
        <v>42520</v>
      </c>
      <c r="AW2645" t="s">
        <v>54</v>
      </c>
      <c r="AX2645" t="str">
        <f t="shared" si="325"/>
        <v>FOR</v>
      </c>
      <c r="AY2645" t="s">
        <v>55</v>
      </c>
    </row>
    <row r="2646" spans="1:51" hidden="1">
      <c r="A2646">
        <v>104053</v>
      </c>
      <c r="B2646" t="s">
        <v>355</v>
      </c>
      <c r="C2646" t="str">
        <f t="shared" ref="C2646:D2649" si="327">"00394900484"</f>
        <v>00394900484</v>
      </c>
      <c r="D2646" t="str">
        <f t="shared" si="327"/>
        <v>00394900484</v>
      </c>
      <c r="E2646" t="s">
        <v>52</v>
      </c>
      <c r="F2646">
        <v>2015</v>
      </c>
      <c r="G2646" t="str">
        <f>"          15VPA00016"</f>
        <v xml:space="preserve">          15VPA00016</v>
      </c>
      <c r="H2646" s="3">
        <v>42123</v>
      </c>
      <c r="I2646" s="3">
        <v>42142</v>
      </c>
      <c r="J2646" s="3">
        <v>42137</v>
      </c>
      <c r="K2646" s="3">
        <v>42197</v>
      </c>
      <c r="L2646"/>
      <c r="N2646"/>
      <c r="O2646">
        <v>735.4</v>
      </c>
      <c r="P2646">
        <v>233</v>
      </c>
      <c r="Q2646" s="4">
        <v>171348.2</v>
      </c>
      <c r="R2646">
        <v>0</v>
      </c>
      <c r="V2646">
        <v>0</v>
      </c>
      <c r="W2646">
        <v>0</v>
      </c>
      <c r="X2646">
        <v>0</v>
      </c>
      <c r="Y2646">
        <v>0</v>
      </c>
      <c r="Z2646">
        <v>0</v>
      </c>
      <c r="AA2646">
        <v>0</v>
      </c>
      <c r="AB2646" s="3">
        <v>42562</v>
      </c>
      <c r="AC2646" t="s">
        <v>53</v>
      </c>
      <c r="AD2646" t="s">
        <v>53</v>
      </c>
      <c r="AK2646">
        <v>0</v>
      </c>
      <c r="AU2646" s="3">
        <v>42430</v>
      </c>
      <c r="AV2646" s="3">
        <v>42430</v>
      </c>
      <c r="AW2646" t="s">
        <v>54</v>
      </c>
      <c r="AX2646" t="str">
        <f t="shared" si="325"/>
        <v>FOR</v>
      </c>
      <c r="AY2646" t="s">
        <v>55</v>
      </c>
    </row>
    <row r="2647" spans="1:51">
      <c r="A2647">
        <v>104053</v>
      </c>
      <c r="B2647" t="s">
        <v>355</v>
      </c>
      <c r="C2647" t="str">
        <f t="shared" si="327"/>
        <v>00394900484</v>
      </c>
      <c r="D2647" t="str">
        <f t="shared" si="327"/>
        <v>00394900484</v>
      </c>
      <c r="E2647" t="s">
        <v>52</v>
      </c>
      <c r="F2647">
        <v>2015</v>
      </c>
      <c r="G2647" t="str">
        <f>"          15VPA00594"</f>
        <v xml:space="preserve">          15VPA00594</v>
      </c>
      <c r="H2647" s="3">
        <v>42179</v>
      </c>
      <c r="I2647" s="3">
        <v>42191</v>
      </c>
      <c r="J2647" s="3">
        <v>42185</v>
      </c>
      <c r="K2647" s="3">
        <v>42245</v>
      </c>
      <c r="L2647" s="1">
        <v>367.7</v>
      </c>
      <c r="M2647">
        <v>275</v>
      </c>
      <c r="N2647" s="5">
        <v>101117.5</v>
      </c>
      <c r="O2647">
        <v>367.7</v>
      </c>
      <c r="P2647">
        <v>275</v>
      </c>
      <c r="Q2647" s="4">
        <v>101117.5</v>
      </c>
      <c r="R2647">
        <v>0</v>
      </c>
      <c r="V2647">
        <v>0</v>
      </c>
      <c r="W2647">
        <v>0</v>
      </c>
      <c r="X2647">
        <v>0</v>
      </c>
      <c r="Y2647">
        <v>0</v>
      </c>
      <c r="Z2647">
        <v>0</v>
      </c>
      <c r="AA2647">
        <v>0</v>
      </c>
      <c r="AB2647" s="3">
        <v>42562</v>
      </c>
      <c r="AC2647" t="s">
        <v>53</v>
      </c>
      <c r="AD2647" t="s">
        <v>53</v>
      </c>
      <c r="AK2647">
        <v>0</v>
      </c>
      <c r="AU2647" s="3">
        <v>42520</v>
      </c>
      <c r="AV2647" s="3">
        <v>42520</v>
      </c>
      <c r="AW2647" t="s">
        <v>54</v>
      </c>
      <c r="AX2647" t="str">
        <f t="shared" si="325"/>
        <v>FOR</v>
      </c>
      <c r="AY2647" t="s">
        <v>55</v>
      </c>
    </row>
    <row r="2648" spans="1:51">
      <c r="A2648">
        <v>104053</v>
      </c>
      <c r="B2648" t="s">
        <v>355</v>
      </c>
      <c r="C2648" t="str">
        <f t="shared" si="327"/>
        <v>00394900484</v>
      </c>
      <c r="D2648" t="str">
        <f t="shared" si="327"/>
        <v>00394900484</v>
      </c>
      <c r="E2648" t="s">
        <v>52</v>
      </c>
      <c r="F2648">
        <v>2015</v>
      </c>
      <c r="G2648" t="str">
        <f>"          15VPA00927"</f>
        <v xml:space="preserve">          15VPA00927</v>
      </c>
      <c r="H2648" s="3">
        <v>42247</v>
      </c>
      <c r="I2648" s="3">
        <v>42248</v>
      </c>
      <c r="J2648" s="3">
        <v>42247</v>
      </c>
      <c r="K2648" s="3">
        <v>42307</v>
      </c>
      <c r="L2648" s="1">
        <v>367.7</v>
      </c>
      <c r="M2648">
        <v>213</v>
      </c>
      <c r="N2648" s="5">
        <v>78320.100000000006</v>
      </c>
      <c r="O2648">
        <v>367.7</v>
      </c>
      <c r="P2648">
        <v>213</v>
      </c>
      <c r="Q2648" s="4">
        <v>78320.100000000006</v>
      </c>
      <c r="R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 s="3">
        <v>42562</v>
      </c>
      <c r="AC2648" t="s">
        <v>53</v>
      </c>
      <c r="AD2648" t="s">
        <v>53</v>
      </c>
      <c r="AK2648">
        <v>0</v>
      </c>
      <c r="AU2648" s="3">
        <v>42520</v>
      </c>
      <c r="AV2648" s="3">
        <v>42520</v>
      </c>
      <c r="AW2648" t="s">
        <v>54</v>
      </c>
      <c r="AX2648" t="str">
        <f t="shared" si="325"/>
        <v>FOR</v>
      </c>
      <c r="AY2648" t="s">
        <v>55</v>
      </c>
    </row>
    <row r="2649" spans="1:51">
      <c r="A2649">
        <v>104053</v>
      </c>
      <c r="B2649" t="s">
        <v>355</v>
      </c>
      <c r="C2649" t="str">
        <f t="shared" si="327"/>
        <v>00394900484</v>
      </c>
      <c r="D2649" t="str">
        <f t="shared" si="327"/>
        <v>00394900484</v>
      </c>
      <c r="E2649" t="s">
        <v>52</v>
      </c>
      <c r="F2649">
        <v>2015</v>
      </c>
      <c r="G2649" t="str">
        <f>"          15VPA01702"</f>
        <v xml:space="preserve">          15VPA01702</v>
      </c>
      <c r="H2649" s="3">
        <v>42338</v>
      </c>
      <c r="I2649" s="3">
        <v>42340</v>
      </c>
      <c r="J2649" s="3">
        <v>42338</v>
      </c>
      <c r="K2649" s="3">
        <v>42398</v>
      </c>
      <c r="L2649" s="1">
        <v>367.7</v>
      </c>
      <c r="M2649">
        <v>122</v>
      </c>
      <c r="N2649" s="5">
        <v>44859.4</v>
      </c>
      <c r="O2649">
        <v>367.7</v>
      </c>
      <c r="P2649">
        <v>122</v>
      </c>
      <c r="Q2649" s="4">
        <v>44859.4</v>
      </c>
      <c r="R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 s="3">
        <v>42562</v>
      </c>
      <c r="AC2649" t="s">
        <v>53</v>
      </c>
      <c r="AD2649" t="s">
        <v>53</v>
      </c>
      <c r="AK2649">
        <v>0</v>
      </c>
      <c r="AU2649" s="3">
        <v>42520</v>
      </c>
      <c r="AV2649" s="3">
        <v>42520</v>
      </c>
      <c r="AW2649" t="s">
        <v>54</v>
      </c>
      <c r="AX2649" t="str">
        <f t="shared" si="325"/>
        <v>FOR</v>
      </c>
      <c r="AY2649" t="s">
        <v>55</v>
      </c>
    </row>
    <row r="2650" spans="1:51" hidden="1">
      <c r="A2650">
        <v>104059</v>
      </c>
      <c r="B2650" t="s">
        <v>356</v>
      </c>
      <c r="C2650" t="str">
        <f t="shared" ref="C2650:D2652" si="328">"06911020631"</f>
        <v>06911020631</v>
      </c>
      <c r="D2650" t="str">
        <f t="shared" si="328"/>
        <v>06911020631</v>
      </c>
      <c r="E2650" t="s">
        <v>52</v>
      </c>
      <c r="F2650">
        <v>2015</v>
      </c>
      <c r="G2650" t="str">
        <f>"                 219"</f>
        <v xml:space="preserve">                 219</v>
      </c>
      <c r="H2650" s="3">
        <v>42062</v>
      </c>
      <c r="I2650" s="3">
        <v>42068</v>
      </c>
      <c r="J2650" s="3">
        <v>42068</v>
      </c>
      <c r="K2650" s="3">
        <v>42128</v>
      </c>
      <c r="L2650"/>
      <c r="N2650"/>
      <c r="O2650">
        <v>144</v>
      </c>
      <c r="P2650">
        <v>280</v>
      </c>
      <c r="Q2650" s="4">
        <v>40320</v>
      </c>
      <c r="R2650">
        <v>0</v>
      </c>
      <c r="V2650">
        <v>0</v>
      </c>
      <c r="W2650">
        <v>0</v>
      </c>
      <c r="X2650">
        <v>0</v>
      </c>
      <c r="Y2650">
        <v>0</v>
      </c>
      <c r="Z2650">
        <v>0</v>
      </c>
      <c r="AA2650">
        <v>0</v>
      </c>
      <c r="AB2650" s="3">
        <v>42562</v>
      </c>
      <c r="AC2650" t="s">
        <v>53</v>
      </c>
      <c r="AD2650" t="s">
        <v>53</v>
      </c>
      <c r="AK2650">
        <v>0</v>
      </c>
      <c r="AU2650" s="3">
        <v>42408</v>
      </c>
      <c r="AV2650" s="3">
        <v>42408</v>
      </c>
      <c r="AW2650" t="s">
        <v>54</v>
      </c>
      <c r="AX2650" t="str">
        <f t="shared" si="325"/>
        <v>FOR</v>
      </c>
      <c r="AY2650" t="s">
        <v>55</v>
      </c>
    </row>
    <row r="2651" spans="1:51" hidden="1">
      <c r="A2651">
        <v>104059</v>
      </c>
      <c r="B2651" t="s">
        <v>356</v>
      </c>
      <c r="C2651" t="str">
        <f t="shared" si="328"/>
        <v>06911020631</v>
      </c>
      <c r="D2651" t="str">
        <f t="shared" si="328"/>
        <v>06911020631</v>
      </c>
      <c r="E2651" t="s">
        <v>52</v>
      </c>
      <c r="F2651">
        <v>2015</v>
      </c>
      <c r="G2651" t="str">
        <f>"                 241"</f>
        <v xml:space="preserve">                 241</v>
      </c>
      <c r="H2651" s="3">
        <v>42067</v>
      </c>
      <c r="I2651" s="3">
        <v>42081</v>
      </c>
      <c r="J2651" s="3">
        <v>42081</v>
      </c>
      <c r="K2651" s="3">
        <v>42141</v>
      </c>
      <c r="L2651"/>
      <c r="N2651"/>
      <c r="O2651" s="4">
        <v>1912</v>
      </c>
      <c r="P2651">
        <v>274</v>
      </c>
      <c r="Q2651" s="4">
        <v>523888</v>
      </c>
      <c r="R2651">
        <v>0</v>
      </c>
      <c r="V2651">
        <v>0</v>
      </c>
      <c r="W2651">
        <v>0</v>
      </c>
      <c r="X2651">
        <v>0</v>
      </c>
      <c r="Y2651">
        <v>0</v>
      </c>
      <c r="Z2651">
        <v>0</v>
      </c>
      <c r="AA2651">
        <v>0</v>
      </c>
      <c r="AB2651" s="3">
        <v>42562</v>
      </c>
      <c r="AC2651" t="s">
        <v>53</v>
      </c>
      <c r="AD2651" t="s">
        <v>53</v>
      </c>
      <c r="AK2651">
        <v>0</v>
      </c>
      <c r="AU2651" s="3">
        <v>42415</v>
      </c>
      <c r="AV2651" s="3">
        <v>42415</v>
      </c>
      <c r="AW2651" t="s">
        <v>54</v>
      </c>
      <c r="AX2651" t="str">
        <f t="shared" si="325"/>
        <v>FOR</v>
      </c>
      <c r="AY2651" t="s">
        <v>55</v>
      </c>
    </row>
    <row r="2652" spans="1:51">
      <c r="A2652">
        <v>104059</v>
      </c>
      <c r="B2652" t="s">
        <v>356</v>
      </c>
      <c r="C2652" t="str">
        <f t="shared" si="328"/>
        <v>06911020631</v>
      </c>
      <c r="D2652" t="str">
        <f t="shared" si="328"/>
        <v>06911020631</v>
      </c>
      <c r="E2652" t="s">
        <v>52</v>
      </c>
      <c r="F2652">
        <v>2015</v>
      </c>
      <c r="G2652" t="str">
        <f>"                 396"</f>
        <v xml:space="preserve">                 396</v>
      </c>
      <c r="H2652" s="3">
        <v>42206</v>
      </c>
      <c r="I2652" s="3">
        <v>42212</v>
      </c>
      <c r="J2652" s="3">
        <v>42209</v>
      </c>
      <c r="K2652" s="3">
        <v>42269</v>
      </c>
      <c r="L2652" s="5">
        <v>2012.8</v>
      </c>
      <c r="M2652">
        <v>258</v>
      </c>
      <c r="N2652" s="5">
        <v>519302.40000000002</v>
      </c>
      <c r="O2652" s="4">
        <v>2012.8</v>
      </c>
      <c r="P2652">
        <v>258</v>
      </c>
      <c r="Q2652" s="4">
        <v>519302.40000000002</v>
      </c>
      <c r="R2652">
        <v>442.82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 s="3">
        <v>42562</v>
      </c>
      <c r="AC2652" t="s">
        <v>53</v>
      </c>
      <c r="AD2652" t="s">
        <v>53</v>
      </c>
      <c r="AK2652">
        <v>442.82</v>
      </c>
      <c r="AU2652" s="3">
        <v>42527</v>
      </c>
      <c r="AV2652" s="3">
        <v>42527</v>
      </c>
      <c r="AW2652" t="s">
        <v>54</v>
      </c>
      <c r="AX2652" t="str">
        <f t="shared" si="325"/>
        <v>FOR</v>
      </c>
      <c r="AY2652" t="s">
        <v>55</v>
      </c>
    </row>
    <row r="2653" spans="1:51">
      <c r="A2653">
        <v>104082</v>
      </c>
      <c r="B2653" t="s">
        <v>357</v>
      </c>
      <c r="C2653" t="str">
        <f>"02723670960"</f>
        <v>02723670960</v>
      </c>
      <c r="D2653" t="str">
        <f>"02723670960"</f>
        <v>02723670960</v>
      </c>
      <c r="E2653" t="s">
        <v>52</v>
      </c>
      <c r="F2653">
        <v>2015</v>
      </c>
      <c r="G2653" t="str">
        <f>"           015010272"</f>
        <v xml:space="preserve">           015010272</v>
      </c>
      <c r="H2653" s="3">
        <v>42178</v>
      </c>
      <c r="I2653" s="3">
        <v>42180</v>
      </c>
      <c r="J2653" s="3">
        <v>42178</v>
      </c>
      <c r="K2653" s="3">
        <v>42238</v>
      </c>
      <c r="L2653" s="5">
        <v>15350.84</v>
      </c>
      <c r="M2653">
        <v>254</v>
      </c>
      <c r="N2653" s="5">
        <v>3899113.36</v>
      </c>
      <c r="O2653" s="4">
        <v>15350.84</v>
      </c>
      <c r="P2653">
        <v>254</v>
      </c>
      <c r="Q2653" s="4">
        <v>3899113.36</v>
      </c>
      <c r="R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 s="3">
        <v>42562</v>
      </c>
      <c r="AC2653" t="s">
        <v>53</v>
      </c>
      <c r="AD2653" t="s">
        <v>53</v>
      </c>
      <c r="AK2653">
        <v>0</v>
      </c>
      <c r="AU2653" s="3">
        <v>42492</v>
      </c>
      <c r="AV2653" s="3">
        <v>42492</v>
      </c>
      <c r="AW2653" t="s">
        <v>54</v>
      </c>
      <c r="AX2653" t="str">
        <f t="shared" si="325"/>
        <v>FOR</v>
      </c>
      <c r="AY2653" t="s">
        <v>55</v>
      </c>
    </row>
    <row r="2654" spans="1:51" hidden="1">
      <c r="A2654">
        <v>104083</v>
      </c>
      <c r="B2654" t="s">
        <v>358</v>
      </c>
      <c r="C2654" t="str">
        <f t="shared" ref="C2654:C2691" si="329">"02804530968"</f>
        <v>02804530968</v>
      </c>
      <c r="D2654" t="str">
        <f t="shared" ref="D2654:D2691" si="330">"06324460150"</f>
        <v>06324460150</v>
      </c>
      <c r="E2654" t="s">
        <v>52</v>
      </c>
      <c r="F2654">
        <v>2015</v>
      </c>
      <c r="G2654" t="str">
        <f>"          2152006552"</f>
        <v xml:space="preserve">          2152006552</v>
      </c>
      <c r="H2654" s="3">
        <v>42051</v>
      </c>
      <c r="I2654" s="3">
        <v>42073</v>
      </c>
      <c r="J2654" s="3">
        <v>42073</v>
      </c>
      <c r="K2654" s="3">
        <v>42133</v>
      </c>
      <c r="L2654"/>
      <c r="N2654"/>
      <c r="O2654">
        <v>14.2</v>
      </c>
      <c r="P2654">
        <v>275</v>
      </c>
      <c r="Q2654" s="4">
        <v>3905</v>
      </c>
      <c r="R2654">
        <v>0</v>
      </c>
      <c r="V2654">
        <v>0</v>
      </c>
      <c r="W2654">
        <v>0</v>
      </c>
      <c r="X2654">
        <v>0</v>
      </c>
      <c r="Y2654">
        <v>0</v>
      </c>
      <c r="Z2654">
        <v>0</v>
      </c>
      <c r="AA2654">
        <v>0</v>
      </c>
      <c r="AB2654" s="3">
        <v>42562</v>
      </c>
      <c r="AC2654" t="s">
        <v>53</v>
      </c>
      <c r="AD2654" t="s">
        <v>53</v>
      </c>
      <c r="AK2654">
        <v>0</v>
      </c>
      <c r="AU2654" s="3">
        <v>42408</v>
      </c>
      <c r="AV2654" s="3">
        <v>42408</v>
      </c>
      <c r="AW2654" t="s">
        <v>54</v>
      </c>
      <c r="AX2654" t="str">
        <f t="shared" si="325"/>
        <v>FOR</v>
      </c>
      <c r="AY2654" t="s">
        <v>55</v>
      </c>
    </row>
    <row r="2655" spans="1:51" hidden="1">
      <c r="A2655">
        <v>104083</v>
      </c>
      <c r="B2655" t="s">
        <v>358</v>
      </c>
      <c r="C2655" t="str">
        <f t="shared" si="329"/>
        <v>02804530968</v>
      </c>
      <c r="D2655" t="str">
        <f t="shared" si="330"/>
        <v>06324460150</v>
      </c>
      <c r="E2655" t="s">
        <v>52</v>
      </c>
      <c r="F2655">
        <v>2015</v>
      </c>
      <c r="G2655" t="str">
        <f>"          2152010100"</f>
        <v xml:space="preserve">          2152010100</v>
      </c>
      <c r="H2655" s="3">
        <v>42059</v>
      </c>
      <c r="I2655" s="3">
        <v>42073</v>
      </c>
      <c r="J2655" s="3">
        <v>42073</v>
      </c>
      <c r="K2655" s="3">
        <v>42133</v>
      </c>
      <c r="L2655"/>
      <c r="N2655"/>
      <c r="O2655">
        <v>409.5</v>
      </c>
      <c r="P2655">
        <v>275</v>
      </c>
      <c r="Q2655" s="4">
        <v>112612.5</v>
      </c>
      <c r="R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 s="3">
        <v>42562</v>
      </c>
      <c r="AC2655" t="s">
        <v>53</v>
      </c>
      <c r="AD2655" t="s">
        <v>53</v>
      </c>
      <c r="AK2655">
        <v>0</v>
      </c>
      <c r="AU2655" s="3">
        <v>42408</v>
      </c>
      <c r="AV2655" s="3">
        <v>42408</v>
      </c>
      <c r="AW2655" t="s">
        <v>54</v>
      </c>
      <c r="AX2655" t="str">
        <f t="shared" si="325"/>
        <v>FOR</v>
      </c>
      <c r="AY2655" t="s">
        <v>55</v>
      </c>
    </row>
    <row r="2656" spans="1:51" hidden="1">
      <c r="A2656">
        <v>104083</v>
      </c>
      <c r="B2656" t="s">
        <v>358</v>
      </c>
      <c r="C2656" t="str">
        <f t="shared" si="329"/>
        <v>02804530968</v>
      </c>
      <c r="D2656" t="str">
        <f t="shared" si="330"/>
        <v>06324460150</v>
      </c>
      <c r="E2656" t="s">
        <v>52</v>
      </c>
      <c r="F2656">
        <v>2015</v>
      </c>
      <c r="G2656" t="str">
        <f>"          2152010101"</f>
        <v xml:space="preserve">          2152010101</v>
      </c>
      <c r="H2656" s="3">
        <v>42059</v>
      </c>
      <c r="I2656" s="3">
        <v>42073</v>
      </c>
      <c r="J2656" s="3">
        <v>42073</v>
      </c>
      <c r="K2656" s="3">
        <v>42133</v>
      </c>
      <c r="L2656"/>
      <c r="N2656"/>
      <c r="O2656" s="4">
        <v>1859.2</v>
      </c>
      <c r="P2656">
        <v>275</v>
      </c>
      <c r="Q2656" s="4">
        <v>511280</v>
      </c>
      <c r="R2656">
        <v>0</v>
      </c>
      <c r="V2656">
        <v>0</v>
      </c>
      <c r="W2656">
        <v>0</v>
      </c>
      <c r="X2656">
        <v>0</v>
      </c>
      <c r="Y2656">
        <v>0</v>
      </c>
      <c r="Z2656">
        <v>0</v>
      </c>
      <c r="AA2656">
        <v>0</v>
      </c>
      <c r="AB2656" s="3">
        <v>42562</v>
      </c>
      <c r="AC2656" t="s">
        <v>53</v>
      </c>
      <c r="AD2656" t="s">
        <v>53</v>
      </c>
      <c r="AK2656">
        <v>0</v>
      </c>
      <c r="AU2656" s="3">
        <v>42408</v>
      </c>
      <c r="AV2656" s="3">
        <v>42408</v>
      </c>
      <c r="AW2656" t="s">
        <v>54</v>
      </c>
      <c r="AX2656" t="str">
        <f t="shared" si="325"/>
        <v>FOR</v>
      </c>
      <c r="AY2656" t="s">
        <v>55</v>
      </c>
    </row>
    <row r="2657" spans="1:51" hidden="1">
      <c r="A2657">
        <v>104083</v>
      </c>
      <c r="B2657" t="s">
        <v>358</v>
      </c>
      <c r="C2657" t="str">
        <f t="shared" si="329"/>
        <v>02804530968</v>
      </c>
      <c r="D2657" t="str">
        <f t="shared" si="330"/>
        <v>06324460150</v>
      </c>
      <c r="E2657" t="s">
        <v>52</v>
      </c>
      <c r="F2657">
        <v>2015</v>
      </c>
      <c r="G2657" t="str">
        <f>"          2152010433"</f>
        <v xml:space="preserve">          2152010433</v>
      </c>
      <c r="H2657" s="3">
        <v>42060</v>
      </c>
      <c r="I2657" s="3">
        <v>42073</v>
      </c>
      <c r="J2657" s="3">
        <v>42073</v>
      </c>
      <c r="K2657" s="3">
        <v>42133</v>
      </c>
      <c r="L2657"/>
      <c r="N2657"/>
      <c r="O2657">
        <v>342.9</v>
      </c>
      <c r="P2657">
        <v>275</v>
      </c>
      <c r="Q2657" s="4">
        <v>94297.5</v>
      </c>
      <c r="R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 s="3">
        <v>42562</v>
      </c>
      <c r="AC2657" t="s">
        <v>53</v>
      </c>
      <c r="AD2657" t="s">
        <v>53</v>
      </c>
      <c r="AK2657">
        <v>0</v>
      </c>
      <c r="AU2657" s="3">
        <v>42408</v>
      </c>
      <c r="AV2657" s="3">
        <v>42408</v>
      </c>
      <c r="AW2657" t="s">
        <v>54</v>
      </c>
      <c r="AX2657" t="str">
        <f t="shared" si="325"/>
        <v>FOR</v>
      </c>
      <c r="AY2657" t="s">
        <v>55</v>
      </c>
    </row>
    <row r="2658" spans="1:51" hidden="1">
      <c r="A2658">
        <v>104083</v>
      </c>
      <c r="B2658" t="s">
        <v>358</v>
      </c>
      <c r="C2658" t="str">
        <f t="shared" si="329"/>
        <v>02804530968</v>
      </c>
      <c r="D2658" t="str">
        <f t="shared" si="330"/>
        <v>06324460150</v>
      </c>
      <c r="E2658" t="s">
        <v>52</v>
      </c>
      <c r="F2658">
        <v>2015</v>
      </c>
      <c r="G2658" t="str">
        <f>"          2152010434"</f>
        <v xml:space="preserve">          2152010434</v>
      </c>
      <c r="H2658" s="3">
        <v>42060</v>
      </c>
      <c r="I2658" s="3">
        <v>42073</v>
      </c>
      <c r="J2658" s="3">
        <v>42073</v>
      </c>
      <c r="K2658" s="3">
        <v>42133</v>
      </c>
      <c r="L2658"/>
      <c r="N2658"/>
      <c r="O2658">
        <v>427.2</v>
      </c>
      <c r="P2658">
        <v>275</v>
      </c>
      <c r="Q2658" s="4">
        <v>117480</v>
      </c>
      <c r="R2658">
        <v>0</v>
      </c>
      <c r="V2658">
        <v>0</v>
      </c>
      <c r="W2658">
        <v>0</v>
      </c>
      <c r="X2658">
        <v>0</v>
      </c>
      <c r="Y2658">
        <v>0</v>
      </c>
      <c r="Z2658">
        <v>0</v>
      </c>
      <c r="AA2658">
        <v>0</v>
      </c>
      <c r="AB2658" s="3">
        <v>42562</v>
      </c>
      <c r="AC2658" t="s">
        <v>53</v>
      </c>
      <c r="AD2658" t="s">
        <v>53</v>
      </c>
      <c r="AK2658">
        <v>0</v>
      </c>
      <c r="AU2658" s="3">
        <v>42408</v>
      </c>
      <c r="AV2658" s="3">
        <v>42408</v>
      </c>
      <c r="AW2658" t="s">
        <v>54</v>
      </c>
      <c r="AX2658" t="str">
        <f t="shared" si="325"/>
        <v>FOR</v>
      </c>
      <c r="AY2658" t="s">
        <v>55</v>
      </c>
    </row>
    <row r="2659" spans="1:51" hidden="1">
      <c r="A2659">
        <v>104083</v>
      </c>
      <c r="B2659" t="s">
        <v>358</v>
      </c>
      <c r="C2659" t="str">
        <f t="shared" si="329"/>
        <v>02804530968</v>
      </c>
      <c r="D2659" t="str">
        <f t="shared" si="330"/>
        <v>06324460150</v>
      </c>
      <c r="E2659" t="s">
        <v>52</v>
      </c>
      <c r="F2659">
        <v>2015</v>
      </c>
      <c r="G2659" t="str">
        <f>"          2152010435"</f>
        <v xml:space="preserve">          2152010435</v>
      </c>
      <c r="H2659" s="3">
        <v>42060</v>
      </c>
      <c r="I2659" s="3">
        <v>42073</v>
      </c>
      <c r="J2659" s="3">
        <v>42073</v>
      </c>
      <c r="K2659" s="3">
        <v>42133</v>
      </c>
      <c r="L2659"/>
      <c r="N2659"/>
      <c r="O2659">
        <v>444</v>
      </c>
      <c r="P2659">
        <v>275</v>
      </c>
      <c r="Q2659" s="4">
        <v>122100</v>
      </c>
      <c r="R2659">
        <v>0</v>
      </c>
      <c r="V2659">
        <v>0</v>
      </c>
      <c r="W2659">
        <v>0</v>
      </c>
      <c r="X2659">
        <v>0</v>
      </c>
      <c r="Y2659">
        <v>0</v>
      </c>
      <c r="Z2659">
        <v>0</v>
      </c>
      <c r="AA2659">
        <v>0</v>
      </c>
      <c r="AB2659" s="3">
        <v>42562</v>
      </c>
      <c r="AC2659" t="s">
        <v>53</v>
      </c>
      <c r="AD2659" t="s">
        <v>53</v>
      </c>
      <c r="AK2659">
        <v>0</v>
      </c>
      <c r="AU2659" s="3">
        <v>42408</v>
      </c>
      <c r="AV2659" s="3">
        <v>42408</v>
      </c>
      <c r="AW2659" t="s">
        <v>54</v>
      </c>
      <c r="AX2659" t="str">
        <f t="shared" si="325"/>
        <v>FOR</v>
      </c>
      <c r="AY2659" t="s">
        <v>55</v>
      </c>
    </row>
    <row r="2660" spans="1:51" hidden="1">
      <c r="A2660">
        <v>104083</v>
      </c>
      <c r="B2660" t="s">
        <v>358</v>
      </c>
      <c r="C2660" t="str">
        <f t="shared" si="329"/>
        <v>02804530968</v>
      </c>
      <c r="D2660" t="str">
        <f t="shared" si="330"/>
        <v>06324460150</v>
      </c>
      <c r="E2660" t="s">
        <v>52</v>
      </c>
      <c r="F2660">
        <v>2015</v>
      </c>
      <c r="G2660" t="str">
        <f>"          2152010436"</f>
        <v xml:space="preserve">          2152010436</v>
      </c>
      <c r="H2660" s="3">
        <v>42060</v>
      </c>
      <c r="I2660" s="3">
        <v>42073</v>
      </c>
      <c r="J2660" s="3">
        <v>42073</v>
      </c>
      <c r="K2660" s="3">
        <v>42133</v>
      </c>
      <c r="L2660"/>
      <c r="N2660"/>
      <c r="O2660" s="4">
        <v>5590.5</v>
      </c>
      <c r="P2660">
        <v>275</v>
      </c>
      <c r="Q2660" s="4">
        <v>1537387.5</v>
      </c>
      <c r="R2660">
        <v>0</v>
      </c>
      <c r="V2660">
        <v>0</v>
      </c>
      <c r="W2660">
        <v>0</v>
      </c>
      <c r="X2660">
        <v>0</v>
      </c>
      <c r="Y2660">
        <v>0</v>
      </c>
      <c r="Z2660">
        <v>0</v>
      </c>
      <c r="AA2660">
        <v>0</v>
      </c>
      <c r="AB2660" s="3">
        <v>42562</v>
      </c>
      <c r="AC2660" t="s">
        <v>53</v>
      </c>
      <c r="AD2660" t="s">
        <v>53</v>
      </c>
      <c r="AK2660">
        <v>0</v>
      </c>
      <c r="AU2660" s="3">
        <v>42408</v>
      </c>
      <c r="AV2660" s="3">
        <v>42408</v>
      </c>
      <c r="AW2660" t="s">
        <v>54</v>
      </c>
      <c r="AX2660" t="str">
        <f t="shared" si="325"/>
        <v>FOR</v>
      </c>
      <c r="AY2660" t="s">
        <v>55</v>
      </c>
    </row>
    <row r="2661" spans="1:51" hidden="1">
      <c r="A2661">
        <v>104083</v>
      </c>
      <c r="B2661" t="s">
        <v>358</v>
      </c>
      <c r="C2661" t="str">
        <f t="shared" si="329"/>
        <v>02804530968</v>
      </c>
      <c r="D2661" t="str">
        <f t="shared" si="330"/>
        <v>06324460150</v>
      </c>
      <c r="E2661" t="s">
        <v>52</v>
      </c>
      <c r="F2661">
        <v>2015</v>
      </c>
      <c r="G2661" t="str">
        <f>"          2152010437"</f>
        <v xml:space="preserve">          2152010437</v>
      </c>
      <c r="H2661" s="3">
        <v>42060</v>
      </c>
      <c r="I2661" s="3">
        <v>42073</v>
      </c>
      <c r="J2661" s="3">
        <v>42073</v>
      </c>
      <c r="K2661" s="3">
        <v>42133</v>
      </c>
      <c r="L2661"/>
      <c r="N2661"/>
      <c r="O2661">
        <v>66</v>
      </c>
      <c r="P2661">
        <v>275</v>
      </c>
      <c r="Q2661" s="4">
        <v>18150</v>
      </c>
      <c r="R2661">
        <v>0</v>
      </c>
      <c r="V2661">
        <v>0</v>
      </c>
      <c r="W2661">
        <v>0</v>
      </c>
      <c r="X2661">
        <v>0</v>
      </c>
      <c r="Y2661">
        <v>0</v>
      </c>
      <c r="Z2661">
        <v>0</v>
      </c>
      <c r="AA2661">
        <v>0</v>
      </c>
      <c r="AB2661" s="3">
        <v>42562</v>
      </c>
      <c r="AC2661" t="s">
        <v>53</v>
      </c>
      <c r="AD2661" t="s">
        <v>53</v>
      </c>
      <c r="AK2661">
        <v>0</v>
      </c>
      <c r="AU2661" s="3">
        <v>42408</v>
      </c>
      <c r="AV2661" s="3">
        <v>42408</v>
      </c>
      <c r="AW2661" t="s">
        <v>54</v>
      </c>
      <c r="AX2661" t="str">
        <f t="shared" si="325"/>
        <v>FOR</v>
      </c>
      <c r="AY2661" t="s">
        <v>55</v>
      </c>
    </row>
    <row r="2662" spans="1:51" hidden="1">
      <c r="A2662">
        <v>104083</v>
      </c>
      <c r="B2662" t="s">
        <v>358</v>
      </c>
      <c r="C2662" t="str">
        <f t="shared" si="329"/>
        <v>02804530968</v>
      </c>
      <c r="D2662" t="str">
        <f t="shared" si="330"/>
        <v>06324460150</v>
      </c>
      <c r="E2662" t="s">
        <v>52</v>
      </c>
      <c r="F2662">
        <v>2015</v>
      </c>
      <c r="G2662" t="str">
        <f>"          2152011385"</f>
        <v xml:space="preserve">          2152011385</v>
      </c>
      <c r="H2662" s="3">
        <v>42062</v>
      </c>
      <c r="I2662" s="3">
        <v>42073</v>
      </c>
      <c r="J2662" s="3">
        <v>42073</v>
      </c>
      <c r="K2662" s="3">
        <v>42133</v>
      </c>
      <c r="L2662"/>
      <c r="N2662"/>
      <c r="O2662">
        <v>195</v>
      </c>
      <c r="P2662">
        <v>275</v>
      </c>
      <c r="Q2662" s="4">
        <v>53625</v>
      </c>
      <c r="R2662">
        <v>0</v>
      </c>
      <c r="V2662">
        <v>0</v>
      </c>
      <c r="W2662">
        <v>0</v>
      </c>
      <c r="X2662">
        <v>0</v>
      </c>
      <c r="Y2662">
        <v>0</v>
      </c>
      <c r="Z2662">
        <v>0</v>
      </c>
      <c r="AA2662">
        <v>0</v>
      </c>
      <c r="AB2662" s="3">
        <v>42562</v>
      </c>
      <c r="AC2662" t="s">
        <v>53</v>
      </c>
      <c r="AD2662" t="s">
        <v>53</v>
      </c>
      <c r="AK2662">
        <v>0</v>
      </c>
      <c r="AU2662" s="3">
        <v>42408</v>
      </c>
      <c r="AV2662" s="3">
        <v>42408</v>
      </c>
      <c r="AW2662" t="s">
        <v>54</v>
      </c>
      <c r="AX2662" t="str">
        <f t="shared" si="325"/>
        <v>FOR</v>
      </c>
      <c r="AY2662" t="s">
        <v>55</v>
      </c>
    </row>
    <row r="2663" spans="1:51" hidden="1">
      <c r="A2663">
        <v>104083</v>
      </c>
      <c r="B2663" t="s">
        <v>358</v>
      </c>
      <c r="C2663" t="str">
        <f t="shared" si="329"/>
        <v>02804530968</v>
      </c>
      <c r="D2663" t="str">
        <f t="shared" si="330"/>
        <v>06324460150</v>
      </c>
      <c r="E2663" t="s">
        <v>52</v>
      </c>
      <c r="F2663">
        <v>2015</v>
      </c>
      <c r="G2663" t="str">
        <f>"          2152012330"</f>
        <v xml:space="preserve">          2152012330</v>
      </c>
      <c r="H2663" s="3">
        <v>42073</v>
      </c>
      <c r="I2663" s="3">
        <v>42086</v>
      </c>
      <c r="J2663" s="3">
        <v>42086</v>
      </c>
      <c r="K2663" s="3">
        <v>42146</v>
      </c>
      <c r="L2663"/>
      <c r="N2663"/>
      <c r="O2663">
        <v>640.79999999999995</v>
      </c>
      <c r="P2663">
        <v>270</v>
      </c>
      <c r="Q2663" s="4">
        <v>173016</v>
      </c>
      <c r="R2663">
        <v>0</v>
      </c>
      <c r="V2663">
        <v>0</v>
      </c>
      <c r="W2663">
        <v>0</v>
      </c>
      <c r="X2663">
        <v>0</v>
      </c>
      <c r="Y2663">
        <v>0</v>
      </c>
      <c r="Z2663">
        <v>0</v>
      </c>
      <c r="AA2663">
        <v>0</v>
      </c>
      <c r="AB2663" s="3">
        <v>42562</v>
      </c>
      <c r="AC2663" t="s">
        <v>53</v>
      </c>
      <c r="AD2663" t="s">
        <v>53</v>
      </c>
      <c r="AK2663">
        <v>0</v>
      </c>
      <c r="AU2663" s="3">
        <v>42416</v>
      </c>
      <c r="AV2663" s="3">
        <v>42416</v>
      </c>
      <c r="AW2663" t="s">
        <v>54</v>
      </c>
      <c r="AX2663" t="str">
        <f t="shared" si="325"/>
        <v>FOR</v>
      </c>
      <c r="AY2663" t="s">
        <v>55</v>
      </c>
    </row>
    <row r="2664" spans="1:51" hidden="1">
      <c r="A2664">
        <v>104083</v>
      </c>
      <c r="B2664" t="s">
        <v>358</v>
      </c>
      <c r="C2664" t="str">
        <f t="shared" si="329"/>
        <v>02804530968</v>
      </c>
      <c r="D2664" t="str">
        <f t="shared" si="330"/>
        <v>06324460150</v>
      </c>
      <c r="E2664" t="s">
        <v>52</v>
      </c>
      <c r="F2664">
        <v>2015</v>
      </c>
      <c r="G2664" t="str">
        <f>"          2152012331"</f>
        <v xml:space="preserve">          2152012331</v>
      </c>
      <c r="H2664" s="3">
        <v>42073</v>
      </c>
      <c r="I2664" s="3">
        <v>42086</v>
      </c>
      <c r="J2664" s="3">
        <v>42086</v>
      </c>
      <c r="K2664" s="3">
        <v>42146</v>
      </c>
      <c r="L2664"/>
      <c r="N2664"/>
      <c r="O2664">
        <v>66</v>
      </c>
      <c r="P2664">
        <v>270</v>
      </c>
      <c r="Q2664" s="4">
        <v>17820</v>
      </c>
      <c r="R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 s="3">
        <v>42562</v>
      </c>
      <c r="AC2664" t="s">
        <v>53</v>
      </c>
      <c r="AD2664" t="s">
        <v>53</v>
      </c>
      <c r="AK2664">
        <v>0</v>
      </c>
      <c r="AU2664" s="3">
        <v>42416</v>
      </c>
      <c r="AV2664" s="3">
        <v>42416</v>
      </c>
      <c r="AW2664" t="s">
        <v>54</v>
      </c>
      <c r="AX2664" t="str">
        <f t="shared" si="325"/>
        <v>FOR</v>
      </c>
      <c r="AY2664" t="s">
        <v>55</v>
      </c>
    </row>
    <row r="2665" spans="1:51" hidden="1">
      <c r="A2665">
        <v>104083</v>
      </c>
      <c r="B2665" t="s">
        <v>358</v>
      </c>
      <c r="C2665" t="str">
        <f t="shared" si="329"/>
        <v>02804530968</v>
      </c>
      <c r="D2665" t="str">
        <f t="shared" si="330"/>
        <v>06324460150</v>
      </c>
      <c r="E2665" t="s">
        <v>52</v>
      </c>
      <c r="F2665">
        <v>2015</v>
      </c>
      <c r="G2665" t="str">
        <f>"          2152012846"</f>
        <v xml:space="preserve">          2152012846</v>
      </c>
      <c r="H2665" s="3">
        <v>42074</v>
      </c>
      <c r="I2665" s="3">
        <v>42086</v>
      </c>
      <c r="J2665" s="3">
        <v>42086</v>
      </c>
      <c r="K2665" s="3">
        <v>42146</v>
      </c>
      <c r="L2665"/>
      <c r="N2665"/>
      <c r="O2665">
        <v>191.7</v>
      </c>
      <c r="P2665">
        <v>270</v>
      </c>
      <c r="Q2665" s="4">
        <v>51759</v>
      </c>
      <c r="R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 s="3">
        <v>42562</v>
      </c>
      <c r="AC2665" t="s">
        <v>53</v>
      </c>
      <c r="AD2665" t="s">
        <v>53</v>
      </c>
      <c r="AK2665">
        <v>0</v>
      </c>
      <c r="AU2665" s="3">
        <v>42416</v>
      </c>
      <c r="AV2665" s="3">
        <v>42416</v>
      </c>
      <c r="AW2665" t="s">
        <v>54</v>
      </c>
      <c r="AX2665" t="str">
        <f t="shared" si="325"/>
        <v>FOR</v>
      </c>
      <c r="AY2665" t="s">
        <v>55</v>
      </c>
    </row>
    <row r="2666" spans="1:51" hidden="1">
      <c r="A2666">
        <v>104083</v>
      </c>
      <c r="B2666" t="s">
        <v>358</v>
      </c>
      <c r="C2666" t="str">
        <f t="shared" si="329"/>
        <v>02804530968</v>
      </c>
      <c r="D2666" t="str">
        <f t="shared" si="330"/>
        <v>06324460150</v>
      </c>
      <c r="E2666" t="s">
        <v>52</v>
      </c>
      <c r="F2666">
        <v>2015</v>
      </c>
      <c r="G2666" t="str">
        <f>"          2152015142"</f>
        <v xml:space="preserve">          2152015142</v>
      </c>
      <c r="H2666" s="3">
        <v>42082</v>
      </c>
      <c r="I2666" s="3">
        <v>42097</v>
      </c>
      <c r="J2666" s="3">
        <v>42097</v>
      </c>
      <c r="K2666" s="3">
        <v>42157</v>
      </c>
      <c r="L2666"/>
      <c r="N2666"/>
      <c r="O2666">
        <v>342</v>
      </c>
      <c r="P2666">
        <v>259</v>
      </c>
      <c r="Q2666" s="4">
        <v>88578</v>
      </c>
      <c r="R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 s="3">
        <v>42562</v>
      </c>
      <c r="AC2666" t="s">
        <v>53</v>
      </c>
      <c r="AD2666" t="s">
        <v>53</v>
      </c>
      <c r="AK2666">
        <v>0</v>
      </c>
      <c r="AU2666" s="3">
        <v>42416</v>
      </c>
      <c r="AV2666" s="3">
        <v>42416</v>
      </c>
      <c r="AW2666" t="s">
        <v>54</v>
      </c>
      <c r="AX2666" t="str">
        <f t="shared" si="325"/>
        <v>FOR</v>
      </c>
      <c r="AY2666" t="s">
        <v>55</v>
      </c>
    </row>
    <row r="2667" spans="1:51" hidden="1">
      <c r="A2667">
        <v>104083</v>
      </c>
      <c r="B2667" t="s">
        <v>358</v>
      </c>
      <c r="C2667" t="str">
        <f t="shared" si="329"/>
        <v>02804530968</v>
      </c>
      <c r="D2667" t="str">
        <f t="shared" si="330"/>
        <v>06324460150</v>
      </c>
      <c r="E2667" t="s">
        <v>52</v>
      </c>
      <c r="F2667">
        <v>2015</v>
      </c>
      <c r="G2667" t="str">
        <f>"          2152015352"</f>
        <v xml:space="preserve">          2152015352</v>
      </c>
      <c r="H2667" s="3">
        <v>42083</v>
      </c>
      <c r="I2667" s="3">
        <v>42097</v>
      </c>
      <c r="J2667" s="3">
        <v>42097</v>
      </c>
      <c r="K2667" s="3">
        <v>42157</v>
      </c>
      <c r="L2667"/>
      <c r="N2667"/>
      <c r="O2667">
        <v>239.4</v>
      </c>
      <c r="P2667">
        <v>259</v>
      </c>
      <c r="Q2667" s="4">
        <v>62004.6</v>
      </c>
      <c r="R2667">
        <v>0</v>
      </c>
      <c r="V2667">
        <v>0</v>
      </c>
      <c r="W2667">
        <v>0</v>
      </c>
      <c r="X2667">
        <v>0</v>
      </c>
      <c r="Y2667">
        <v>0</v>
      </c>
      <c r="Z2667">
        <v>0</v>
      </c>
      <c r="AA2667">
        <v>0</v>
      </c>
      <c r="AB2667" s="3">
        <v>42562</v>
      </c>
      <c r="AC2667" t="s">
        <v>53</v>
      </c>
      <c r="AD2667" t="s">
        <v>53</v>
      </c>
      <c r="AK2667">
        <v>0</v>
      </c>
      <c r="AU2667" s="3">
        <v>42416</v>
      </c>
      <c r="AV2667" s="3">
        <v>42416</v>
      </c>
      <c r="AW2667" t="s">
        <v>54</v>
      </c>
      <c r="AX2667" t="str">
        <f t="shared" si="325"/>
        <v>FOR</v>
      </c>
      <c r="AY2667" t="s">
        <v>55</v>
      </c>
    </row>
    <row r="2668" spans="1:51" hidden="1">
      <c r="A2668">
        <v>104083</v>
      </c>
      <c r="B2668" t="s">
        <v>358</v>
      </c>
      <c r="C2668" t="str">
        <f t="shared" si="329"/>
        <v>02804530968</v>
      </c>
      <c r="D2668" t="str">
        <f t="shared" si="330"/>
        <v>06324460150</v>
      </c>
      <c r="E2668" t="s">
        <v>52</v>
      </c>
      <c r="F2668">
        <v>2015</v>
      </c>
      <c r="G2668" t="str">
        <f>"          2152017431"</f>
        <v xml:space="preserve">          2152017431</v>
      </c>
      <c r="H2668" s="3">
        <v>42095</v>
      </c>
      <c r="I2668" s="3">
        <v>42107</v>
      </c>
      <c r="J2668" s="3">
        <v>42103</v>
      </c>
      <c r="K2668" s="3">
        <v>42163</v>
      </c>
      <c r="L2668"/>
      <c r="N2668"/>
      <c r="O2668">
        <v>409.5</v>
      </c>
      <c r="P2668">
        <v>290</v>
      </c>
      <c r="Q2668" s="4">
        <v>118755</v>
      </c>
      <c r="R2668">
        <v>0</v>
      </c>
      <c r="V2668">
        <v>0</v>
      </c>
      <c r="W2668">
        <v>0</v>
      </c>
      <c r="X2668">
        <v>0</v>
      </c>
      <c r="Y2668">
        <v>0</v>
      </c>
      <c r="Z2668">
        <v>0</v>
      </c>
      <c r="AA2668">
        <v>0</v>
      </c>
      <c r="AB2668" s="3">
        <v>42562</v>
      </c>
      <c r="AC2668" t="s">
        <v>53</v>
      </c>
      <c r="AD2668" t="s">
        <v>53</v>
      </c>
      <c r="AK2668">
        <v>0</v>
      </c>
      <c r="AU2668" s="3">
        <v>42453</v>
      </c>
      <c r="AV2668" s="3">
        <v>42453</v>
      </c>
      <c r="AW2668" t="s">
        <v>54</v>
      </c>
      <c r="AX2668" t="str">
        <f t="shared" si="325"/>
        <v>FOR</v>
      </c>
      <c r="AY2668" t="s">
        <v>55</v>
      </c>
    </row>
    <row r="2669" spans="1:51" hidden="1">
      <c r="A2669">
        <v>104083</v>
      </c>
      <c r="B2669" t="s">
        <v>358</v>
      </c>
      <c r="C2669" t="str">
        <f t="shared" si="329"/>
        <v>02804530968</v>
      </c>
      <c r="D2669" t="str">
        <f t="shared" si="330"/>
        <v>06324460150</v>
      </c>
      <c r="E2669" t="s">
        <v>52</v>
      </c>
      <c r="F2669">
        <v>2015</v>
      </c>
      <c r="G2669" t="str">
        <f>"          2152017432"</f>
        <v xml:space="preserve">          2152017432</v>
      </c>
      <c r="H2669" s="3">
        <v>42095</v>
      </c>
      <c r="I2669" s="3">
        <v>42107</v>
      </c>
      <c r="J2669" s="3">
        <v>42103</v>
      </c>
      <c r="K2669" s="3">
        <v>42163</v>
      </c>
      <c r="L2669"/>
      <c r="N2669"/>
      <c r="O2669" s="4">
        <v>1859.2</v>
      </c>
      <c r="P2669">
        <v>290</v>
      </c>
      <c r="Q2669" s="4">
        <v>539168</v>
      </c>
      <c r="R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 s="3">
        <v>42562</v>
      </c>
      <c r="AC2669" t="s">
        <v>53</v>
      </c>
      <c r="AD2669" t="s">
        <v>53</v>
      </c>
      <c r="AK2669">
        <v>0</v>
      </c>
      <c r="AU2669" s="3">
        <v>42453</v>
      </c>
      <c r="AV2669" s="3">
        <v>42453</v>
      </c>
      <c r="AW2669" t="s">
        <v>54</v>
      </c>
      <c r="AX2669" t="str">
        <f t="shared" si="325"/>
        <v>FOR</v>
      </c>
      <c r="AY2669" t="s">
        <v>55</v>
      </c>
    </row>
    <row r="2670" spans="1:51" hidden="1">
      <c r="A2670">
        <v>104083</v>
      </c>
      <c r="B2670" t="s">
        <v>358</v>
      </c>
      <c r="C2670" t="str">
        <f t="shared" si="329"/>
        <v>02804530968</v>
      </c>
      <c r="D2670" t="str">
        <f t="shared" si="330"/>
        <v>06324460150</v>
      </c>
      <c r="E2670" t="s">
        <v>52</v>
      </c>
      <c r="F2670">
        <v>2015</v>
      </c>
      <c r="G2670" t="str">
        <f>"          2152018213"</f>
        <v xml:space="preserve">          2152018213</v>
      </c>
      <c r="H2670" s="3">
        <v>42101</v>
      </c>
      <c r="I2670" s="3">
        <v>42107</v>
      </c>
      <c r="J2670" s="3">
        <v>42103</v>
      </c>
      <c r="K2670" s="3">
        <v>42163</v>
      </c>
      <c r="L2670"/>
      <c r="N2670"/>
      <c r="O2670" s="4">
        <v>2710.1</v>
      </c>
      <c r="P2670">
        <v>290</v>
      </c>
      <c r="Q2670" s="4">
        <v>785929</v>
      </c>
      <c r="R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 s="3">
        <v>42562</v>
      </c>
      <c r="AC2670" t="s">
        <v>53</v>
      </c>
      <c r="AD2670" t="s">
        <v>53</v>
      </c>
      <c r="AK2670">
        <v>0</v>
      </c>
      <c r="AU2670" s="3">
        <v>42453</v>
      </c>
      <c r="AV2670" s="3">
        <v>42453</v>
      </c>
      <c r="AW2670" t="s">
        <v>54</v>
      </c>
      <c r="AX2670" t="str">
        <f t="shared" si="325"/>
        <v>FOR</v>
      </c>
      <c r="AY2670" t="s">
        <v>55</v>
      </c>
    </row>
    <row r="2671" spans="1:51" hidden="1">
      <c r="A2671">
        <v>104083</v>
      </c>
      <c r="B2671" t="s">
        <v>358</v>
      </c>
      <c r="C2671" t="str">
        <f t="shared" si="329"/>
        <v>02804530968</v>
      </c>
      <c r="D2671" t="str">
        <f t="shared" si="330"/>
        <v>06324460150</v>
      </c>
      <c r="E2671" t="s">
        <v>52</v>
      </c>
      <c r="F2671">
        <v>2015</v>
      </c>
      <c r="G2671" t="str">
        <f>"          2152018214"</f>
        <v xml:space="preserve">          2152018214</v>
      </c>
      <c r="H2671" s="3">
        <v>42101</v>
      </c>
      <c r="I2671" s="3">
        <v>42107</v>
      </c>
      <c r="J2671" s="3">
        <v>42103</v>
      </c>
      <c r="K2671" s="3">
        <v>42163</v>
      </c>
      <c r="L2671"/>
      <c r="N2671"/>
      <c r="O2671">
        <v>495</v>
      </c>
      <c r="P2671">
        <v>290</v>
      </c>
      <c r="Q2671" s="4">
        <v>143550</v>
      </c>
      <c r="R2671">
        <v>0</v>
      </c>
      <c r="V2671">
        <v>0</v>
      </c>
      <c r="W2671">
        <v>0</v>
      </c>
      <c r="X2671">
        <v>0</v>
      </c>
      <c r="Y2671">
        <v>0</v>
      </c>
      <c r="Z2671">
        <v>0</v>
      </c>
      <c r="AA2671">
        <v>0</v>
      </c>
      <c r="AB2671" s="3">
        <v>42562</v>
      </c>
      <c r="AC2671" t="s">
        <v>53</v>
      </c>
      <c r="AD2671" t="s">
        <v>53</v>
      </c>
      <c r="AK2671">
        <v>0</v>
      </c>
      <c r="AU2671" s="3">
        <v>42453</v>
      </c>
      <c r="AV2671" s="3">
        <v>42453</v>
      </c>
      <c r="AW2671" t="s">
        <v>54</v>
      </c>
      <c r="AX2671" t="str">
        <f t="shared" si="325"/>
        <v>FOR</v>
      </c>
      <c r="AY2671" t="s">
        <v>55</v>
      </c>
    </row>
    <row r="2672" spans="1:51" hidden="1">
      <c r="A2672">
        <v>104083</v>
      </c>
      <c r="B2672" t="s">
        <v>358</v>
      </c>
      <c r="C2672" t="str">
        <f t="shared" si="329"/>
        <v>02804530968</v>
      </c>
      <c r="D2672" t="str">
        <f t="shared" si="330"/>
        <v>06324460150</v>
      </c>
      <c r="E2672" t="s">
        <v>52</v>
      </c>
      <c r="F2672">
        <v>2015</v>
      </c>
      <c r="G2672" t="str">
        <f>"          2152018493"</f>
        <v xml:space="preserve">          2152018493</v>
      </c>
      <c r="H2672" s="3">
        <v>42102</v>
      </c>
      <c r="I2672" s="3">
        <v>42107</v>
      </c>
      <c r="J2672" s="3">
        <v>42103</v>
      </c>
      <c r="K2672" s="3">
        <v>42163</v>
      </c>
      <c r="L2672"/>
      <c r="N2672"/>
      <c r="O2672">
        <v>213.9</v>
      </c>
      <c r="P2672">
        <v>290</v>
      </c>
      <c r="Q2672" s="4">
        <v>62031</v>
      </c>
      <c r="R2672">
        <v>0</v>
      </c>
      <c r="V2672">
        <v>0</v>
      </c>
      <c r="W2672">
        <v>0</v>
      </c>
      <c r="X2672">
        <v>0</v>
      </c>
      <c r="Y2672">
        <v>0</v>
      </c>
      <c r="Z2672">
        <v>0</v>
      </c>
      <c r="AA2672">
        <v>0</v>
      </c>
      <c r="AB2672" s="3">
        <v>42562</v>
      </c>
      <c r="AC2672" t="s">
        <v>53</v>
      </c>
      <c r="AD2672" t="s">
        <v>53</v>
      </c>
      <c r="AK2672">
        <v>0</v>
      </c>
      <c r="AU2672" s="3">
        <v>42453</v>
      </c>
      <c r="AV2672" s="3">
        <v>42453</v>
      </c>
      <c r="AW2672" t="s">
        <v>54</v>
      </c>
      <c r="AX2672" t="str">
        <f t="shared" si="325"/>
        <v>FOR</v>
      </c>
      <c r="AY2672" t="s">
        <v>55</v>
      </c>
    </row>
    <row r="2673" spans="1:51" hidden="1">
      <c r="A2673">
        <v>104083</v>
      </c>
      <c r="B2673" t="s">
        <v>358</v>
      </c>
      <c r="C2673" t="str">
        <f t="shared" si="329"/>
        <v>02804530968</v>
      </c>
      <c r="D2673" t="str">
        <f t="shared" si="330"/>
        <v>06324460150</v>
      </c>
      <c r="E2673" t="s">
        <v>52</v>
      </c>
      <c r="F2673">
        <v>2015</v>
      </c>
      <c r="G2673" t="str">
        <f>"          2152019035"</f>
        <v xml:space="preserve">          2152019035</v>
      </c>
      <c r="H2673" s="3">
        <v>42104</v>
      </c>
      <c r="I2673" s="3">
        <v>42108</v>
      </c>
      <c r="J2673" s="3">
        <v>42107</v>
      </c>
      <c r="K2673" s="3">
        <v>42167</v>
      </c>
      <c r="L2673"/>
      <c r="N2673"/>
      <c r="O2673">
        <v>90</v>
      </c>
      <c r="P2673">
        <v>286</v>
      </c>
      <c r="Q2673" s="4">
        <v>25740</v>
      </c>
      <c r="R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 s="3">
        <v>42562</v>
      </c>
      <c r="AC2673" t="s">
        <v>53</v>
      </c>
      <c r="AD2673" t="s">
        <v>53</v>
      </c>
      <c r="AK2673">
        <v>0</v>
      </c>
      <c r="AU2673" s="3">
        <v>42453</v>
      </c>
      <c r="AV2673" s="3">
        <v>42453</v>
      </c>
      <c r="AW2673" t="s">
        <v>54</v>
      </c>
      <c r="AX2673" t="str">
        <f t="shared" si="325"/>
        <v>FOR</v>
      </c>
      <c r="AY2673" t="s">
        <v>55</v>
      </c>
    </row>
    <row r="2674" spans="1:51" hidden="1">
      <c r="A2674">
        <v>104083</v>
      </c>
      <c r="B2674" t="s">
        <v>358</v>
      </c>
      <c r="C2674" t="str">
        <f t="shared" si="329"/>
        <v>02804530968</v>
      </c>
      <c r="D2674" t="str">
        <f t="shared" si="330"/>
        <v>06324460150</v>
      </c>
      <c r="E2674" t="s">
        <v>52</v>
      </c>
      <c r="F2674">
        <v>2015</v>
      </c>
      <c r="G2674" t="str">
        <f>"          2152019323"</f>
        <v xml:space="preserve">          2152019323</v>
      </c>
      <c r="H2674" s="3">
        <v>42107</v>
      </c>
      <c r="I2674" s="3">
        <v>42115</v>
      </c>
      <c r="J2674" s="3">
        <v>42110</v>
      </c>
      <c r="K2674" s="3">
        <v>42170</v>
      </c>
      <c r="L2674"/>
      <c r="N2674"/>
      <c r="O2674">
        <v>499.1</v>
      </c>
      <c r="P2674">
        <v>283</v>
      </c>
      <c r="Q2674" s="4">
        <v>141245.29999999999</v>
      </c>
      <c r="R2674">
        <v>0</v>
      </c>
      <c r="V2674">
        <v>0</v>
      </c>
      <c r="W2674">
        <v>0</v>
      </c>
      <c r="X2674">
        <v>0</v>
      </c>
      <c r="Y2674">
        <v>0</v>
      </c>
      <c r="Z2674">
        <v>0</v>
      </c>
      <c r="AA2674">
        <v>0</v>
      </c>
      <c r="AB2674" s="3">
        <v>42562</v>
      </c>
      <c r="AC2674" t="s">
        <v>53</v>
      </c>
      <c r="AD2674" t="s">
        <v>53</v>
      </c>
      <c r="AK2674">
        <v>0</v>
      </c>
      <c r="AU2674" s="3">
        <v>42453</v>
      </c>
      <c r="AV2674" s="3">
        <v>42453</v>
      </c>
      <c r="AW2674" t="s">
        <v>54</v>
      </c>
      <c r="AX2674" t="str">
        <f t="shared" si="325"/>
        <v>FOR</v>
      </c>
      <c r="AY2674" t="s">
        <v>55</v>
      </c>
    </row>
    <row r="2675" spans="1:51" hidden="1">
      <c r="A2675">
        <v>104083</v>
      </c>
      <c r="B2675" t="s">
        <v>358</v>
      </c>
      <c r="C2675" t="str">
        <f t="shared" si="329"/>
        <v>02804530968</v>
      </c>
      <c r="D2675" t="str">
        <f t="shared" si="330"/>
        <v>06324460150</v>
      </c>
      <c r="E2675" t="s">
        <v>52</v>
      </c>
      <c r="F2675">
        <v>2015</v>
      </c>
      <c r="G2675" t="str">
        <f>"          2152019579"</f>
        <v xml:space="preserve">          2152019579</v>
      </c>
      <c r="H2675" s="3">
        <v>42108</v>
      </c>
      <c r="I2675" s="3">
        <v>42115</v>
      </c>
      <c r="J2675" s="3">
        <v>42110</v>
      </c>
      <c r="K2675" s="3">
        <v>42170</v>
      </c>
      <c r="L2675"/>
      <c r="N2675"/>
      <c r="O2675">
        <v>195</v>
      </c>
      <c r="P2675">
        <v>283</v>
      </c>
      <c r="Q2675" s="4">
        <v>55185</v>
      </c>
      <c r="R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 s="3">
        <v>42562</v>
      </c>
      <c r="AC2675" t="s">
        <v>53</v>
      </c>
      <c r="AD2675" t="s">
        <v>53</v>
      </c>
      <c r="AK2675">
        <v>0</v>
      </c>
      <c r="AU2675" s="3">
        <v>42453</v>
      </c>
      <c r="AV2675" s="3">
        <v>42453</v>
      </c>
      <c r="AW2675" t="s">
        <v>54</v>
      </c>
      <c r="AX2675" t="str">
        <f t="shared" si="325"/>
        <v>FOR</v>
      </c>
      <c r="AY2675" t="s">
        <v>55</v>
      </c>
    </row>
    <row r="2676" spans="1:51" hidden="1">
      <c r="A2676">
        <v>104083</v>
      </c>
      <c r="B2676" t="s">
        <v>358</v>
      </c>
      <c r="C2676" t="str">
        <f t="shared" si="329"/>
        <v>02804530968</v>
      </c>
      <c r="D2676" t="str">
        <f t="shared" si="330"/>
        <v>06324460150</v>
      </c>
      <c r="E2676" t="s">
        <v>52</v>
      </c>
      <c r="F2676">
        <v>2015</v>
      </c>
      <c r="G2676" t="str">
        <f>"          2152022132"</f>
        <v xml:space="preserve">          2152022132</v>
      </c>
      <c r="H2676" s="3">
        <v>42121</v>
      </c>
      <c r="I2676" s="3">
        <v>42123</v>
      </c>
      <c r="J2676" s="3">
        <v>42123</v>
      </c>
      <c r="K2676" s="3">
        <v>42183</v>
      </c>
      <c r="L2676"/>
      <c r="N2676"/>
      <c r="O2676">
        <v>174</v>
      </c>
      <c r="P2676">
        <v>270</v>
      </c>
      <c r="Q2676" s="4">
        <v>46980</v>
      </c>
      <c r="R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 s="3">
        <v>42562</v>
      </c>
      <c r="AC2676" t="s">
        <v>53</v>
      </c>
      <c r="AD2676" t="s">
        <v>53</v>
      </c>
      <c r="AK2676">
        <v>0</v>
      </c>
      <c r="AU2676" s="3">
        <v>42453</v>
      </c>
      <c r="AV2676" s="3">
        <v>42453</v>
      </c>
      <c r="AW2676" t="s">
        <v>54</v>
      </c>
      <c r="AX2676" t="str">
        <f t="shared" si="325"/>
        <v>FOR</v>
      </c>
      <c r="AY2676" t="s">
        <v>55</v>
      </c>
    </row>
    <row r="2677" spans="1:51" hidden="1">
      <c r="A2677">
        <v>104083</v>
      </c>
      <c r="B2677" t="s">
        <v>358</v>
      </c>
      <c r="C2677" t="str">
        <f t="shared" si="329"/>
        <v>02804530968</v>
      </c>
      <c r="D2677" t="str">
        <f t="shared" si="330"/>
        <v>06324460150</v>
      </c>
      <c r="E2677" t="s">
        <v>52</v>
      </c>
      <c r="F2677">
        <v>2015</v>
      </c>
      <c r="G2677" t="str">
        <f>"          2152022133"</f>
        <v xml:space="preserve">          2152022133</v>
      </c>
      <c r="H2677" s="3">
        <v>42121</v>
      </c>
      <c r="I2677" s="3">
        <v>42123</v>
      </c>
      <c r="J2677" s="3">
        <v>42123</v>
      </c>
      <c r="K2677" s="3">
        <v>42183</v>
      </c>
      <c r="L2677"/>
      <c r="N2677"/>
      <c r="O2677">
        <v>560</v>
      </c>
      <c r="P2677">
        <v>270</v>
      </c>
      <c r="Q2677" s="4">
        <v>151200</v>
      </c>
      <c r="R2677">
        <v>0</v>
      </c>
      <c r="V2677">
        <v>0</v>
      </c>
      <c r="W2677">
        <v>0</v>
      </c>
      <c r="X2677">
        <v>0</v>
      </c>
      <c r="Y2677">
        <v>0</v>
      </c>
      <c r="Z2677">
        <v>0</v>
      </c>
      <c r="AA2677">
        <v>0</v>
      </c>
      <c r="AB2677" s="3">
        <v>42562</v>
      </c>
      <c r="AC2677" t="s">
        <v>53</v>
      </c>
      <c r="AD2677" t="s">
        <v>53</v>
      </c>
      <c r="AK2677">
        <v>0</v>
      </c>
      <c r="AU2677" s="3">
        <v>42453</v>
      </c>
      <c r="AV2677" s="3">
        <v>42453</v>
      </c>
      <c r="AW2677" t="s">
        <v>54</v>
      </c>
      <c r="AX2677" t="str">
        <f t="shared" si="325"/>
        <v>FOR</v>
      </c>
      <c r="AY2677" t="s">
        <v>55</v>
      </c>
    </row>
    <row r="2678" spans="1:51" hidden="1">
      <c r="A2678">
        <v>104083</v>
      </c>
      <c r="B2678" t="s">
        <v>358</v>
      </c>
      <c r="C2678" t="str">
        <f t="shared" si="329"/>
        <v>02804530968</v>
      </c>
      <c r="D2678" t="str">
        <f t="shared" si="330"/>
        <v>06324460150</v>
      </c>
      <c r="E2678" t="s">
        <v>52</v>
      </c>
      <c r="F2678">
        <v>2015</v>
      </c>
      <c r="G2678" t="str">
        <f>"          2152023261"</f>
        <v xml:space="preserve">          2152023261</v>
      </c>
      <c r="H2678" s="3">
        <v>42124</v>
      </c>
      <c r="I2678" s="3">
        <v>42128</v>
      </c>
      <c r="J2678" s="3">
        <v>42124</v>
      </c>
      <c r="K2678" s="3">
        <v>42184</v>
      </c>
      <c r="L2678"/>
      <c r="N2678"/>
      <c r="O2678">
        <v>854.4</v>
      </c>
      <c r="P2678">
        <v>269</v>
      </c>
      <c r="Q2678" s="4">
        <v>229833.60000000001</v>
      </c>
      <c r="R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 s="3">
        <v>42562</v>
      </c>
      <c r="AC2678" t="s">
        <v>53</v>
      </c>
      <c r="AD2678" t="s">
        <v>53</v>
      </c>
      <c r="AK2678">
        <v>0</v>
      </c>
      <c r="AU2678" s="3">
        <v>42453</v>
      </c>
      <c r="AV2678" s="3">
        <v>42453</v>
      </c>
      <c r="AW2678" t="s">
        <v>54</v>
      </c>
      <c r="AX2678" t="str">
        <f t="shared" si="325"/>
        <v>FOR</v>
      </c>
      <c r="AY2678" t="s">
        <v>55</v>
      </c>
    </row>
    <row r="2679" spans="1:51" hidden="1">
      <c r="A2679">
        <v>104083</v>
      </c>
      <c r="B2679" t="s">
        <v>358</v>
      </c>
      <c r="C2679" t="str">
        <f t="shared" si="329"/>
        <v>02804530968</v>
      </c>
      <c r="D2679" t="str">
        <f t="shared" si="330"/>
        <v>06324460150</v>
      </c>
      <c r="E2679" t="s">
        <v>52</v>
      </c>
      <c r="F2679">
        <v>2015</v>
      </c>
      <c r="G2679" t="str">
        <f>"          2152023830"</f>
        <v xml:space="preserve">          2152023830</v>
      </c>
      <c r="H2679" s="3">
        <v>42129</v>
      </c>
      <c r="I2679" s="3">
        <v>42131</v>
      </c>
      <c r="J2679" s="3">
        <v>42130</v>
      </c>
      <c r="K2679" s="3">
        <v>42190</v>
      </c>
      <c r="L2679"/>
      <c r="N2679"/>
      <c r="O2679">
        <v>273</v>
      </c>
      <c r="P2679">
        <v>263</v>
      </c>
      <c r="Q2679" s="4">
        <v>71799</v>
      </c>
      <c r="R2679">
        <v>0</v>
      </c>
      <c r="V2679">
        <v>0</v>
      </c>
      <c r="W2679">
        <v>0</v>
      </c>
      <c r="X2679">
        <v>0</v>
      </c>
      <c r="Y2679">
        <v>0</v>
      </c>
      <c r="Z2679">
        <v>0</v>
      </c>
      <c r="AA2679">
        <v>0</v>
      </c>
      <c r="AB2679" s="3">
        <v>42562</v>
      </c>
      <c r="AC2679" t="s">
        <v>53</v>
      </c>
      <c r="AD2679" t="s">
        <v>53</v>
      </c>
      <c r="AK2679">
        <v>0</v>
      </c>
      <c r="AU2679" s="3">
        <v>42453</v>
      </c>
      <c r="AV2679" s="3">
        <v>42453</v>
      </c>
      <c r="AW2679" t="s">
        <v>54</v>
      </c>
      <c r="AX2679" t="str">
        <f t="shared" si="325"/>
        <v>FOR</v>
      </c>
      <c r="AY2679" t="s">
        <v>55</v>
      </c>
    </row>
    <row r="2680" spans="1:51" hidden="1">
      <c r="A2680">
        <v>104083</v>
      </c>
      <c r="B2680" t="s">
        <v>358</v>
      </c>
      <c r="C2680" t="str">
        <f t="shared" si="329"/>
        <v>02804530968</v>
      </c>
      <c r="D2680" t="str">
        <f t="shared" si="330"/>
        <v>06324460150</v>
      </c>
      <c r="E2680" t="s">
        <v>52</v>
      </c>
      <c r="F2680">
        <v>2015</v>
      </c>
      <c r="G2680" t="str">
        <f>"          2152023831"</f>
        <v xml:space="preserve">          2152023831</v>
      </c>
      <c r="H2680" s="3">
        <v>42129</v>
      </c>
      <c r="I2680" s="3">
        <v>42131</v>
      </c>
      <c r="J2680" s="3">
        <v>42130</v>
      </c>
      <c r="K2680" s="3">
        <v>42190</v>
      </c>
      <c r="L2680"/>
      <c r="N2680"/>
      <c r="O2680" s="4">
        <v>1508</v>
      </c>
      <c r="P2680">
        <v>263</v>
      </c>
      <c r="Q2680" s="4">
        <v>396604</v>
      </c>
      <c r="R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 s="3">
        <v>42562</v>
      </c>
      <c r="AC2680" t="s">
        <v>53</v>
      </c>
      <c r="AD2680" t="s">
        <v>53</v>
      </c>
      <c r="AK2680">
        <v>0</v>
      </c>
      <c r="AU2680" s="3">
        <v>42453</v>
      </c>
      <c r="AV2680" s="3">
        <v>42453</v>
      </c>
      <c r="AW2680" t="s">
        <v>54</v>
      </c>
      <c r="AX2680" t="str">
        <f t="shared" ref="AX2680:AX2743" si="331">"FOR"</f>
        <v>FOR</v>
      </c>
      <c r="AY2680" t="s">
        <v>55</v>
      </c>
    </row>
    <row r="2681" spans="1:51" hidden="1">
      <c r="A2681">
        <v>104083</v>
      </c>
      <c r="B2681" t="s">
        <v>358</v>
      </c>
      <c r="C2681" t="str">
        <f t="shared" si="329"/>
        <v>02804530968</v>
      </c>
      <c r="D2681" t="str">
        <f t="shared" si="330"/>
        <v>06324460150</v>
      </c>
      <c r="E2681" t="s">
        <v>52</v>
      </c>
      <c r="F2681">
        <v>2015</v>
      </c>
      <c r="G2681" t="str">
        <f>"          2152023832"</f>
        <v xml:space="preserve">          2152023832</v>
      </c>
      <c r="H2681" s="3">
        <v>42129</v>
      </c>
      <c r="I2681" s="3">
        <v>42131</v>
      </c>
      <c r="J2681" s="3">
        <v>42130</v>
      </c>
      <c r="K2681" s="3">
        <v>42190</v>
      </c>
      <c r="L2681"/>
      <c r="N2681"/>
      <c r="O2681">
        <v>420</v>
      </c>
      <c r="P2681">
        <v>263</v>
      </c>
      <c r="Q2681" s="4">
        <v>110460</v>
      </c>
      <c r="R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 s="3">
        <v>42562</v>
      </c>
      <c r="AC2681" t="s">
        <v>53</v>
      </c>
      <c r="AD2681" t="s">
        <v>53</v>
      </c>
      <c r="AK2681">
        <v>0</v>
      </c>
      <c r="AU2681" s="3">
        <v>42453</v>
      </c>
      <c r="AV2681" s="3">
        <v>42453</v>
      </c>
      <c r="AW2681" t="s">
        <v>54</v>
      </c>
      <c r="AX2681" t="str">
        <f t="shared" si="331"/>
        <v>FOR</v>
      </c>
      <c r="AY2681" t="s">
        <v>55</v>
      </c>
    </row>
    <row r="2682" spans="1:51" hidden="1">
      <c r="A2682">
        <v>104083</v>
      </c>
      <c r="B2682" t="s">
        <v>358</v>
      </c>
      <c r="C2682" t="str">
        <f t="shared" si="329"/>
        <v>02804530968</v>
      </c>
      <c r="D2682" t="str">
        <f t="shared" si="330"/>
        <v>06324460150</v>
      </c>
      <c r="E2682" t="s">
        <v>52</v>
      </c>
      <c r="F2682">
        <v>2015</v>
      </c>
      <c r="G2682" t="str">
        <f>"          2152023833"</f>
        <v xml:space="preserve">          2152023833</v>
      </c>
      <c r="H2682" s="3">
        <v>42129</v>
      </c>
      <c r="I2682" s="3">
        <v>42131</v>
      </c>
      <c r="J2682" s="3">
        <v>42130</v>
      </c>
      <c r="K2682" s="3">
        <v>42190</v>
      </c>
      <c r="L2682"/>
      <c r="N2682"/>
      <c r="O2682">
        <v>57</v>
      </c>
      <c r="P2682">
        <v>263</v>
      </c>
      <c r="Q2682" s="4">
        <v>14991</v>
      </c>
      <c r="R2682">
        <v>0</v>
      </c>
      <c r="V2682">
        <v>0</v>
      </c>
      <c r="W2682">
        <v>0</v>
      </c>
      <c r="X2682">
        <v>0</v>
      </c>
      <c r="Y2682">
        <v>0</v>
      </c>
      <c r="Z2682">
        <v>0</v>
      </c>
      <c r="AA2682">
        <v>0</v>
      </c>
      <c r="AB2682" s="3">
        <v>42562</v>
      </c>
      <c r="AC2682" t="s">
        <v>53</v>
      </c>
      <c r="AD2682" t="s">
        <v>53</v>
      </c>
      <c r="AK2682">
        <v>0</v>
      </c>
      <c r="AU2682" s="3">
        <v>42453</v>
      </c>
      <c r="AV2682" s="3">
        <v>42453</v>
      </c>
      <c r="AW2682" t="s">
        <v>54</v>
      </c>
      <c r="AX2682" t="str">
        <f t="shared" si="331"/>
        <v>FOR</v>
      </c>
      <c r="AY2682" t="s">
        <v>55</v>
      </c>
    </row>
    <row r="2683" spans="1:51" hidden="1">
      <c r="A2683">
        <v>104083</v>
      </c>
      <c r="B2683" t="s">
        <v>358</v>
      </c>
      <c r="C2683" t="str">
        <f t="shared" si="329"/>
        <v>02804530968</v>
      </c>
      <c r="D2683" t="str">
        <f t="shared" si="330"/>
        <v>06324460150</v>
      </c>
      <c r="E2683" t="s">
        <v>52</v>
      </c>
      <c r="F2683">
        <v>2015</v>
      </c>
      <c r="G2683" t="str">
        <f>"          2152023834"</f>
        <v xml:space="preserve">          2152023834</v>
      </c>
      <c r="H2683" s="3">
        <v>42129</v>
      </c>
      <c r="I2683" s="3">
        <v>42131</v>
      </c>
      <c r="J2683" s="3">
        <v>42130</v>
      </c>
      <c r="K2683" s="3">
        <v>42190</v>
      </c>
      <c r="L2683"/>
      <c r="N2683"/>
      <c r="O2683">
        <v>666</v>
      </c>
      <c r="P2683">
        <v>263</v>
      </c>
      <c r="Q2683" s="4">
        <v>175158</v>
      </c>
      <c r="R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 s="3">
        <v>42562</v>
      </c>
      <c r="AC2683" t="s">
        <v>53</v>
      </c>
      <c r="AD2683" t="s">
        <v>53</v>
      </c>
      <c r="AK2683">
        <v>0</v>
      </c>
      <c r="AU2683" s="3">
        <v>42453</v>
      </c>
      <c r="AV2683" s="3">
        <v>42453</v>
      </c>
      <c r="AW2683" t="s">
        <v>54</v>
      </c>
      <c r="AX2683" t="str">
        <f t="shared" si="331"/>
        <v>FOR</v>
      </c>
      <c r="AY2683" t="s">
        <v>55</v>
      </c>
    </row>
    <row r="2684" spans="1:51" hidden="1">
      <c r="A2684">
        <v>104083</v>
      </c>
      <c r="B2684" t="s">
        <v>358</v>
      </c>
      <c r="C2684" t="str">
        <f t="shared" si="329"/>
        <v>02804530968</v>
      </c>
      <c r="D2684" t="str">
        <f t="shared" si="330"/>
        <v>06324460150</v>
      </c>
      <c r="E2684" t="s">
        <v>52</v>
      </c>
      <c r="F2684">
        <v>2015</v>
      </c>
      <c r="G2684" t="str">
        <f>"          2152025890"</f>
        <v xml:space="preserve">          2152025890</v>
      </c>
      <c r="H2684" s="3">
        <v>42139</v>
      </c>
      <c r="I2684" s="3">
        <v>42158</v>
      </c>
      <c r="J2684" s="3">
        <v>42140</v>
      </c>
      <c r="K2684" s="3">
        <v>42200</v>
      </c>
      <c r="L2684"/>
      <c r="N2684"/>
      <c r="O2684">
        <v>570</v>
      </c>
      <c r="P2684">
        <v>253</v>
      </c>
      <c r="Q2684" s="4">
        <v>144210</v>
      </c>
      <c r="R2684">
        <v>0</v>
      </c>
      <c r="V2684">
        <v>0</v>
      </c>
      <c r="W2684">
        <v>0</v>
      </c>
      <c r="X2684">
        <v>0</v>
      </c>
      <c r="Y2684">
        <v>0</v>
      </c>
      <c r="Z2684">
        <v>0</v>
      </c>
      <c r="AA2684">
        <v>0</v>
      </c>
      <c r="AB2684" s="3">
        <v>42562</v>
      </c>
      <c r="AC2684" t="s">
        <v>53</v>
      </c>
      <c r="AD2684" t="s">
        <v>53</v>
      </c>
      <c r="AK2684">
        <v>0</v>
      </c>
      <c r="AU2684" s="3">
        <v>42453</v>
      </c>
      <c r="AV2684" s="3">
        <v>42453</v>
      </c>
      <c r="AW2684" t="s">
        <v>54</v>
      </c>
      <c r="AX2684" t="str">
        <f t="shared" si="331"/>
        <v>FOR</v>
      </c>
      <c r="AY2684" t="s">
        <v>55</v>
      </c>
    </row>
    <row r="2685" spans="1:51" hidden="1">
      <c r="A2685">
        <v>104083</v>
      </c>
      <c r="B2685" t="s">
        <v>358</v>
      </c>
      <c r="C2685" t="str">
        <f t="shared" si="329"/>
        <v>02804530968</v>
      </c>
      <c r="D2685" t="str">
        <f t="shared" si="330"/>
        <v>06324460150</v>
      </c>
      <c r="E2685" t="s">
        <v>52</v>
      </c>
      <c r="F2685">
        <v>2015</v>
      </c>
      <c r="G2685" t="str">
        <f>"          2152026523"</f>
        <v xml:space="preserve">          2152026523</v>
      </c>
      <c r="H2685" s="3">
        <v>42143</v>
      </c>
      <c r="I2685" s="3">
        <v>42160</v>
      </c>
      <c r="J2685" s="3">
        <v>42145</v>
      </c>
      <c r="K2685" s="3">
        <v>42205</v>
      </c>
      <c r="L2685"/>
      <c r="N2685"/>
      <c r="O2685" s="4">
        <v>2435.6</v>
      </c>
      <c r="P2685">
        <v>248</v>
      </c>
      <c r="Q2685" s="4">
        <v>604028.80000000005</v>
      </c>
      <c r="R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 s="3">
        <v>42562</v>
      </c>
      <c r="AC2685" t="s">
        <v>53</v>
      </c>
      <c r="AD2685" t="s">
        <v>53</v>
      </c>
      <c r="AK2685">
        <v>0</v>
      </c>
      <c r="AU2685" s="3">
        <v>42453</v>
      </c>
      <c r="AV2685" s="3">
        <v>42453</v>
      </c>
      <c r="AW2685" t="s">
        <v>54</v>
      </c>
      <c r="AX2685" t="str">
        <f t="shared" si="331"/>
        <v>FOR</v>
      </c>
      <c r="AY2685" t="s">
        <v>55</v>
      </c>
    </row>
    <row r="2686" spans="1:51">
      <c r="A2686">
        <v>104083</v>
      </c>
      <c r="B2686" t="s">
        <v>358</v>
      </c>
      <c r="C2686" t="str">
        <f t="shared" si="329"/>
        <v>02804530968</v>
      </c>
      <c r="D2686" t="str">
        <f t="shared" si="330"/>
        <v>06324460150</v>
      </c>
      <c r="E2686" t="s">
        <v>52</v>
      </c>
      <c r="F2686">
        <v>2015</v>
      </c>
      <c r="G2686" t="str">
        <f>"          2152029498"</f>
        <v xml:space="preserve">          2152029498</v>
      </c>
      <c r="H2686" s="3">
        <v>42159</v>
      </c>
      <c r="I2686" s="3">
        <v>42163</v>
      </c>
      <c r="J2686" s="3">
        <v>42160</v>
      </c>
      <c r="K2686" s="3">
        <v>42220</v>
      </c>
      <c r="L2686" s="5">
        <v>1050</v>
      </c>
      <c r="M2686">
        <v>307</v>
      </c>
      <c r="N2686" s="5">
        <v>322350</v>
      </c>
      <c r="O2686" s="4">
        <v>1050</v>
      </c>
      <c r="P2686">
        <v>307</v>
      </c>
      <c r="Q2686" s="4">
        <v>322350</v>
      </c>
      <c r="R2686">
        <v>231</v>
      </c>
      <c r="V2686">
        <v>0</v>
      </c>
      <c r="W2686">
        <v>0</v>
      </c>
      <c r="X2686">
        <v>0</v>
      </c>
      <c r="Y2686">
        <v>0</v>
      </c>
      <c r="Z2686">
        <v>0</v>
      </c>
      <c r="AA2686">
        <v>0</v>
      </c>
      <c r="AB2686" s="3">
        <v>42562</v>
      </c>
      <c r="AC2686" t="s">
        <v>53</v>
      </c>
      <c r="AD2686" t="s">
        <v>53</v>
      </c>
      <c r="AK2686">
        <v>231</v>
      </c>
      <c r="AU2686" s="3">
        <v>42527</v>
      </c>
      <c r="AV2686" s="3">
        <v>42527</v>
      </c>
      <c r="AW2686" t="s">
        <v>54</v>
      </c>
      <c r="AX2686" t="str">
        <f t="shared" si="331"/>
        <v>FOR</v>
      </c>
      <c r="AY2686" t="s">
        <v>55</v>
      </c>
    </row>
    <row r="2687" spans="1:51">
      <c r="A2687">
        <v>104083</v>
      </c>
      <c r="B2687" t="s">
        <v>358</v>
      </c>
      <c r="C2687" t="str">
        <f t="shared" si="329"/>
        <v>02804530968</v>
      </c>
      <c r="D2687" t="str">
        <f t="shared" si="330"/>
        <v>06324460150</v>
      </c>
      <c r="E2687" t="s">
        <v>52</v>
      </c>
      <c r="F2687">
        <v>2015</v>
      </c>
      <c r="G2687" t="str">
        <f>"          2152029499"</f>
        <v xml:space="preserve">          2152029499</v>
      </c>
      <c r="H2687" s="3">
        <v>42159</v>
      </c>
      <c r="I2687" s="3">
        <v>42163</v>
      </c>
      <c r="J2687" s="3">
        <v>42160</v>
      </c>
      <c r="K2687" s="3">
        <v>42220</v>
      </c>
      <c r="L2687" s="1">
        <v>235.6</v>
      </c>
      <c r="M2687">
        <v>307</v>
      </c>
      <c r="N2687" s="5">
        <v>72329.2</v>
      </c>
      <c r="O2687">
        <v>235.6</v>
      </c>
      <c r="P2687">
        <v>307</v>
      </c>
      <c r="Q2687" s="4">
        <v>72329.2</v>
      </c>
      <c r="R2687">
        <v>51.83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 s="3">
        <v>42562</v>
      </c>
      <c r="AC2687" t="s">
        <v>53</v>
      </c>
      <c r="AD2687" t="s">
        <v>53</v>
      </c>
      <c r="AK2687">
        <v>51.83</v>
      </c>
      <c r="AU2687" s="3">
        <v>42527</v>
      </c>
      <c r="AV2687" s="3">
        <v>42527</v>
      </c>
      <c r="AW2687" t="s">
        <v>54</v>
      </c>
      <c r="AX2687" t="str">
        <f t="shared" si="331"/>
        <v>FOR</v>
      </c>
      <c r="AY2687" t="s">
        <v>55</v>
      </c>
    </row>
    <row r="2688" spans="1:51">
      <c r="A2688">
        <v>104083</v>
      </c>
      <c r="B2688" t="s">
        <v>358</v>
      </c>
      <c r="C2688" t="str">
        <f t="shared" si="329"/>
        <v>02804530968</v>
      </c>
      <c r="D2688" t="str">
        <f t="shared" si="330"/>
        <v>06324460150</v>
      </c>
      <c r="E2688" t="s">
        <v>52</v>
      </c>
      <c r="F2688">
        <v>2015</v>
      </c>
      <c r="G2688" t="str">
        <f>"          2152029500"</f>
        <v xml:space="preserve">          2152029500</v>
      </c>
      <c r="H2688" s="3">
        <v>42159</v>
      </c>
      <c r="I2688" s="3">
        <v>42163</v>
      </c>
      <c r="J2688" s="3">
        <v>42160</v>
      </c>
      <c r="K2688" s="3">
        <v>42220</v>
      </c>
      <c r="L2688" s="5">
        <v>1532.5</v>
      </c>
      <c r="M2688">
        <v>307</v>
      </c>
      <c r="N2688" s="5">
        <v>470477.5</v>
      </c>
      <c r="O2688" s="4">
        <v>1532.5</v>
      </c>
      <c r="P2688">
        <v>307</v>
      </c>
      <c r="Q2688" s="4">
        <v>470477.5</v>
      </c>
      <c r="R2688">
        <v>337.15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 s="3">
        <v>42562</v>
      </c>
      <c r="AC2688" t="s">
        <v>53</v>
      </c>
      <c r="AD2688" t="s">
        <v>53</v>
      </c>
      <c r="AK2688">
        <v>337.15</v>
      </c>
      <c r="AU2688" s="3">
        <v>42527</v>
      </c>
      <c r="AV2688" s="3">
        <v>42527</v>
      </c>
      <c r="AW2688" t="s">
        <v>54</v>
      </c>
      <c r="AX2688" t="str">
        <f t="shared" si="331"/>
        <v>FOR</v>
      </c>
      <c r="AY2688" t="s">
        <v>55</v>
      </c>
    </row>
    <row r="2689" spans="1:51">
      <c r="A2689">
        <v>104083</v>
      </c>
      <c r="B2689" t="s">
        <v>358</v>
      </c>
      <c r="C2689" t="str">
        <f t="shared" si="329"/>
        <v>02804530968</v>
      </c>
      <c r="D2689" t="str">
        <f t="shared" si="330"/>
        <v>06324460150</v>
      </c>
      <c r="E2689" t="s">
        <v>52</v>
      </c>
      <c r="F2689">
        <v>2015</v>
      </c>
      <c r="G2689" t="str">
        <f>"          2152033205"</f>
        <v xml:space="preserve">          2152033205</v>
      </c>
      <c r="H2689" s="3">
        <v>42178</v>
      </c>
      <c r="I2689" s="3">
        <v>42185</v>
      </c>
      <c r="J2689" s="3">
        <v>42181</v>
      </c>
      <c r="K2689" s="3">
        <v>42241</v>
      </c>
      <c r="L2689" s="1">
        <v>409.5</v>
      </c>
      <c r="M2689">
        <v>286</v>
      </c>
      <c r="N2689" s="5">
        <v>117117</v>
      </c>
      <c r="O2689">
        <v>409.5</v>
      </c>
      <c r="P2689">
        <v>286</v>
      </c>
      <c r="Q2689" s="4">
        <v>117117</v>
      </c>
      <c r="R2689">
        <v>90.09</v>
      </c>
      <c r="V2689">
        <v>0</v>
      </c>
      <c r="W2689">
        <v>0</v>
      </c>
      <c r="X2689">
        <v>0</v>
      </c>
      <c r="Y2689">
        <v>0</v>
      </c>
      <c r="Z2689">
        <v>0</v>
      </c>
      <c r="AA2689">
        <v>0</v>
      </c>
      <c r="AB2689" s="3">
        <v>42562</v>
      </c>
      <c r="AC2689" t="s">
        <v>53</v>
      </c>
      <c r="AD2689" t="s">
        <v>53</v>
      </c>
      <c r="AK2689">
        <v>90.09</v>
      </c>
      <c r="AU2689" s="3">
        <v>42527</v>
      </c>
      <c r="AV2689" s="3">
        <v>42527</v>
      </c>
      <c r="AW2689" t="s">
        <v>54</v>
      </c>
      <c r="AX2689" t="str">
        <f t="shared" si="331"/>
        <v>FOR</v>
      </c>
      <c r="AY2689" t="s">
        <v>55</v>
      </c>
    </row>
    <row r="2690" spans="1:51">
      <c r="A2690">
        <v>104083</v>
      </c>
      <c r="B2690" t="s">
        <v>358</v>
      </c>
      <c r="C2690" t="str">
        <f t="shared" si="329"/>
        <v>02804530968</v>
      </c>
      <c r="D2690" t="str">
        <f t="shared" si="330"/>
        <v>06324460150</v>
      </c>
      <c r="E2690" t="s">
        <v>52</v>
      </c>
      <c r="F2690">
        <v>2015</v>
      </c>
      <c r="G2690" t="str">
        <f>"          2152033206"</f>
        <v xml:space="preserve">          2152033206</v>
      </c>
      <c r="H2690" s="3">
        <v>42178</v>
      </c>
      <c r="I2690" s="3">
        <v>42185</v>
      </c>
      <c r="J2690" s="3">
        <v>42181</v>
      </c>
      <c r="K2690" s="3">
        <v>42241</v>
      </c>
      <c r="L2690" s="5">
        <v>3702</v>
      </c>
      <c r="M2690">
        <v>286</v>
      </c>
      <c r="N2690" s="5">
        <v>1058772</v>
      </c>
      <c r="O2690" s="4">
        <v>3702</v>
      </c>
      <c r="P2690">
        <v>286</v>
      </c>
      <c r="Q2690" s="4">
        <v>1058772</v>
      </c>
      <c r="R2690">
        <v>814.44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 s="3">
        <v>42562</v>
      </c>
      <c r="AC2690" t="s">
        <v>53</v>
      </c>
      <c r="AD2690" t="s">
        <v>53</v>
      </c>
      <c r="AK2690">
        <v>814.44</v>
      </c>
      <c r="AU2690" s="3">
        <v>42527</v>
      </c>
      <c r="AV2690" s="3">
        <v>42527</v>
      </c>
      <c r="AW2690" t="s">
        <v>54</v>
      </c>
      <c r="AX2690" t="str">
        <f t="shared" si="331"/>
        <v>FOR</v>
      </c>
      <c r="AY2690" t="s">
        <v>55</v>
      </c>
    </row>
    <row r="2691" spans="1:51">
      <c r="A2691">
        <v>104083</v>
      </c>
      <c r="B2691" t="s">
        <v>358</v>
      </c>
      <c r="C2691" t="str">
        <f t="shared" si="329"/>
        <v>02804530968</v>
      </c>
      <c r="D2691" t="str">
        <f t="shared" si="330"/>
        <v>06324460150</v>
      </c>
      <c r="E2691" t="s">
        <v>52</v>
      </c>
      <c r="F2691">
        <v>2015</v>
      </c>
      <c r="G2691" t="str">
        <f>"          2152033207"</f>
        <v xml:space="preserve">          2152033207</v>
      </c>
      <c r="H2691" s="3">
        <v>42178</v>
      </c>
      <c r="I2691" s="3">
        <v>42185</v>
      </c>
      <c r="J2691" s="3">
        <v>42181</v>
      </c>
      <c r="K2691" s="3">
        <v>42241</v>
      </c>
      <c r="L2691" s="5">
        <v>1909.2</v>
      </c>
      <c r="M2691">
        <v>286</v>
      </c>
      <c r="N2691" s="5">
        <v>546031.19999999995</v>
      </c>
      <c r="O2691" s="4">
        <v>1909.2</v>
      </c>
      <c r="P2691">
        <v>286</v>
      </c>
      <c r="Q2691" s="4">
        <v>546031.19999999995</v>
      </c>
      <c r="R2691">
        <v>420.02</v>
      </c>
      <c r="V2691">
        <v>0</v>
      </c>
      <c r="W2691">
        <v>0</v>
      </c>
      <c r="X2691">
        <v>0</v>
      </c>
      <c r="Y2691">
        <v>0</v>
      </c>
      <c r="Z2691">
        <v>0</v>
      </c>
      <c r="AA2691">
        <v>0</v>
      </c>
      <c r="AB2691" s="3">
        <v>42562</v>
      </c>
      <c r="AC2691" t="s">
        <v>53</v>
      </c>
      <c r="AD2691" t="s">
        <v>53</v>
      </c>
      <c r="AK2691">
        <v>420.02</v>
      </c>
      <c r="AU2691" s="3">
        <v>42527</v>
      </c>
      <c r="AV2691" s="3">
        <v>42527</v>
      </c>
      <c r="AW2691" t="s">
        <v>54</v>
      </c>
      <c r="AX2691" t="str">
        <f t="shared" si="331"/>
        <v>FOR</v>
      </c>
      <c r="AY2691" t="s">
        <v>55</v>
      </c>
    </row>
    <row r="2692" spans="1:51" hidden="1">
      <c r="A2692">
        <v>104084</v>
      </c>
      <c r="B2692" t="s">
        <v>359</v>
      </c>
      <c r="C2692" t="str">
        <f t="shared" ref="C2692:D2706" si="332">"13144290155"</f>
        <v>13144290155</v>
      </c>
      <c r="D2692" t="str">
        <f t="shared" si="332"/>
        <v>13144290155</v>
      </c>
      <c r="E2692" t="s">
        <v>52</v>
      </c>
      <c r="F2692">
        <v>2015</v>
      </c>
      <c r="G2692" t="str">
        <f>"          2015301563"</f>
        <v xml:space="preserve">          2015301563</v>
      </c>
      <c r="H2692" s="3">
        <v>42051</v>
      </c>
      <c r="I2692" s="3">
        <v>42264</v>
      </c>
      <c r="J2692" s="3">
        <v>42264</v>
      </c>
      <c r="K2692" s="3">
        <v>42324</v>
      </c>
      <c r="L2692"/>
      <c r="N2692"/>
      <c r="O2692">
        <v>290</v>
      </c>
      <c r="P2692">
        <v>84</v>
      </c>
      <c r="Q2692" s="4">
        <v>24360</v>
      </c>
      <c r="R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 s="3">
        <v>42562</v>
      </c>
      <c r="AC2692" t="s">
        <v>53</v>
      </c>
      <c r="AD2692" t="s">
        <v>53</v>
      </c>
      <c r="AK2692">
        <v>0</v>
      </c>
      <c r="AU2692" s="3">
        <v>42408</v>
      </c>
      <c r="AV2692" s="3">
        <v>42408</v>
      </c>
      <c r="AW2692" t="s">
        <v>54</v>
      </c>
      <c r="AX2692" t="str">
        <f t="shared" si="331"/>
        <v>FOR</v>
      </c>
      <c r="AY2692" t="s">
        <v>55</v>
      </c>
    </row>
    <row r="2693" spans="1:51" hidden="1">
      <c r="A2693">
        <v>104084</v>
      </c>
      <c r="B2693" t="s">
        <v>359</v>
      </c>
      <c r="C2693" t="str">
        <f t="shared" si="332"/>
        <v>13144290155</v>
      </c>
      <c r="D2693" t="str">
        <f t="shared" si="332"/>
        <v>13144290155</v>
      </c>
      <c r="E2693" t="s">
        <v>52</v>
      </c>
      <c r="F2693">
        <v>2015</v>
      </c>
      <c r="G2693" t="str">
        <f>"          2015302135"</f>
        <v xml:space="preserve">          2015302135</v>
      </c>
      <c r="H2693" s="3">
        <v>42062</v>
      </c>
      <c r="I2693" s="3">
        <v>42264</v>
      </c>
      <c r="J2693" s="3">
        <v>42264</v>
      </c>
      <c r="K2693" s="3">
        <v>42324</v>
      </c>
      <c r="L2693"/>
      <c r="N2693"/>
      <c r="O2693">
        <v>388</v>
      </c>
      <c r="P2693">
        <v>84</v>
      </c>
      <c r="Q2693" s="4">
        <v>32592</v>
      </c>
      <c r="R2693">
        <v>0</v>
      </c>
      <c r="V2693">
        <v>0</v>
      </c>
      <c r="W2693">
        <v>0</v>
      </c>
      <c r="X2693">
        <v>0</v>
      </c>
      <c r="Y2693">
        <v>0</v>
      </c>
      <c r="Z2693">
        <v>0</v>
      </c>
      <c r="AA2693">
        <v>0</v>
      </c>
      <c r="AB2693" s="3">
        <v>42562</v>
      </c>
      <c r="AC2693" t="s">
        <v>53</v>
      </c>
      <c r="AD2693" t="s">
        <v>53</v>
      </c>
      <c r="AK2693">
        <v>0</v>
      </c>
      <c r="AU2693" s="3">
        <v>42408</v>
      </c>
      <c r="AV2693" s="3">
        <v>42408</v>
      </c>
      <c r="AW2693" t="s">
        <v>54</v>
      </c>
      <c r="AX2693" t="str">
        <f t="shared" si="331"/>
        <v>FOR</v>
      </c>
      <c r="AY2693" t="s">
        <v>55</v>
      </c>
    </row>
    <row r="2694" spans="1:51" hidden="1">
      <c r="A2694">
        <v>104084</v>
      </c>
      <c r="B2694" t="s">
        <v>359</v>
      </c>
      <c r="C2694" t="str">
        <f t="shared" si="332"/>
        <v>13144290155</v>
      </c>
      <c r="D2694" t="str">
        <f t="shared" si="332"/>
        <v>13144290155</v>
      </c>
      <c r="E2694" t="s">
        <v>52</v>
      </c>
      <c r="F2694">
        <v>2015</v>
      </c>
      <c r="G2694" t="str">
        <f>"          2015302471"</f>
        <v xml:space="preserve">          2015302471</v>
      </c>
      <c r="H2694" s="3">
        <v>42072</v>
      </c>
      <c r="I2694" s="3">
        <v>42264</v>
      </c>
      <c r="J2694" s="3">
        <v>42264</v>
      </c>
      <c r="K2694" s="3">
        <v>42324</v>
      </c>
      <c r="L2694"/>
      <c r="N2694"/>
      <c r="O2694" s="4">
        <v>5250</v>
      </c>
      <c r="P2694">
        <v>92</v>
      </c>
      <c r="Q2694" s="4">
        <v>483000</v>
      </c>
      <c r="R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 s="3">
        <v>42562</v>
      </c>
      <c r="AC2694" t="s">
        <v>53</v>
      </c>
      <c r="AD2694" t="s">
        <v>53</v>
      </c>
      <c r="AK2694">
        <v>0</v>
      </c>
      <c r="AU2694" s="3">
        <v>42416</v>
      </c>
      <c r="AV2694" s="3">
        <v>42416</v>
      </c>
      <c r="AW2694" t="s">
        <v>54</v>
      </c>
      <c r="AX2694" t="str">
        <f t="shared" si="331"/>
        <v>FOR</v>
      </c>
      <c r="AY2694" t="s">
        <v>55</v>
      </c>
    </row>
    <row r="2695" spans="1:51" hidden="1">
      <c r="A2695">
        <v>104084</v>
      </c>
      <c r="B2695" t="s">
        <v>359</v>
      </c>
      <c r="C2695" t="str">
        <f t="shared" si="332"/>
        <v>13144290155</v>
      </c>
      <c r="D2695" t="str">
        <f t="shared" si="332"/>
        <v>13144290155</v>
      </c>
      <c r="E2695" t="s">
        <v>52</v>
      </c>
      <c r="F2695">
        <v>2015</v>
      </c>
      <c r="G2695" t="str">
        <f>"          2015303110"</f>
        <v xml:space="preserve">          2015303110</v>
      </c>
      <c r="H2695" s="3">
        <v>42083</v>
      </c>
      <c r="I2695" s="3">
        <v>42264</v>
      </c>
      <c r="J2695" s="3">
        <v>42264</v>
      </c>
      <c r="K2695" s="3">
        <v>42324</v>
      </c>
      <c r="L2695"/>
      <c r="N2695"/>
      <c r="O2695" s="4">
        <v>1000</v>
      </c>
      <c r="P2695">
        <v>92</v>
      </c>
      <c r="Q2695" s="4">
        <v>92000</v>
      </c>
      <c r="R2695">
        <v>0</v>
      </c>
      <c r="V2695">
        <v>0</v>
      </c>
      <c r="W2695">
        <v>0</v>
      </c>
      <c r="X2695">
        <v>0</v>
      </c>
      <c r="Y2695">
        <v>0</v>
      </c>
      <c r="Z2695">
        <v>0</v>
      </c>
      <c r="AA2695">
        <v>0</v>
      </c>
      <c r="AB2695" s="3">
        <v>42562</v>
      </c>
      <c r="AC2695" t="s">
        <v>53</v>
      </c>
      <c r="AD2695" t="s">
        <v>53</v>
      </c>
      <c r="AK2695">
        <v>0</v>
      </c>
      <c r="AU2695" s="3">
        <v>42416</v>
      </c>
      <c r="AV2695" s="3">
        <v>42416</v>
      </c>
      <c r="AW2695" t="s">
        <v>54</v>
      </c>
      <c r="AX2695" t="str">
        <f t="shared" si="331"/>
        <v>FOR</v>
      </c>
      <c r="AY2695" t="s">
        <v>55</v>
      </c>
    </row>
    <row r="2696" spans="1:51" hidden="1">
      <c r="A2696">
        <v>104084</v>
      </c>
      <c r="B2696" t="s">
        <v>359</v>
      </c>
      <c r="C2696" t="str">
        <f t="shared" si="332"/>
        <v>13144290155</v>
      </c>
      <c r="D2696" t="str">
        <f t="shared" si="332"/>
        <v>13144290155</v>
      </c>
      <c r="E2696" t="s">
        <v>52</v>
      </c>
      <c r="F2696">
        <v>2015</v>
      </c>
      <c r="G2696" t="str">
        <f>"          2015303475"</f>
        <v xml:space="preserve">          2015303475</v>
      </c>
      <c r="H2696" s="3">
        <v>42090</v>
      </c>
      <c r="I2696" s="3">
        <v>42264</v>
      </c>
      <c r="J2696" s="3">
        <v>42264</v>
      </c>
      <c r="K2696" s="3">
        <v>42324</v>
      </c>
      <c r="L2696"/>
      <c r="N2696"/>
      <c r="O2696">
        <v>776</v>
      </c>
      <c r="P2696">
        <v>92</v>
      </c>
      <c r="Q2696" s="4">
        <v>71392</v>
      </c>
      <c r="R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 s="3">
        <v>42562</v>
      </c>
      <c r="AC2696" t="s">
        <v>53</v>
      </c>
      <c r="AD2696" t="s">
        <v>53</v>
      </c>
      <c r="AK2696">
        <v>0</v>
      </c>
      <c r="AU2696" s="3">
        <v>42416</v>
      </c>
      <c r="AV2696" s="3">
        <v>42416</v>
      </c>
      <c r="AW2696" t="s">
        <v>54</v>
      </c>
      <c r="AX2696" t="str">
        <f t="shared" si="331"/>
        <v>FOR</v>
      </c>
      <c r="AY2696" t="s">
        <v>55</v>
      </c>
    </row>
    <row r="2697" spans="1:51" hidden="1">
      <c r="A2697">
        <v>104084</v>
      </c>
      <c r="B2697" t="s">
        <v>359</v>
      </c>
      <c r="C2697" t="str">
        <f t="shared" si="332"/>
        <v>13144290155</v>
      </c>
      <c r="D2697" t="str">
        <f t="shared" si="332"/>
        <v>13144290155</v>
      </c>
      <c r="E2697" t="s">
        <v>52</v>
      </c>
      <c r="F2697">
        <v>2015</v>
      </c>
      <c r="G2697" t="str">
        <f>"          2015303597"</f>
        <v xml:space="preserve">          2015303597</v>
      </c>
      <c r="H2697" s="3">
        <v>42095</v>
      </c>
      <c r="I2697" s="3">
        <v>42142</v>
      </c>
      <c r="J2697" s="3">
        <v>42137</v>
      </c>
      <c r="K2697" s="3">
        <v>42197</v>
      </c>
      <c r="L2697"/>
      <c r="N2697"/>
      <c r="O2697">
        <v>870</v>
      </c>
      <c r="P2697">
        <v>219</v>
      </c>
      <c r="Q2697" s="4">
        <v>190530</v>
      </c>
      <c r="R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 s="3">
        <v>42562</v>
      </c>
      <c r="AC2697" t="s">
        <v>53</v>
      </c>
      <c r="AD2697" t="s">
        <v>53</v>
      </c>
      <c r="AK2697">
        <v>0</v>
      </c>
      <c r="AU2697" s="3">
        <v>42416</v>
      </c>
      <c r="AV2697" s="3">
        <v>42416</v>
      </c>
      <c r="AW2697" t="s">
        <v>54</v>
      </c>
      <c r="AX2697" t="str">
        <f t="shared" si="331"/>
        <v>FOR</v>
      </c>
      <c r="AY2697" t="s">
        <v>55</v>
      </c>
    </row>
    <row r="2698" spans="1:51" hidden="1">
      <c r="A2698">
        <v>104084</v>
      </c>
      <c r="B2698" t="s">
        <v>359</v>
      </c>
      <c r="C2698" t="str">
        <f t="shared" si="332"/>
        <v>13144290155</v>
      </c>
      <c r="D2698" t="str">
        <f t="shared" si="332"/>
        <v>13144290155</v>
      </c>
      <c r="E2698" t="s">
        <v>52</v>
      </c>
      <c r="F2698">
        <v>2015</v>
      </c>
      <c r="G2698" t="str">
        <f>"          2015303853"</f>
        <v xml:space="preserve">          2015303853</v>
      </c>
      <c r="H2698" s="3">
        <v>42103</v>
      </c>
      <c r="I2698" s="3">
        <v>42115</v>
      </c>
      <c r="J2698" s="3">
        <v>42114</v>
      </c>
      <c r="K2698" s="3">
        <v>42174</v>
      </c>
      <c r="L2698"/>
      <c r="N2698"/>
      <c r="O2698" s="4">
        <v>3150</v>
      </c>
      <c r="P2698">
        <v>242</v>
      </c>
      <c r="Q2698" s="4">
        <v>762300</v>
      </c>
      <c r="R2698">
        <v>0</v>
      </c>
      <c r="V2698">
        <v>0</v>
      </c>
      <c r="W2698">
        <v>0</v>
      </c>
      <c r="X2698">
        <v>0</v>
      </c>
      <c r="Y2698">
        <v>0</v>
      </c>
      <c r="Z2698">
        <v>0</v>
      </c>
      <c r="AA2698">
        <v>0</v>
      </c>
      <c r="AB2698" s="3">
        <v>42562</v>
      </c>
      <c r="AC2698" t="s">
        <v>53</v>
      </c>
      <c r="AD2698" t="s">
        <v>53</v>
      </c>
      <c r="AK2698">
        <v>0</v>
      </c>
      <c r="AU2698" s="3">
        <v>42416</v>
      </c>
      <c r="AV2698" s="3">
        <v>42416</v>
      </c>
      <c r="AW2698" t="s">
        <v>54</v>
      </c>
      <c r="AX2698" t="str">
        <f t="shared" si="331"/>
        <v>FOR</v>
      </c>
      <c r="AY2698" t="s">
        <v>55</v>
      </c>
    </row>
    <row r="2699" spans="1:51" hidden="1">
      <c r="A2699">
        <v>104084</v>
      </c>
      <c r="B2699" t="s">
        <v>359</v>
      </c>
      <c r="C2699" t="str">
        <f t="shared" si="332"/>
        <v>13144290155</v>
      </c>
      <c r="D2699" t="str">
        <f t="shared" si="332"/>
        <v>13144290155</v>
      </c>
      <c r="E2699" t="s">
        <v>52</v>
      </c>
      <c r="F2699">
        <v>2015</v>
      </c>
      <c r="G2699" t="str">
        <f>"          2015303854"</f>
        <v xml:space="preserve">          2015303854</v>
      </c>
      <c r="H2699" s="3">
        <v>42103</v>
      </c>
      <c r="I2699" s="3">
        <v>42115</v>
      </c>
      <c r="J2699" s="3">
        <v>42114</v>
      </c>
      <c r="K2699" s="3">
        <v>42174</v>
      </c>
      <c r="L2699"/>
      <c r="N2699"/>
      <c r="O2699" s="4">
        <v>9410</v>
      </c>
      <c r="P2699">
        <v>242</v>
      </c>
      <c r="Q2699" s="4">
        <v>2277220</v>
      </c>
      <c r="R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 s="3">
        <v>42562</v>
      </c>
      <c r="AC2699" t="s">
        <v>53</v>
      </c>
      <c r="AD2699" t="s">
        <v>53</v>
      </c>
      <c r="AK2699">
        <v>0</v>
      </c>
      <c r="AU2699" s="3">
        <v>42416</v>
      </c>
      <c r="AV2699" s="3">
        <v>42416</v>
      </c>
      <c r="AW2699" t="s">
        <v>54</v>
      </c>
      <c r="AX2699" t="str">
        <f t="shared" si="331"/>
        <v>FOR</v>
      </c>
      <c r="AY2699" t="s">
        <v>55</v>
      </c>
    </row>
    <row r="2700" spans="1:51" hidden="1">
      <c r="A2700">
        <v>104084</v>
      </c>
      <c r="B2700" t="s">
        <v>359</v>
      </c>
      <c r="C2700" t="str">
        <f t="shared" si="332"/>
        <v>13144290155</v>
      </c>
      <c r="D2700" t="str">
        <f t="shared" si="332"/>
        <v>13144290155</v>
      </c>
      <c r="E2700" t="s">
        <v>52</v>
      </c>
      <c r="F2700">
        <v>2015</v>
      </c>
      <c r="G2700" t="str">
        <f>"          2015304451"</f>
        <v xml:space="preserve">          2015304451</v>
      </c>
      <c r="H2700" s="3">
        <v>42121</v>
      </c>
      <c r="I2700" s="3">
        <v>42123</v>
      </c>
      <c r="J2700" s="3">
        <v>42123</v>
      </c>
      <c r="K2700" s="3">
        <v>42183</v>
      </c>
      <c r="L2700"/>
      <c r="N2700"/>
      <c r="O2700" s="4">
        <v>2000</v>
      </c>
      <c r="P2700">
        <v>233</v>
      </c>
      <c r="Q2700" s="4">
        <v>466000</v>
      </c>
      <c r="R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 s="3">
        <v>42562</v>
      </c>
      <c r="AC2700" t="s">
        <v>53</v>
      </c>
      <c r="AD2700" t="s">
        <v>53</v>
      </c>
      <c r="AK2700">
        <v>0</v>
      </c>
      <c r="AU2700" s="3">
        <v>42416</v>
      </c>
      <c r="AV2700" s="3">
        <v>42416</v>
      </c>
      <c r="AW2700" t="s">
        <v>54</v>
      </c>
      <c r="AX2700" t="str">
        <f t="shared" si="331"/>
        <v>FOR</v>
      </c>
      <c r="AY2700" t="s">
        <v>55</v>
      </c>
    </row>
    <row r="2701" spans="1:51" hidden="1">
      <c r="A2701">
        <v>104084</v>
      </c>
      <c r="B2701" t="s">
        <v>359</v>
      </c>
      <c r="C2701" t="str">
        <f t="shared" si="332"/>
        <v>13144290155</v>
      </c>
      <c r="D2701" t="str">
        <f t="shared" si="332"/>
        <v>13144290155</v>
      </c>
      <c r="E2701" t="s">
        <v>52</v>
      </c>
      <c r="F2701">
        <v>2015</v>
      </c>
      <c r="G2701" t="str">
        <f>"          2015305483"</f>
        <v xml:space="preserve">          2015305483</v>
      </c>
      <c r="H2701" s="3">
        <v>42146</v>
      </c>
      <c r="I2701" s="3">
        <v>42160</v>
      </c>
      <c r="J2701" s="3">
        <v>42148</v>
      </c>
      <c r="K2701" s="3">
        <v>42208</v>
      </c>
      <c r="L2701"/>
      <c r="N2701"/>
      <c r="O2701">
        <v>388</v>
      </c>
      <c r="P2701">
        <v>208</v>
      </c>
      <c r="Q2701" s="4">
        <v>80704</v>
      </c>
      <c r="R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 s="3">
        <v>42562</v>
      </c>
      <c r="AC2701" t="s">
        <v>53</v>
      </c>
      <c r="AD2701" t="s">
        <v>53</v>
      </c>
      <c r="AK2701">
        <v>0</v>
      </c>
      <c r="AU2701" s="3">
        <v>42416</v>
      </c>
      <c r="AV2701" s="3">
        <v>42416</v>
      </c>
      <c r="AW2701" t="s">
        <v>54</v>
      </c>
      <c r="AX2701" t="str">
        <f t="shared" si="331"/>
        <v>FOR</v>
      </c>
      <c r="AY2701" t="s">
        <v>55</v>
      </c>
    </row>
    <row r="2702" spans="1:51" hidden="1">
      <c r="A2702">
        <v>104084</v>
      </c>
      <c r="B2702" t="s">
        <v>359</v>
      </c>
      <c r="C2702" t="str">
        <f t="shared" si="332"/>
        <v>13144290155</v>
      </c>
      <c r="D2702" t="str">
        <f t="shared" si="332"/>
        <v>13144290155</v>
      </c>
      <c r="E2702" t="s">
        <v>52</v>
      </c>
      <c r="F2702">
        <v>2015</v>
      </c>
      <c r="G2702" t="str">
        <f>"          2015305725"</f>
        <v xml:space="preserve">          2015305725</v>
      </c>
      <c r="H2702" s="3">
        <v>42153</v>
      </c>
      <c r="I2702" s="3">
        <v>42158</v>
      </c>
      <c r="J2702" s="3">
        <v>42153</v>
      </c>
      <c r="K2702" s="3">
        <v>42213</v>
      </c>
      <c r="L2702"/>
      <c r="N2702"/>
      <c r="O2702">
        <v>880</v>
      </c>
      <c r="P2702">
        <v>203</v>
      </c>
      <c r="Q2702" s="4">
        <v>178640</v>
      </c>
      <c r="R2702">
        <v>0</v>
      </c>
      <c r="V2702">
        <v>0</v>
      </c>
      <c r="W2702">
        <v>0</v>
      </c>
      <c r="X2702">
        <v>0</v>
      </c>
      <c r="Y2702">
        <v>0</v>
      </c>
      <c r="Z2702">
        <v>0</v>
      </c>
      <c r="AA2702">
        <v>0</v>
      </c>
      <c r="AB2702" s="3">
        <v>42562</v>
      </c>
      <c r="AC2702" t="s">
        <v>53</v>
      </c>
      <c r="AD2702" t="s">
        <v>53</v>
      </c>
      <c r="AK2702">
        <v>0</v>
      </c>
      <c r="AU2702" s="3">
        <v>42416</v>
      </c>
      <c r="AV2702" s="3">
        <v>42416</v>
      </c>
      <c r="AW2702" t="s">
        <v>54</v>
      </c>
      <c r="AX2702" t="str">
        <f t="shared" si="331"/>
        <v>FOR</v>
      </c>
      <c r="AY2702" t="s">
        <v>55</v>
      </c>
    </row>
    <row r="2703" spans="1:51" hidden="1">
      <c r="A2703">
        <v>104084</v>
      </c>
      <c r="B2703" t="s">
        <v>359</v>
      </c>
      <c r="C2703" t="str">
        <f t="shared" si="332"/>
        <v>13144290155</v>
      </c>
      <c r="D2703" t="str">
        <f t="shared" si="332"/>
        <v>13144290155</v>
      </c>
      <c r="E2703" t="s">
        <v>52</v>
      </c>
      <c r="F2703">
        <v>2015</v>
      </c>
      <c r="G2703" t="str">
        <f>"          2015305740"</f>
        <v xml:space="preserve">          2015305740</v>
      </c>
      <c r="H2703" s="3">
        <v>42153</v>
      </c>
      <c r="I2703" s="3">
        <v>42158</v>
      </c>
      <c r="J2703" s="3">
        <v>42153</v>
      </c>
      <c r="K2703" s="3">
        <v>42213</v>
      </c>
      <c r="L2703"/>
      <c r="N2703"/>
      <c r="O2703">
        <v>870</v>
      </c>
      <c r="P2703">
        <v>203</v>
      </c>
      <c r="Q2703" s="4">
        <v>176610</v>
      </c>
      <c r="R2703">
        <v>0</v>
      </c>
      <c r="V2703">
        <v>0</v>
      </c>
      <c r="W2703">
        <v>0</v>
      </c>
      <c r="X2703">
        <v>0</v>
      </c>
      <c r="Y2703">
        <v>0</v>
      </c>
      <c r="Z2703">
        <v>0</v>
      </c>
      <c r="AA2703">
        <v>0</v>
      </c>
      <c r="AB2703" s="3">
        <v>42562</v>
      </c>
      <c r="AC2703" t="s">
        <v>53</v>
      </c>
      <c r="AD2703" t="s">
        <v>53</v>
      </c>
      <c r="AK2703">
        <v>0</v>
      </c>
      <c r="AU2703" s="3">
        <v>42416</v>
      </c>
      <c r="AV2703" s="3">
        <v>42416</v>
      </c>
      <c r="AW2703" t="s">
        <v>54</v>
      </c>
      <c r="AX2703" t="str">
        <f t="shared" si="331"/>
        <v>FOR</v>
      </c>
      <c r="AY2703" t="s">
        <v>55</v>
      </c>
    </row>
    <row r="2704" spans="1:51">
      <c r="A2704">
        <v>104084</v>
      </c>
      <c r="B2704" t="s">
        <v>359</v>
      </c>
      <c r="C2704" t="str">
        <f t="shared" si="332"/>
        <v>13144290155</v>
      </c>
      <c r="D2704" t="str">
        <f t="shared" si="332"/>
        <v>13144290155</v>
      </c>
      <c r="E2704" t="s">
        <v>52</v>
      </c>
      <c r="F2704">
        <v>2015</v>
      </c>
      <c r="G2704" t="str">
        <f>"          2015306142"</f>
        <v xml:space="preserve">          2015306142</v>
      </c>
      <c r="H2704" s="3">
        <v>42164</v>
      </c>
      <c r="I2704" s="3">
        <v>42165</v>
      </c>
      <c r="J2704" s="3">
        <v>42164</v>
      </c>
      <c r="K2704" s="3">
        <v>42224</v>
      </c>
      <c r="L2704" s="5">
        <v>11040</v>
      </c>
      <c r="M2704">
        <v>296</v>
      </c>
      <c r="N2704" s="5">
        <v>3267840</v>
      </c>
      <c r="O2704" s="4">
        <v>11040</v>
      </c>
      <c r="P2704">
        <v>296</v>
      </c>
      <c r="Q2704" s="4">
        <v>3267840</v>
      </c>
      <c r="R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 s="3">
        <v>42562</v>
      </c>
      <c r="AC2704" t="s">
        <v>53</v>
      </c>
      <c r="AD2704" t="s">
        <v>53</v>
      </c>
      <c r="AK2704">
        <v>0</v>
      </c>
      <c r="AU2704" s="3">
        <v>42520</v>
      </c>
      <c r="AV2704" s="3">
        <v>42520</v>
      </c>
      <c r="AW2704" t="s">
        <v>54</v>
      </c>
      <c r="AX2704" t="str">
        <f t="shared" si="331"/>
        <v>FOR</v>
      </c>
      <c r="AY2704" t="s">
        <v>55</v>
      </c>
    </row>
    <row r="2705" spans="1:51">
      <c r="A2705">
        <v>104084</v>
      </c>
      <c r="B2705" t="s">
        <v>359</v>
      </c>
      <c r="C2705" t="str">
        <f t="shared" si="332"/>
        <v>13144290155</v>
      </c>
      <c r="D2705" t="str">
        <f t="shared" si="332"/>
        <v>13144290155</v>
      </c>
      <c r="E2705" t="s">
        <v>52</v>
      </c>
      <c r="F2705">
        <v>2015</v>
      </c>
      <c r="G2705" t="str">
        <f>"          2015306246"</f>
        <v xml:space="preserve">          2015306246</v>
      </c>
      <c r="H2705" s="3">
        <v>42166</v>
      </c>
      <c r="I2705" s="3">
        <v>42167</v>
      </c>
      <c r="J2705" s="3">
        <v>42167</v>
      </c>
      <c r="K2705" s="3">
        <v>42227</v>
      </c>
      <c r="L2705" s="5">
        <v>6300</v>
      </c>
      <c r="M2705">
        <v>293</v>
      </c>
      <c r="N2705" s="5">
        <v>1845900</v>
      </c>
      <c r="O2705" s="4">
        <v>6300</v>
      </c>
      <c r="P2705">
        <v>293</v>
      </c>
      <c r="Q2705" s="4">
        <v>1845900</v>
      </c>
      <c r="R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 s="3">
        <v>42562</v>
      </c>
      <c r="AC2705" t="s">
        <v>53</v>
      </c>
      <c r="AD2705" t="s">
        <v>53</v>
      </c>
      <c r="AK2705">
        <v>0</v>
      </c>
      <c r="AU2705" s="3">
        <v>42520</v>
      </c>
      <c r="AV2705" s="3">
        <v>42520</v>
      </c>
      <c r="AW2705" t="s">
        <v>54</v>
      </c>
      <c r="AX2705" t="str">
        <f t="shared" si="331"/>
        <v>FOR</v>
      </c>
      <c r="AY2705" t="s">
        <v>55</v>
      </c>
    </row>
    <row r="2706" spans="1:51">
      <c r="A2706">
        <v>104084</v>
      </c>
      <c r="B2706" t="s">
        <v>359</v>
      </c>
      <c r="C2706" t="str">
        <f t="shared" si="332"/>
        <v>13144290155</v>
      </c>
      <c r="D2706" t="str">
        <f t="shared" si="332"/>
        <v>13144290155</v>
      </c>
      <c r="E2706" t="s">
        <v>52</v>
      </c>
      <c r="F2706">
        <v>2015</v>
      </c>
      <c r="G2706" t="str">
        <f>"          2015306522"</f>
        <v xml:space="preserve">          2015306522</v>
      </c>
      <c r="H2706" s="3">
        <v>42174</v>
      </c>
      <c r="I2706" s="3">
        <v>42178</v>
      </c>
      <c r="J2706" s="3">
        <v>42175</v>
      </c>
      <c r="K2706" s="3">
        <v>42235</v>
      </c>
      <c r="L2706" s="1">
        <v>776</v>
      </c>
      <c r="M2706">
        <v>285</v>
      </c>
      <c r="N2706" s="5">
        <v>221160</v>
      </c>
      <c r="O2706">
        <v>776</v>
      </c>
      <c r="P2706">
        <v>285</v>
      </c>
      <c r="Q2706" s="4">
        <v>221160</v>
      </c>
      <c r="R2706">
        <v>0</v>
      </c>
      <c r="V2706">
        <v>0</v>
      </c>
      <c r="W2706">
        <v>0</v>
      </c>
      <c r="X2706">
        <v>0</v>
      </c>
      <c r="Y2706">
        <v>0</v>
      </c>
      <c r="Z2706">
        <v>0</v>
      </c>
      <c r="AA2706">
        <v>0</v>
      </c>
      <c r="AB2706" s="3">
        <v>42562</v>
      </c>
      <c r="AC2706" t="s">
        <v>53</v>
      </c>
      <c r="AD2706" t="s">
        <v>53</v>
      </c>
      <c r="AK2706">
        <v>0</v>
      </c>
      <c r="AU2706" s="3">
        <v>42520</v>
      </c>
      <c r="AV2706" s="3">
        <v>42520</v>
      </c>
      <c r="AW2706" t="s">
        <v>54</v>
      </c>
      <c r="AX2706" t="str">
        <f t="shared" si="331"/>
        <v>FOR</v>
      </c>
      <c r="AY2706" t="s">
        <v>55</v>
      </c>
    </row>
    <row r="2707" spans="1:51" hidden="1">
      <c r="A2707">
        <v>104093</v>
      </c>
      <c r="B2707" t="s">
        <v>360</v>
      </c>
      <c r="C2707" t="str">
        <f t="shared" ref="C2707:C2770" si="333">"06032681006"</f>
        <v>06032681006</v>
      </c>
      <c r="D2707" t="str">
        <f t="shared" ref="D2707:D2770" si="334">"12572900152"</f>
        <v>12572900152</v>
      </c>
      <c r="E2707" t="s">
        <v>52</v>
      </c>
      <c r="F2707">
        <v>2013</v>
      </c>
      <c r="G2707" t="str">
        <f>"            25128622"</f>
        <v xml:space="preserve">            25128622</v>
      </c>
      <c r="H2707" s="3">
        <v>41472</v>
      </c>
      <c r="I2707" s="3">
        <v>41939</v>
      </c>
      <c r="J2707" s="3">
        <v>41939</v>
      </c>
      <c r="K2707" s="3">
        <v>41999</v>
      </c>
      <c r="L2707"/>
      <c r="N2707"/>
      <c r="O2707">
        <v>74.88</v>
      </c>
      <c r="P2707">
        <v>431</v>
      </c>
      <c r="Q2707" s="4">
        <v>32273.279999999999</v>
      </c>
      <c r="R2707">
        <v>0</v>
      </c>
      <c r="V2707">
        <v>0</v>
      </c>
      <c r="W2707">
        <v>0</v>
      </c>
      <c r="X2707">
        <v>0</v>
      </c>
      <c r="Y2707">
        <v>0</v>
      </c>
      <c r="Z2707">
        <v>0</v>
      </c>
      <c r="AA2707">
        <v>0</v>
      </c>
      <c r="AB2707" s="3">
        <v>42562</v>
      </c>
      <c r="AC2707" t="s">
        <v>53</v>
      </c>
      <c r="AD2707" t="s">
        <v>53</v>
      </c>
      <c r="AK2707">
        <v>0</v>
      </c>
      <c r="AU2707" s="3">
        <v>42430</v>
      </c>
      <c r="AV2707" s="3">
        <v>42430</v>
      </c>
      <c r="AW2707" t="s">
        <v>54</v>
      </c>
      <c r="AX2707" t="str">
        <f t="shared" si="331"/>
        <v>FOR</v>
      </c>
      <c r="AY2707" t="s">
        <v>55</v>
      </c>
    </row>
    <row r="2708" spans="1:51" hidden="1">
      <c r="A2708">
        <v>104093</v>
      </c>
      <c r="B2708" t="s">
        <v>360</v>
      </c>
      <c r="C2708" t="str">
        <f t="shared" si="333"/>
        <v>06032681006</v>
      </c>
      <c r="D2708" t="str">
        <f t="shared" si="334"/>
        <v>12572900152</v>
      </c>
      <c r="E2708" t="s">
        <v>52</v>
      </c>
      <c r="F2708">
        <v>2014</v>
      </c>
      <c r="G2708" t="str">
        <f>"            25160270"</f>
        <v xml:space="preserve">            25160270</v>
      </c>
      <c r="H2708" s="3">
        <v>41662</v>
      </c>
      <c r="I2708" s="3">
        <v>42339</v>
      </c>
      <c r="J2708" s="3">
        <v>42339</v>
      </c>
      <c r="K2708" s="3">
        <v>42399</v>
      </c>
      <c r="L2708"/>
      <c r="N2708"/>
      <c r="O2708">
        <v>936</v>
      </c>
      <c r="P2708">
        <v>4</v>
      </c>
      <c r="Q2708" s="4">
        <v>3744</v>
      </c>
      <c r="R2708">
        <v>0</v>
      </c>
      <c r="V2708">
        <v>0</v>
      </c>
      <c r="W2708">
        <v>0</v>
      </c>
      <c r="X2708">
        <v>0</v>
      </c>
      <c r="Y2708">
        <v>0</v>
      </c>
      <c r="Z2708">
        <v>0</v>
      </c>
      <c r="AA2708">
        <v>0</v>
      </c>
      <c r="AB2708" s="3">
        <v>42562</v>
      </c>
      <c r="AC2708" t="s">
        <v>53</v>
      </c>
      <c r="AD2708" t="s">
        <v>53</v>
      </c>
      <c r="AK2708">
        <v>0</v>
      </c>
      <c r="AU2708" s="3">
        <v>42403</v>
      </c>
      <c r="AV2708" s="3">
        <v>42403</v>
      </c>
      <c r="AW2708" t="s">
        <v>54</v>
      </c>
      <c r="AX2708" t="str">
        <f t="shared" si="331"/>
        <v>FOR</v>
      </c>
      <c r="AY2708" t="s">
        <v>55</v>
      </c>
    </row>
    <row r="2709" spans="1:51" hidden="1">
      <c r="A2709">
        <v>104093</v>
      </c>
      <c r="B2709" t="s">
        <v>360</v>
      </c>
      <c r="C2709" t="str">
        <f t="shared" si="333"/>
        <v>06032681006</v>
      </c>
      <c r="D2709" t="str">
        <f t="shared" si="334"/>
        <v>12572900152</v>
      </c>
      <c r="E2709" t="s">
        <v>52</v>
      </c>
      <c r="F2709">
        <v>2014</v>
      </c>
      <c r="G2709" t="str">
        <f>"            25160271"</f>
        <v xml:space="preserve">            25160271</v>
      </c>
      <c r="H2709" s="3">
        <v>41662</v>
      </c>
      <c r="I2709" s="3">
        <v>42339</v>
      </c>
      <c r="J2709" s="3">
        <v>42339</v>
      </c>
      <c r="K2709" s="3">
        <v>42399</v>
      </c>
      <c r="L2709"/>
      <c r="N2709"/>
      <c r="O2709">
        <v>936</v>
      </c>
      <c r="P2709">
        <v>4</v>
      </c>
      <c r="Q2709" s="4">
        <v>3744</v>
      </c>
      <c r="R2709">
        <v>0</v>
      </c>
      <c r="V2709">
        <v>0</v>
      </c>
      <c r="W2709">
        <v>0</v>
      </c>
      <c r="X2709">
        <v>0</v>
      </c>
      <c r="Y2709">
        <v>0</v>
      </c>
      <c r="Z2709">
        <v>0</v>
      </c>
      <c r="AA2709">
        <v>0</v>
      </c>
      <c r="AB2709" s="3">
        <v>42562</v>
      </c>
      <c r="AC2709" t="s">
        <v>53</v>
      </c>
      <c r="AD2709" t="s">
        <v>53</v>
      </c>
      <c r="AK2709">
        <v>0</v>
      </c>
      <c r="AU2709" s="3">
        <v>42403</v>
      </c>
      <c r="AV2709" s="3">
        <v>42403</v>
      </c>
      <c r="AW2709" t="s">
        <v>54</v>
      </c>
      <c r="AX2709" t="str">
        <f t="shared" si="331"/>
        <v>FOR</v>
      </c>
      <c r="AY2709" t="s">
        <v>55</v>
      </c>
    </row>
    <row r="2710" spans="1:51" hidden="1">
      <c r="A2710">
        <v>104093</v>
      </c>
      <c r="B2710" t="s">
        <v>360</v>
      </c>
      <c r="C2710" t="str">
        <f t="shared" si="333"/>
        <v>06032681006</v>
      </c>
      <c r="D2710" t="str">
        <f t="shared" si="334"/>
        <v>12572900152</v>
      </c>
      <c r="E2710" t="s">
        <v>52</v>
      </c>
      <c r="F2710">
        <v>2014</v>
      </c>
      <c r="G2710" t="str">
        <f>"            25160272"</f>
        <v xml:space="preserve">            25160272</v>
      </c>
      <c r="H2710" s="3">
        <v>41662</v>
      </c>
      <c r="I2710" s="3">
        <v>42339</v>
      </c>
      <c r="J2710" s="3">
        <v>42339</v>
      </c>
      <c r="K2710" s="3">
        <v>42399</v>
      </c>
      <c r="L2710"/>
      <c r="N2710"/>
      <c r="O2710">
        <v>936</v>
      </c>
      <c r="P2710">
        <v>4</v>
      </c>
      <c r="Q2710" s="4">
        <v>3744</v>
      </c>
      <c r="R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 s="3">
        <v>42562</v>
      </c>
      <c r="AC2710" t="s">
        <v>53</v>
      </c>
      <c r="AD2710" t="s">
        <v>53</v>
      </c>
      <c r="AK2710">
        <v>0</v>
      </c>
      <c r="AU2710" s="3">
        <v>42403</v>
      </c>
      <c r="AV2710" s="3">
        <v>42403</v>
      </c>
      <c r="AW2710" t="s">
        <v>54</v>
      </c>
      <c r="AX2710" t="str">
        <f t="shared" si="331"/>
        <v>FOR</v>
      </c>
      <c r="AY2710" t="s">
        <v>55</v>
      </c>
    </row>
    <row r="2711" spans="1:51" hidden="1">
      <c r="A2711">
        <v>104093</v>
      </c>
      <c r="B2711" t="s">
        <v>360</v>
      </c>
      <c r="C2711" t="str">
        <f t="shared" si="333"/>
        <v>06032681006</v>
      </c>
      <c r="D2711" t="str">
        <f t="shared" si="334"/>
        <v>12572900152</v>
      </c>
      <c r="E2711" t="s">
        <v>52</v>
      </c>
      <c r="F2711">
        <v>2014</v>
      </c>
      <c r="G2711" t="str">
        <f>"            25160273"</f>
        <v xml:space="preserve">            25160273</v>
      </c>
      <c r="H2711" s="3">
        <v>41662</v>
      </c>
      <c r="I2711" s="3">
        <v>42339</v>
      </c>
      <c r="J2711" s="3">
        <v>42339</v>
      </c>
      <c r="K2711" s="3">
        <v>42399</v>
      </c>
      <c r="L2711"/>
      <c r="N2711"/>
      <c r="O2711">
        <v>936</v>
      </c>
      <c r="P2711">
        <v>4</v>
      </c>
      <c r="Q2711" s="4">
        <v>3744</v>
      </c>
      <c r="R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 s="3">
        <v>42562</v>
      </c>
      <c r="AC2711" t="s">
        <v>53</v>
      </c>
      <c r="AD2711" t="s">
        <v>53</v>
      </c>
      <c r="AK2711">
        <v>0</v>
      </c>
      <c r="AU2711" s="3">
        <v>42403</v>
      </c>
      <c r="AV2711" s="3">
        <v>42403</v>
      </c>
      <c r="AW2711" t="s">
        <v>54</v>
      </c>
      <c r="AX2711" t="str">
        <f t="shared" si="331"/>
        <v>FOR</v>
      </c>
      <c r="AY2711" t="s">
        <v>55</v>
      </c>
    </row>
    <row r="2712" spans="1:51" hidden="1">
      <c r="A2712">
        <v>104093</v>
      </c>
      <c r="B2712" t="s">
        <v>360</v>
      </c>
      <c r="C2712" t="str">
        <f t="shared" si="333"/>
        <v>06032681006</v>
      </c>
      <c r="D2712" t="str">
        <f t="shared" si="334"/>
        <v>12572900152</v>
      </c>
      <c r="E2712" t="s">
        <v>52</v>
      </c>
      <c r="F2712">
        <v>2014</v>
      </c>
      <c r="G2712" t="str">
        <f>"            25161154"</f>
        <v xml:space="preserve">            25161154</v>
      </c>
      <c r="H2712" s="3">
        <v>41667</v>
      </c>
      <c r="I2712" s="3">
        <v>42339</v>
      </c>
      <c r="J2712" s="3">
        <v>42339</v>
      </c>
      <c r="K2712" s="3">
        <v>42399</v>
      </c>
      <c r="L2712"/>
      <c r="N2712"/>
      <c r="O2712">
        <v>926.64</v>
      </c>
      <c r="P2712">
        <v>4</v>
      </c>
      <c r="Q2712" s="4">
        <v>3706.56</v>
      </c>
      <c r="R2712">
        <v>0</v>
      </c>
      <c r="V2712">
        <v>0</v>
      </c>
      <c r="W2712">
        <v>0</v>
      </c>
      <c r="X2712">
        <v>0</v>
      </c>
      <c r="Y2712">
        <v>0</v>
      </c>
      <c r="Z2712">
        <v>0</v>
      </c>
      <c r="AA2712">
        <v>0</v>
      </c>
      <c r="AB2712" s="3">
        <v>42562</v>
      </c>
      <c r="AC2712" t="s">
        <v>53</v>
      </c>
      <c r="AD2712" t="s">
        <v>53</v>
      </c>
      <c r="AK2712">
        <v>0</v>
      </c>
      <c r="AU2712" s="3">
        <v>42403</v>
      </c>
      <c r="AV2712" s="3">
        <v>42403</v>
      </c>
      <c r="AW2712" t="s">
        <v>54</v>
      </c>
      <c r="AX2712" t="str">
        <f t="shared" si="331"/>
        <v>FOR</v>
      </c>
      <c r="AY2712" t="s">
        <v>55</v>
      </c>
    </row>
    <row r="2713" spans="1:51" hidden="1">
      <c r="A2713">
        <v>104093</v>
      </c>
      <c r="B2713" t="s">
        <v>360</v>
      </c>
      <c r="C2713" t="str">
        <f t="shared" si="333"/>
        <v>06032681006</v>
      </c>
      <c r="D2713" t="str">
        <f t="shared" si="334"/>
        <v>12572900152</v>
      </c>
      <c r="E2713" t="s">
        <v>52</v>
      </c>
      <c r="F2713">
        <v>2014</v>
      </c>
      <c r="G2713" t="str">
        <f>"            25163499"</f>
        <v xml:space="preserve">            25163499</v>
      </c>
      <c r="H2713" s="3">
        <v>41680</v>
      </c>
      <c r="I2713" s="3">
        <v>41695</v>
      </c>
      <c r="J2713" s="3">
        <v>41695</v>
      </c>
      <c r="K2713" s="3">
        <v>41785</v>
      </c>
      <c r="L2713"/>
      <c r="N2713"/>
      <c r="O2713">
        <v>707.62</v>
      </c>
      <c r="P2713">
        <v>645</v>
      </c>
      <c r="Q2713" s="4">
        <v>456414.9</v>
      </c>
      <c r="R2713">
        <v>0</v>
      </c>
      <c r="V2713">
        <v>0</v>
      </c>
      <c r="W2713">
        <v>0</v>
      </c>
      <c r="X2713">
        <v>0</v>
      </c>
      <c r="Y2713">
        <v>0</v>
      </c>
      <c r="Z2713">
        <v>0</v>
      </c>
      <c r="AA2713">
        <v>0</v>
      </c>
      <c r="AB2713" s="3">
        <v>42562</v>
      </c>
      <c r="AC2713" t="s">
        <v>53</v>
      </c>
      <c r="AD2713" t="s">
        <v>53</v>
      </c>
      <c r="AK2713">
        <v>0</v>
      </c>
      <c r="AU2713" s="3">
        <v>42430</v>
      </c>
      <c r="AV2713" s="3">
        <v>42430</v>
      </c>
      <c r="AW2713" t="s">
        <v>54</v>
      </c>
      <c r="AX2713" t="str">
        <f t="shared" si="331"/>
        <v>FOR</v>
      </c>
      <c r="AY2713" t="s">
        <v>55</v>
      </c>
    </row>
    <row r="2714" spans="1:51" hidden="1">
      <c r="A2714">
        <v>104093</v>
      </c>
      <c r="B2714" t="s">
        <v>360</v>
      </c>
      <c r="C2714" t="str">
        <f t="shared" si="333"/>
        <v>06032681006</v>
      </c>
      <c r="D2714" t="str">
        <f t="shared" si="334"/>
        <v>12572900152</v>
      </c>
      <c r="E2714" t="s">
        <v>52</v>
      </c>
      <c r="F2714">
        <v>2014</v>
      </c>
      <c r="G2714" t="str">
        <f>"            25177205"</f>
        <v xml:space="preserve">            25177205</v>
      </c>
      <c r="H2714" s="3">
        <v>41752</v>
      </c>
      <c r="I2714" s="3">
        <v>42339</v>
      </c>
      <c r="J2714" s="3">
        <v>42339</v>
      </c>
      <c r="K2714" s="3">
        <v>42399</v>
      </c>
      <c r="L2714"/>
      <c r="N2714"/>
      <c r="O2714">
        <v>936</v>
      </c>
      <c r="P2714">
        <v>4</v>
      </c>
      <c r="Q2714" s="4">
        <v>3744</v>
      </c>
      <c r="R2714">
        <v>0</v>
      </c>
      <c r="V2714">
        <v>0</v>
      </c>
      <c r="W2714">
        <v>0</v>
      </c>
      <c r="X2714">
        <v>0</v>
      </c>
      <c r="Y2714">
        <v>0</v>
      </c>
      <c r="Z2714">
        <v>0</v>
      </c>
      <c r="AA2714">
        <v>0</v>
      </c>
      <c r="AB2714" s="3">
        <v>42562</v>
      </c>
      <c r="AC2714" t="s">
        <v>53</v>
      </c>
      <c r="AD2714" t="s">
        <v>53</v>
      </c>
      <c r="AK2714">
        <v>0</v>
      </c>
      <c r="AU2714" s="3">
        <v>42403</v>
      </c>
      <c r="AV2714" s="3">
        <v>42403</v>
      </c>
      <c r="AW2714" t="s">
        <v>54</v>
      </c>
      <c r="AX2714" t="str">
        <f t="shared" si="331"/>
        <v>FOR</v>
      </c>
      <c r="AY2714" t="s">
        <v>55</v>
      </c>
    </row>
    <row r="2715" spans="1:51" hidden="1">
      <c r="A2715">
        <v>104093</v>
      </c>
      <c r="B2715" t="s">
        <v>360</v>
      </c>
      <c r="C2715" t="str">
        <f t="shared" si="333"/>
        <v>06032681006</v>
      </c>
      <c r="D2715" t="str">
        <f t="shared" si="334"/>
        <v>12572900152</v>
      </c>
      <c r="E2715" t="s">
        <v>52</v>
      </c>
      <c r="F2715">
        <v>2014</v>
      </c>
      <c r="G2715" t="str">
        <f>"            25177206"</f>
        <v xml:space="preserve">            25177206</v>
      </c>
      <c r="H2715" s="3">
        <v>41752</v>
      </c>
      <c r="I2715" s="3">
        <v>42339</v>
      </c>
      <c r="J2715" s="3">
        <v>42339</v>
      </c>
      <c r="K2715" s="3">
        <v>42399</v>
      </c>
      <c r="L2715"/>
      <c r="N2715"/>
      <c r="O2715">
        <v>936</v>
      </c>
      <c r="P2715">
        <v>4</v>
      </c>
      <c r="Q2715" s="4">
        <v>3744</v>
      </c>
      <c r="R2715">
        <v>0</v>
      </c>
      <c r="V2715">
        <v>0</v>
      </c>
      <c r="W2715">
        <v>0</v>
      </c>
      <c r="X2715">
        <v>0</v>
      </c>
      <c r="Y2715">
        <v>0</v>
      </c>
      <c r="Z2715">
        <v>0</v>
      </c>
      <c r="AA2715">
        <v>0</v>
      </c>
      <c r="AB2715" s="3">
        <v>42562</v>
      </c>
      <c r="AC2715" t="s">
        <v>53</v>
      </c>
      <c r="AD2715" t="s">
        <v>53</v>
      </c>
      <c r="AK2715">
        <v>0</v>
      </c>
      <c r="AU2715" s="3">
        <v>42403</v>
      </c>
      <c r="AV2715" s="3">
        <v>42403</v>
      </c>
      <c r="AW2715" t="s">
        <v>54</v>
      </c>
      <c r="AX2715" t="str">
        <f t="shared" si="331"/>
        <v>FOR</v>
      </c>
      <c r="AY2715" t="s">
        <v>55</v>
      </c>
    </row>
    <row r="2716" spans="1:51" hidden="1">
      <c r="A2716">
        <v>104093</v>
      </c>
      <c r="B2716" t="s">
        <v>360</v>
      </c>
      <c r="C2716" t="str">
        <f t="shared" si="333"/>
        <v>06032681006</v>
      </c>
      <c r="D2716" t="str">
        <f t="shared" si="334"/>
        <v>12572900152</v>
      </c>
      <c r="E2716" t="s">
        <v>52</v>
      </c>
      <c r="F2716">
        <v>2014</v>
      </c>
      <c r="G2716" t="str">
        <f>"            25177208"</f>
        <v xml:space="preserve">            25177208</v>
      </c>
      <c r="H2716" s="3">
        <v>41752</v>
      </c>
      <c r="I2716" s="3">
        <v>42339</v>
      </c>
      <c r="J2716" s="3">
        <v>42339</v>
      </c>
      <c r="K2716" s="3">
        <v>42399</v>
      </c>
      <c r="L2716"/>
      <c r="N2716"/>
      <c r="O2716">
        <v>936</v>
      </c>
      <c r="P2716">
        <v>4</v>
      </c>
      <c r="Q2716" s="4">
        <v>3744</v>
      </c>
      <c r="R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 s="3">
        <v>42562</v>
      </c>
      <c r="AC2716" t="s">
        <v>53</v>
      </c>
      <c r="AD2716" t="s">
        <v>53</v>
      </c>
      <c r="AK2716">
        <v>0</v>
      </c>
      <c r="AU2716" s="3">
        <v>42403</v>
      </c>
      <c r="AV2716" s="3">
        <v>42403</v>
      </c>
      <c r="AW2716" t="s">
        <v>54</v>
      </c>
      <c r="AX2716" t="str">
        <f t="shared" si="331"/>
        <v>FOR</v>
      </c>
      <c r="AY2716" t="s">
        <v>55</v>
      </c>
    </row>
    <row r="2717" spans="1:51" hidden="1">
      <c r="A2717">
        <v>104093</v>
      </c>
      <c r="B2717" t="s">
        <v>360</v>
      </c>
      <c r="C2717" t="str">
        <f t="shared" si="333"/>
        <v>06032681006</v>
      </c>
      <c r="D2717" t="str">
        <f t="shared" si="334"/>
        <v>12572900152</v>
      </c>
      <c r="E2717" t="s">
        <v>52</v>
      </c>
      <c r="F2717">
        <v>2014</v>
      </c>
      <c r="G2717" t="str">
        <f>"            25177209"</f>
        <v xml:space="preserve">            25177209</v>
      </c>
      <c r="H2717" s="3">
        <v>41752</v>
      </c>
      <c r="I2717" s="3">
        <v>42339</v>
      </c>
      <c r="J2717" s="3">
        <v>42339</v>
      </c>
      <c r="K2717" s="3">
        <v>42399</v>
      </c>
      <c r="L2717"/>
      <c r="N2717"/>
      <c r="O2717">
        <v>936</v>
      </c>
      <c r="P2717">
        <v>4</v>
      </c>
      <c r="Q2717" s="4">
        <v>3744</v>
      </c>
      <c r="R2717">
        <v>0</v>
      </c>
      <c r="V2717">
        <v>0</v>
      </c>
      <c r="W2717">
        <v>0</v>
      </c>
      <c r="X2717">
        <v>0</v>
      </c>
      <c r="Y2717">
        <v>0</v>
      </c>
      <c r="Z2717">
        <v>0</v>
      </c>
      <c r="AA2717">
        <v>0</v>
      </c>
      <c r="AB2717" s="3">
        <v>42562</v>
      </c>
      <c r="AC2717" t="s">
        <v>53</v>
      </c>
      <c r="AD2717" t="s">
        <v>53</v>
      </c>
      <c r="AK2717">
        <v>0</v>
      </c>
      <c r="AU2717" s="3">
        <v>42403</v>
      </c>
      <c r="AV2717" s="3">
        <v>42403</v>
      </c>
      <c r="AW2717" t="s">
        <v>54</v>
      </c>
      <c r="AX2717" t="str">
        <f t="shared" si="331"/>
        <v>FOR</v>
      </c>
      <c r="AY2717" t="s">
        <v>55</v>
      </c>
    </row>
    <row r="2718" spans="1:51" hidden="1">
      <c r="A2718">
        <v>104093</v>
      </c>
      <c r="B2718" t="s">
        <v>360</v>
      </c>
      <c r="C2718" t="str">
        <f t="shared" si="333"/>
        <v>06032681006</v>
      </c>
      <c r="D2718" t="str">
        <f t="shared" si="334"/>
        <v>12572900152</v>
      </c>
      <c r="E2718" t="s">
        <v>52</v>
      </c>
      <c r="F2718">
        <v>2014</v>
      </c>
      <c r="G2718" t="str">
        <f>"            25177210"</f>
        <v xml:space="preserve">            25177210</v>
      </c>
      <c r="H2718" s="3">
        <v>41752</v>
      </c>
      <c r="I2718" s="3">
        <v>42339</v>
      </c>
      <c r="J2718" s="3">
        <v>42339</v>
      </c>
      <c r="K2718" s="3">
        <v>42399</v>
      </c>
      <c r="L2718"/>
      <c r="N2718"/>
      <c r="O2718">
        <v>936</v>
      </c>
      <c r="P2718">
        <v>4</v>
      </c>
      <c r="Q2718" s="4">
        <v>3744</v>
      </c>
      <c r="R2718">
        <v>0</v>
      </c>
      <c r="V2718">
        <v>0</v>
      </c>
      <c r="W2718">
        <v>0</v>
      </c>
      <c r="X2718">
        <v>0</v>
      </c>
      <c r="Y2718">
        <v>0</v>
      </c>
      <c r="Z2718">
        <v>0</v>
      </c>
      <c r="AA2718">
        <v>0</v>
      </c>
      <c r="AB2718" s="3">
        <v>42562</v>
      </c>
      <c r="AC2718" t="s">
        <v>53</v>
      </c>
      <c r="AD2718" t="s">
        <v>53</v>
      </c>
      <c r="AK2718">
        <v>0</v>
      </c>
      <c r="AU2718" s="3">
        <v>42403</v>
      </c>
      <c r="AV2718" s="3">
        <v>42403</v>
      </c>
      <c r="AW2718" t="s">
        <v>54</v>
      </c>
      <c r="AX2718" t="str">
        <f t="shared" si="331"/>
        <v>FOR</v>
      </c>
      <c r="AY2718" t="s">
        <v>55</v>
      </c>
    </row>
    <row r="2719" spans="1:51" hidden="1">
      <c r="A2719">
        <v>104093</v>
      </c>
      <c r="B2719" t="s">
        <v>360</v>
      </c>
      <c r="C2719" t="str">
        <f t="shared" si="333"/>
        <v>06032681006</v>
      </c>
      <c r="D2719" t="str">
        <f t="shared" si="334"/>
        <v>12572900152</v>
      </c>
      <c r="E2719" t="s">
        <v>52</v>
      </c>
      <c r="F2719">
        <v>2014</v>
      </c>
      <c r="G2719" t="str">
        <f>"            25177211"</f>
        <v xml:space="preserve">            25177211</v>
      </c>
      <c r="H2719" s="3">
        <v>41752</v>
      </c>
      <c r="I2719" s="3">
        <v>42339</v>
      </c>
      <c r="J2719" s="3">
        <v>42339</v>
      </c>
      <c r="K2719" s="3">
        <v>42399</v>
      </c>
      <c r="L2719"/>
      <c r="N2719"/>
      <c r="O2719">
        <v>936</v>
      </c>
      <c r="P2719">
        <v>4</v>
      </c>
      <c r="Q2719" s="4">
        <v>3744</v>
      </c>
      <c r="R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 s="3">
        <v>42562</v>
      </c>
      <c r="AC2719" t="s">
        <v>53</v>
      </c>
      <c r="AD2719" t="s">
        <v>53</v>
      </c>
      <c r="AK2719">
        <v>0</v>
      </c>
      <c r="AU2719" s="3">
        <v>42403</v>
      </c>
      <c r="AV2719" s="3">
        <v>42403</v>
      </c>
      <c r="AW2719" t="s">
        <v>54</v>
      </c>
      <c r="AX2719" t="str">
        <f t="shared" si="331"/>
        <v>FOR</v>
      </c>
      <c r="AY2719" t="s">
        <v>55</v>
      </c>
    </row>
    <row r="2720" spans="1:51" hidden="1">
      <c r="A2720">
        <v>104093</v>
      </c>
      <c r="B2720" t="s">
        <v>360</v>
      </c>
      <c r="C2720" t="str">
        <f t="shared" si="333"/>
        <v>06032681006</v>
      </c>
      <c r="D2720" t="str">
        <f t="shared" si="334"/>
        <v>12572900152</v>
      </c>
      <c r="E2720" t="s">
        <v>52</v>
      </c>
      <c r="F2720">
        <v>2014</v>
      </c>
      <c r="G2720" t="str">
        <f>"            25177212"</f>
        <v xml:space="preserve">            25177212</v>
      </c>
      <c r="H2720" s="3">
        <v>41752</v>
      </c>
      <c r="I2720" s="3">
        <v>42339</v>
      </c>
      <c r="J2720" s="3">
        <v>42339</v>
      </c>
      <c r="K2720" s="3">
        <v>42399</v>
      </c>
      <c r="L2720"/>
      <c r="N2720"/>
      <c r="O2720">
        <v>936</v>
      </c>
      <c r="P2720">
        <v>4</v>
      </c>
      <c r="Q2720" s="4">
        <v>3744</v>
      </c>
      <c r="R2720">
        <v>0</v>
      </c>
      <c r="V2720">
        <v>0</v>
      </c>
      <c r="W2720">
        <v>0</v>
      </c>
      <c r="X2720">
        <v>0</v>
      </c>
      <c r="Y2720">
        <v>0</v>
      </c>
      <c r="Z2720">
        <v>0</v>
      </c>
      <c r="AA2720">
        <v>0</v>
      </c>
      <c r="AB2720" s="3">
        <v>42562</v>
      </c>
      <c r="AC2720" t="s">
        <v>53</v>
      </c>
      <c r="AD2720" t="s">
        <v>53</v>
      </c>
      <c r="AK2720">
        <v>0</v>
      </c>
      <c r="AU2720" s="3">
        <v>42403</v>
      </c>
      <c r="AV2720" s="3">
        <v>42403</v>
      </c>
      <c r="AW2720" t="s">
        <v>54</v>
      </c>
      <c r="AX2720" t="str">
        <f t="shared" si="331"/>
        <v>FOR</v>
      </c>
      <c r="AY2720" t="s">
        <v>55</v>
      </c>
    </row>
    <row r="2721" spans="1:51" hidden="1">
      <c r="A2721">
        <v>104093</v>
      </c>
      <c r="B2721" t="s">
        <v>360</v>
      </c>
      <c r="C2721" t="str">
        <f t="shared" si="333"/>
        <v>06032681006</v>
      </c>
      <c r="D2721" t="str">
        <f t="shared" si="334"/>
        <v>12572900152</v>
      </c>
      <c r="E2721" t="s">
        <v>52</v>
      </c>
      <c r="F2721">
        <v>2014</v>
      </c>
      <c r="G2721" t="str">
        <f>"            25177213"</f>
        <v xml:space="preserve">            25177213</v>
      </c>
      <c r="H2721" s="3">
        <v>41752</v>
      </c>
      <c r="I2721" s="3">
        <v>42339</v>
      </c>
      <c r="J2721" s="3">
        <v>42339</v>
      </c>
      <c r="K2721" s="3">
        <v>42399</v>
      </c>
      <c r="L2721"/>
      <c r="N2721"/>
      <c r="O2721">
        <v>936</v>
      </c>
      <c r="P2721">
        <v>4</v>
      </c>
      <c r="Q2721" s="4">
        <v>3744</v>
      </c>
      <c r="R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 s="3">
        <v>42562</v>
      </c>
      <c r="AC2721" t="s">
        <v>53</v>
      </c>
      <c r="AD2721" t="s">
        <v>53</v>
      </c>
      <c r="AK2721">
        <v>0</v>
      </c>
      <c r="AU2721" s="3">
        <v>42403</v>
      </c>
      <c r="AV2721" s="3">
        <v>42403</v>
      </c>
      <c r="AW2721" t="s">
        <v>54</v>
      </c>
      <c r="AX2721" t="str">
        <f t="shared" si="331"/>
        <v>FOR</v>
      </c>
      <c r="AY2721" t="s">
        <v>55</v>
      </c>
    </row>
    <row r="2722" spans="1:51" hidden="1">
      <c r="A2722">
        <v>104093</v>
      </c>
      <c r="B2722" t="s">
        <v>360</v>
      </c>
      <c r="C2722" t="str">
        <f t="shared" si="333"/>
        <v>06032681006</v>
      </c>
      <c r="D2722" t="str">
        <f t="shared" si="334"/>
        <v>12572900152</v>
      </c>
      <c r="E2722" t="s">
        <v>52</v>
      </c>
      <c r="F2722">
        <v>2014</v>
      </c>
      <c r="G2722" t="str">
        <f>"            25187300"</f>
        <v xml:space="preserve">            25187300</v>
      </c>
      <c r="H2722" s="3">
        <v>41809</v>
      </c>
      <c r="I2722" s="3">
        <v>42339</v>
      </c>
      <c r="J2722" s="3">
        <v>42339</v>
      </c>
      <c r="K2722" s="3">
        <v>42399</v>
      </c>
      <c r="L2722"/>
      <c r="N2722"/>
      <c r="O2722">
        <v>252.72</v>
      </c>
      <c r="P2722">
        <v>4</v>
      </c>
      <c r="Q2722" s="4">
        <v>1010.88</v>
      </c>
      <c r="R2722">
        <v>0</v>
      </c>
      <c r="V2722">
        <v>0</v>
      </c>
      <c r="W2722">
        <v>0</v>
      </c>
      <c r="X2722">
        <v>0</v>
      </c>
      <c r="Y2722">
        <v>0</v>
      </c>
      <c r="Z2722">
        <v>0</v>
      </c>
      <c r="AA2722">
        <v>0</v>
      </c>
      <c r="AB2722" s="3">
        <v>42562</v>
      </c>
      <c r="AC2722" t="s">
        <v>53</v>
      </c>
      <c r="AD2722" t="s">
        <v>53</v>
      </c>
      <c r="AK2722">
        <v>0</v>
      </c>
      <c r="AU2722" s="3">
        <v>42403</v>
      </c>
      <c r="AV2722" s="3">
        <v>42403</v>
      </c>
      <c r="AW2722" t="s">
        <v>54</v>
      </c>
      <c r="AX2722" t="str">
        <f t="shared" si="331"/>
        <v>FOR</v>
      </c>
      <c r="AY2722" t="s">
        <v>55</v>
      </c>
    </row>
    <row r="2723" spans="1:51" hidden="1">
      <c r="A2723">
        <v>104093</v>
      </c>
      <c r="B2723" t="s">
        <v>360</v>
      </c>
      <c r="C2723" t="str">
        <f t="shared" si="333"/>
        <v>06032681006</v>
      </c>
      <c r="D2723" t="str">
        <f t="shared" si="334"/>
        <v>12572900152</v>
      </c>
      <c r="E2723" t="s">
        <v>52</v>
      </c>
      <c r="F2723">
        <v>2014</v>
      </c>
      <c r="G2723" t="str">
        <f>"            25187301"</f>
        <v xml:space="preserve">            25187301</v>
      </c>
      <c r="H2723" s="3">
        <v>41809</v>
      </c>
      <c r="I2723" s="3">
        <v>42339</v>
      </c>
      <c r="J2723" s="3">
        <v>42339</v>
      </c>
      <c r="K2723" s="3">
        <v>42399</v>
      </c>
      <c r="L2723"/>
      <c r="N2723"/>
      <c r="O2723">
        <v>707.62</v>
      </c>
      <c r="P2723">
        <v>4</v>
      </c>
      <c r="Q2723" s="4">
        <v>2830.48</v>
      </c>
      <c r="R2723">
        <v>0</v>
      </c>
      <c r="V2723">
        <v>0</v>
      </c>
      <c r="W2723">
        <v>0</v>
      </c>
      <c r="X2723">
        <v>0</v>
      </c>
      <c r="Y2723">
        <v>0</v>
      </c>
      <c r="Z2723">
        <v>0</v>
      </c>
      <c r="AA2723">
        <v>0</v>
      </c>
      <c r="AB2723" s="3">
        <v>42562</v>
      </c>
      <c r="AC2723" t="s">
        <v>53</v>
      </c>
      <c r="AD2723" t="s">
        <v>53</v>
      </c>
      <c r="AK2723">
        <v>0</v>
      </c>
      <c r="AU2723" s="3">
        <v>42403</v>
      </c>
      <c r="AV2723" s="3">
        <v>42403</v>
      </c>
      <c r="AW2723" t="s">
        <v>54</v>
      </c>
      <c r="AX2723" t="str">
        <f t="shared" si="331"/>
        <v>FOR</v>
      </c>
      <c r="AY2723" t="s">
        <v>55</v>
      </c>
    </row>
    <row r="2724" spans="1:51" hidden="1">
      <c r="A2724">
        <v>104093</v>
      </c>
      <c r="B2724" t="s">
        <v>360</v>
      </c>
      <c r="C2724" t="str">
        <f t="shared" si="333"/>
        <v>06032681006</v>
      </c>
      <c r="D2724" t="str">
        <f t="shared" si="334"/>
        <v>12572900152</v>
      </c>
      <c r="E2724" t="s">
        <v>52</v>
      </c>
      <c r="F2724">
        <v>2014</v>
      </c>
      <c r="G2724" t="str">
        <f>"            25187302"</f>
        <v xml:space="preserve">            25187302</v>
      </c>
      <c r="H2724" s="3">
        <v>41809</v>
      </c>
      <c r="I2724" s="3">
        <v>42339</v>
      </c>
      <c r="J2724" s="3">
        <v>42339</v>
      </c>
      <c r="K2724" s="3">
        <v>42399</v>
      </c>
      <c r="L2724"/>
      <c r="N2724"/>
      <c r="O2724">
        <v>74.88</v>
      </c>
      <c r="P2724">
        <v>4</v>
      </c>
      <c r="Q2724">
        <v>299.52</v>
      </c>
      <c r="R2724">
        <v>0</v>
      </c>
      <c r="V2724">
        <v>0</v>
      </c>
      <c r="W2724">
        <v>0</v>
      </c>
      <c r="X2724">
        <v>0</v>
      </c>
      <c r="Y2724">
        <v>0</v>
      </c>
      <c r="Z2724">
        <v>0</v>
      </c>
      <c r="AA2724">
        <v>0</v>
      </c>
      <c r="AB2724" s="3">
        <v>42562</v>
      </c>
      <c r="AC2724" t="s">
        <v>53</v>
      </c>
      <c r="AD2724" t="s">
        <v>53</v>
      </c>
      <c r="AK2724">
        <v>0</v>
      </c>
      <c r="AU2724" s="3">
        <v>42403</v>
      </c>
      <c r="AV2724" s="3">
        <v>42403</v>
      </c>
      <c r="AW2724" t="s">
        <v>54</v>
      </c>
      <c r="AX2724" t="str">
        <f t="shared" si="331"/>
        <v>FOR</v>
      </c>
      <c r="AY2724" t="s">
        <v>55</v>
      </c>
    </row>
    <row r="2725" spans="1:51" hidden="1">
      <c r="A2725">
        <v>104093</v>
      </c>
      <c r="B2725" t="s">
        <v>360</v>
      </c>
      <c r="C2725" t="str">
        <f t="shared" si="333"/>
        <v>06032681006</v>
      </c>
      <c r="D2725" t="str">
        <f t="shared" si="334"/>
        <v>12572900152</v>
      </c>
      <c r="E2725" t="s">
        <v>52</v>
      </c>
      <c r="F2725">
        <v>2014</v>
      </c>
      <c r="G2725" t="str">
        <f>"            25191610"</f>
        <v xml:space="preserve">            25191610</v>
      </c>
      <c r="H2725" s="3">
        <v>41835</v>
      </c>
      <c r="I2725" s="3">
        <v>42339</v>
      </c>
      <c r="J2725" s="3">
        <v>42339</v>
      </c>
      <c r="K2725" s="3">
        <v>42399</v>
      </c>
      <c r="L2725"/>
      <c r="N2725"/>
      <c r="O2725">
        <v>936</v>
      </c>
      <c r="P2725">
        <v>4</v>
      </c>
      <c r="Q2725" s="4">
        <v>3744</v>
      </c>
      <c r="R2725">
        <v>0</v>
      </c>
      <c r="V2725">
        <v>0</v>
      </c>
      <c r="W2725">
        <v>0</v>
      </c>
      <c r="X2725">
        <v>0</v>
      </c>
      <c r="Y2725">
        <v>0</v>
      </c>
      <c r="Z2725">
        <v>0</v>
      </c>
      <c r="AA2725">
        <v>0</v>
      </c>
      <c r="AB2725" s="3">
        <v>42562</v>
      </c>
      <c r="AC2725" t="s">
        <v>53</v>
      </c>
      <c r="AD2725" t="s">
        <v>53</v>
      </c>
      <c r="AK2725">
        <v>0</v>
      </c>
      <c r="AU2725" s="3">
        <v>42403</v>
      </c>
      <c r="AV2725" s="3">
        <v>42403</v>
      </c>
      <c r="AW2725" t="s">
        <v>54</v>
      </c>
      <c r="AX2725" t="str">
        <f t="shared" si="331"/>
        <v>FOR</v>
      </c>
      <c r="AY2725" t="s">
        <v>55</v>
      </c>
    </row>
    <row r="2726" spans="1:51" hidden="1">
      <c r="A2726">
        <v>104093</v>
      </c>
      <c r="B2726" t="s">
        <v>360</v>
      </c>
      <c r="C2726" t="str">
        <f t="shared" si="333"/>
        <v>06032681006</v>
      </c>
      <c r="D2726" t="str">
        <f t="shared" si="334"/>
        <v>12572900152</v>
      </c>
      <c r="E2726" t="s">
        <v>52</v>
      </c>
      <c r="F2726">
        <v>2014</v>
      </c>
      <c r="G2726" t="str">
        <f>"            25191611"</f>
        <v xml:space="preserve">            25191611</v>
      </c>
      <c r="H2726" s="3">
        <v>41835</v>
      </c>
      <c r="I2726" s="3">
        <v>42339</v>
      </c>
      <c r="J2726" s="3">
        <v>42339</v>
      </c>
      <c r="K2726" s="3">
        <v>42399</v>
      </c>
      <c r="L2726"/>
      <c r="N2726"/>
      <c r="O2726">
        <v>936</v>
      </c>
      <c r="P2726">
        <v>4</v>
      </c>
      <c r="Q2726" s="4">
        <v>3744</v>
      </c>
      <c r="R2726">
        <v>0</v>
      </c>
      <c r="V2726">
        <v>0</v>
      </c>
      <c r="W2726">
        <v>0</v>
      </c>
      <c r="X2726">
        <v>0</v>
      </c>
      <c r="Y2726">
        <v>0</v>
      </c>
      <c r="Z2726">
        <v>0</v>
      </c>
      <c r="AA2726">
        <v>0</v>
      </c>
      <c r="AB2726" s="3">
        <v>42562</v>
      </c>
      <c r="AC2726" t="s">
        <v>53</v>
      </c>
      <c r="AD2726" t="s">
        <v>53</v>
      </c>
      <c r="AK2726">
        <v>0</v>
      </c>
      <c r="AU2726" s="3">
        <v>42403</v>
      </c>
      <c r="AV2726" s="3">
        <v>42403</v>
      </c>
      <c r="AW2726" t="s">
        <v>54</v>
      </c>
      <c r="AX2726" t="str">
        <f t="shared" si="331"/>
        <v>FOR</v>
      </c>
      <c r="AY2726" t="s">
        <v>55</v>
      </c>
    </row>
    <row r="2727" spans="1:51" hidden="1">
      <c r="A2727">
        <v>104093</v>
      </c>
      <c r="B2727" t="s">
        <v>360</v>
      </c>
      <c r="C2727" t="str">
        <f t="shared" si="333"/>
        <v>06032681006</v>
      </c>
      <c r="D2727" t="str">
        <f t="shared" si="334"/>
        <v>12572900152</v>
      </c>
      <c r="E2727" t="s">
        <v>52</v>
      </c>
      <c r="F2727">
        <v>2014</v>
      </c>
      <c r="G2727" t="str">
        <f>"            25191612"</f>
        <v xml:space="preserve">            25191612</v>
      </c>
      <c r="H2727" s="3">
        <v>41835</v>
      </c>
      <c r="I2727" s="3">
        <v>42339</v>
      </c>
      <c r="J2727" s="3">
        <v>42339</v>
      </c>
      <c r="K2727" s="3">
        <v>42399</v>
      </c>
      <c r="L2727"/>
      <c r="N2727"/>
      <c r="O2727">
        <v>936</v>
      </c>
      <c r="P2727">
        <v>4</v>
      </c>
      <c r="Q2727" s="4">
        <v>3744</v>
      </c>
      <c r="R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 s="3">
        <v>42562</v>
      </c>
      <c r="AC2727" t="s">
        <v>53</v>
      </c>
      <c r="AD2727" t="s">
        <v>53</v>
      </c>
      <c r="AK2727">
        <v>0</v>
      </c>
      <c r="AU2727" s="3">
        <v>42403</v>
      </c>
      <c r="AV2727" s="3">
        <v>42403</v>
      </c>
      <c r="AW2727" t="s">
        <v>54</v>
      </c>
      <c r="AX2727" t="str">
        <f t="shared" si="331"/>
        <v>FOR</v>
      </c>
      <c r="AY2727" t="s">
        <v>55</v>
      </c>
    </row>
    <row r="2728" spans="1:51" hidden="1">
      <c r="A2728">
        <v>104093</v>
      </c>
      <c r="B2728" t="s">
        <v>360</v>
      </c>
      <c r="C2728" t="str">
        <f t="shared" si="333"/>
        <v>06032681006</v>
      </c>
      <c r="D2728" t="str">
        <f t="shared" si="334"/>
        <v>12572900152</v>
      </c>
      <c r="E2728" t="s">
        <v>52</v>
      </c>
      <c r="F2728">
        <v>2014</v>
      </c>
      <c r="G2728" t="str">
        <f>"            25191613"</f>
        <v xml:space="preserve">            25191613</v>
      </c>
      <c r="H2728" s="3">
        <v>41835</v>
      </c>
      <c r="I2728" s="3">
        <v>42339</v>
      </c>
      <c r="J2728" s="3">
        <v>42339</v>
      </c>
      <c r="K2728" s="3">
        <v>42399</v>
      </c>
      <c r="L2728"/>
      <c r="N2728"/>
      <c r="O2728" s="4">
        <v>3801.2</v>
      </c>
      <c r="P2728">
        <v>4</v>
      </c>
      <c r="Q2728" s="4">
        <v>15204.8</v>
      </c>
      <c r="R2728">
        <v>0</v>
      </c>
      <c r="V2728">
        <v>0</v>
      </c>
      <c r="W2728">
        <v>0</v>
      </c>
      <c r="X2728">
        <v>0</v>
      </c>
      <c r="Y2728">
        <v>0</v>
      </c>
      <c r="Z2728">
        <v>0</v>
      </c>
      <c r="AA2728">
        <v>0</v>
      </c>
      <c r="AB2728" s="3">
        <v>42562</v>
      </c>
      <c r="AC2728" t="s">
        <v>53</v>
      </c>
      <c r="AD2728" t="s">
        <v>53</v>
      </c>
      <c r="AK2728">
        <v>0</v>
      </c>
      <c r="AU2728" s="3">
        <v>42403</v>
      </c>
      <c r="AV2728" s="3">
        <v>42403</v>
      </c>
      <c r="AW2728" t="s">
        <v>54</v>
      </c>
      <c r="AX2728" t="str">
        <f t="shared" si="331"/>
        <v>FOR</v>
      </c>
      <c r="AY2728" t="s">
        <v>55</v>
      </c>
    </row>
    <row r="2729" spans="1:51" hidden="1">
      <c r="A2729">
        <v>104093</v>
      </c>
      <c r="B2729" t="s">
        <v>360</v>
      </c>
      <c r="C2729" t="str">
        <f t="shared" si="333"/>
        <v>06032681006</v>
      </c>
      <c r="D2729" t="str">
        <f t="shared" si="334"/>
        <v>12572900152</v>
      </c>
      <c r="E2729" t="s">
        <v>52</v>
      </c>
      <c r="F2729">
        <v>2014</v>
      </c>
      <c r="G2729" t="str">
        <f>"            25191614"</f>
        <v xml:space="preserve">            25191614</v>
      </c>
      <c r="H2729" s="3">
        <v>41835</v>
      </c>
      <c r="I2729" s="3">
        <v>42339</v>
      </c>
      <c r="J2729" s="3">
        <v>42339</v>
      </c>
      <c r="K2729" s="3">
        <v>42399</v>
      </c>
      <c r="L2729"/>
      <c r="N2729"/>
      <c r="O2729">
        <v>74.88</v>
      </c>
      <c r="P2729">
        <v>4</v>
      </c>
      <c r="Q2729">
        <v>299.52</v>
      </c>
      <c r="R2729">
        <v>0</v>
      </c>
      <c r="V2729">
        <v>0</v>
      </c>
      <c r="W2729">
        <v>0</v>
      </c>
      <c r="X2729">
        <v>0</v>
      </c>
      <c r="Y2729">
        <v>0</v>
      </c>
      <c r="Z2729">
        <v>0</v>
      </c>
      <c r="AA2729">
        <v>0</v>
      </c>
      <c r="AB2729" s="3">
        <v>42562</v>
      </c>
      <c r="AC2729" t="s">
        <v>53</v>
      </c>
      <c r="AD2729" t="s">
        <v>53</v>
      </c>
      <c r="AK2729">
        <v>0</v>
      </c>
      <c r="AU2729" s="3">
        <v>42403</v>
      </c>
      <c r="AV2729" s="3">
        <v>42403</v>
      </c>
      <c r="AW2729" t="s">
        <v>54</v>
      </c>
      <c r="AX2729" t="str">
        <f t="shared" si="331"/>
        <v>FOR</v>
      </c>
      <c r="AY2729" t="s">
        <v>55</v>
      </c>
    </row>
    <row r="2730" spans="1:51" hidden="1">
      <c r="A2730">
        <v>104093</v>
      </c>
      <c r="B2730" t="s">
        <v>360</v>
      </c>
      <c r="C2730" t="str">
        <f t="shared" si="333"/>
        <v>06032681006</v>
      </c>
      <c r="D2730" t="str">
        <f t="shared" si="334"/>
        <v>12572900152</v>
      </c>
      <c r="E2730" t="s">
        <v>52</v>
      </c>
      <c r="F2730">
        <v>2014</v>
      </c>
      <c r="G2730" t="str">
        <f>"            25191615"</f>
        <v xml:space="preserve">            25191615</v>
      </c>
      <c r="H2730" s="3">
        <v>41835</v>
      </c>
      <c r="I2730" s="3">
        <v>42339</v>
      </c>
      <c r="J2730" s="3">
        <v>42339</v>
      </c>
      <c r="K2730" s="3">
        <v>42399</v>
      </c>
      <c r="L2730"/>
      <c r="N2730"/>
      <c r="O2730">
        <v>252.72</v>
      </c>
      <c r="P2730">
        <v>4</v>
      </c>
      <c r="Q2730" s="4">
        <v>1010.88</v>
      </c>
      <c r="R2730">
        <v>0</v>
      </c>
      <c r="V2730">
        <v>0</v>
      </c>
      <c r="W2730">
        <v>0</v>
      </c>
      <c r="X2730">
        <v>0</v>
      </c>
      <c r="Y2730">
        <v>0</v>
      </c>
      <c r="Z2730">
        <v>0</v>
      </c>
      <c r="AA2730">
        <v>0</v>
      </c>
      <c r="AB2730" s="3">
        <v>42562</v>
      </c>
      <c r="AC2730" t="s">
        <v>53</v>
      </c>
      <c r="AD2730" t="s">
        <v>53</v>
      </c>
      <c r="AK2730">
        <v>0</v>
      </c>
      <c r="AU2730" s="3">
        <v>42403</v>
      </c>
      <c r="AV2730" s="3">
        <v>42403</v>
      </c>
      <c r="AW2730" t="s">
        <v>54</v>
      </c>
      <c r="AX2730" t="str">
        <f t="shared" si="331"/>
        <v>FOR</v>
      </c>
      <c r="AY2730" t="s">
        <v>55</v>
      </c>
    </row>
    <row r="2731" spans="1:51" hidden="1">
      <c r="A2731">
        <v>104093</v>
      </c>
      <c r="B2731" t="s">
        <v>360</v>
      </c>
      <c r="C2731" t="str">
        <f t="shared" si="333"/>
        <v>06032681006</v>
      </c>
      <c r="D2731" t="str">
        <f t="shared" si="334"/>
        <v>12572900152</v>
      </c>
      <c r="E2731" t="s">
        <v>52</v>
      </c>
      <c r="F2731">
        <v>2014</v>
      </c>
      <c r="G2731" t="str">
        <f>"            25191866"</f>
        <v xml:space="preserve">            25191866</v>
      </c>
      <c r="H2731" s="3">
        <v>41836</v>
      </c>
      <c r="I2731" s="3">
        <v>42339</v>
      </c>
      <c r="J2731" s="3">
        <v>42339</v>
      </c>
      <c r="K2731" s="3">
        <v>42399</v>
      </c>
      <c r="L2731"/>
      <c r="N2731"/>
      <c r="O2731">
        <v>707.62</v>
      </c>
      <c r="P2731">
        <v>4</v>
      </c>
      <c r="Q2731" s="4">
        <v>2830.48</v>
      </c>
      <c r="R2731">
        <v>0</v>
      </c>
      <c r="V2731">
        <v>0</v>
      </c>
      <c r="W2731">
        <v>0</v>
      </c>
      <c r="X2731">
        <v>0</v>
      </c>
      <c r="Y2731">
        <v>0</v>
      </c>
      <c r="Z2731">
        <v>0</v>
      </c>
      <c r="AA2731">
        <v>0</v>
      </c>
      <c r="AB2731" s="3">
        <v>42562</v>
      </c>
      <c r="AC2731" t="s">
        <v>53</v>
      </c>
      <c r="AD2731" t="s">
        <v>53</v>
      </c>
      <c r="AK2731">
        <v>0</v>
      </c>
      <c r="AU2731" s="3">
        <v>42403</v>
      </c>
      <c r="AV2731" s="3">
        <v>42403</v>
      </c>
      <c r="AW2731" t="s">
        <v>54</v>
      </c>
      <c r="AX2731" t="str">
        <f t="shared" si="331"/>
        <v>FOR</v>
      </c>
      <c r="AY2731" t="s">
        <v>55</v>
      </c>
    </row>
    <row r="2732" spans="1:51" hidden="1">
      <c r="A2732">
        <v>104093</v>
      </c>
      <c r="B2732" t="s">
        <v>360</v>
      </c>
      <c r="C2732" t="str">
        <f t="shared" si="333"/>
        <v>06032681006</v>
      </c>
      <c r="D2732" t="str">
        <f t="shared" si="334"/>
        <v>12572900152</v>
      </c>
      <c r="E2732" t="s">
        <v>52</v>
      </c>
      <c r="F2732">
        <v>2014</v>
      </c>
      <c r="G2732" t="str">
        <f>"            25192517"</f>
        <v xml:space="preserve">            25192517</v>
      </c>
      <c r="H2732" s="3">
        <v>41841</v>
      </c>
      <c r="I2732" s="3">
        <v>42339</v>
      </c>
      <c r="J2732" s="3">
        <v>42339</v>
      </c>
      <c r="K2732" s="3">
        <v>42399</v>
      </c>
      <c r="L2732"/>
      <c r="N2732"/>
      <c r="O2732">
        <v>691.6</v>
      </c>
      <c r="P2732">
        <v>4</v>
      </c>
      <c r="Q2732" s="4">
        <v>2766.4</v>
      </c>
      <c r="R2732">
        <v>0</v>
      </c>
      <c r="V2732">
        <v>0</v>
      </c>
      <c r="W2732">
        <v>0</v>
      </c>
      <c r="X2732">
        <v>0</v>
      </c>
      <c r="Y2732">
        <v>0</v>
      </c>
      <c r="Z2732">
        <v>0</v>
      </c>
      <c r="AA2732">
        <v>0</v>
      </c>
      <c r="AB2732" s="3">
        <v>42562</v>
      </c>
      <c r="AC2732" t="s">
        <v>53</v>
      </c>
      <c r="AD2732" t="s">
        <v>53</v>
      </c>
      <c r="AK2732">
        <v>0</v>
      </c>
      <c r="AU2732" s="3">
        <v>42403</v>
      </c>
      <c r="AV2732" s="3">
        <v>42403</v>
      </c>
      <c r="AW2732" t="s">
        <v>54</v>
      </c>
      <c r="AX2732" t="str">
        <f t="shared" si="331"/>
        <v>FOR</v>
      </c>
      <c r="AY2732" t="s">
        <v>55</v>
      </c>
    </row>
    <row r="2733" spans="1:51" hidden="1">
      <c r="A2733">
        <v>104093</v>
      </c>
      <c r="B2733" t="s">
        <v>360</v>
      </c>
      <c r="C2733" t="str">
        <f t="shared" si="333"/>
        <v>06032681006</v>
      </c>
      <c r="D2733" t="str">
        <f t="shared" si="334"/>
        <v>12572900152</v>
      </c>
      <c r="E2733" t="s">
        <v>52</v>
      </c>
      <c r="F2733">
        <v>2014</v>
      </c>
      <c r="G2733" t="str">
        <f>"            25210787"</f>
        <v xml:space="preserve">            25210787</v>
      </c>
      <c r="H2733" s="3">
        <v>41953</v>
      </c>
      <c r="I2733" s="3">
        <v>42340</v>
      </c>
      <c r="J2733" s="3">
        <v>42340</v>
      </c>
      <c r="K2733" s="3">
        <v>42400</v>
      </c>
      <c r="L2733"/>
      <c r="N2733"/>
      <c r="O2733">
        <v>707.62</v>
      </c>
      <c r="P2733">
        <v>3</v>
      </c>
      <c r="Q2733" s="4">
        <v>2122.86</v>
      </c>
      <c r="R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>
        <v>0</v>
      </c>
      <c r="AB2733" s="3">
        <v>42562</v>
      </c>
      <c r="AC2733" t="s">
        <v>53</v>
      </c>
      <c r="AD2733" t="s">
        <v>53</v>
      </c>
      <c r="AK2733">
        <v>0</v>
      </c>
      <c r="AU2733" s="3">
        <v>42403</v>
      </c>
      <c r="AV2733" s="3">
        <v>42403</v>
      </c>
      <c r="AW2733" t="s">
        <v>54</v>
      </c>
      <c r="AX2733" t="str">
        <f t="shared" si="331"/>
        <v>FOR</v>
      </c>
      <c r="AY2733" t="s">
        <v>55</v>
      </c>
    </row>
    <row r="2734" spans="1:51" hidden="1">
      <c r="A2734">
        <v>104093</v>
      </c>
      <c r="B2734" t="s">
        <v>360</v>
      </c>
      <c r="C2734" t="str">
        <f t="shared" si="333"/>
        <v>06032681006</v>
      </c>
      <c r="D2734" t="str">
        <f t="shared" si="334"/>
        <v>12572900152</v>
      </c>
      <c r="E2734" t="s">
        <v>52</v>
      </c>
      <c r="F2734">
        <v>2014</v>
      </c>
      <c r="G2734" t="str">
        <f>"            25210788"</f>
        <v xml:space="preserve">            25210788</v>
      </c>
      <c r="H2734" s="3">
        <v>41953</v>
      </c>
      <c r="I2734" s="3">
        <v>42340</v>
      </c>
      <c r="J2734" s="3">
        <v>42340</v>
      </c>
      <c r="K2734" s="3">
        <v>42400</v>
      </c>
      <c r="L2734"/>
      <c r="N2734"/>
      <c r="O2734">
        <v>252.72</v>
      </c>
      <c r="P2734">
        <v>3</v>
      </c>
      <c r="Q2734">
        <v>758.16</v>
      </c>
      <c r="R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 s="3">
        <v>42562</v>
      </c>
      <c r="AC2734" t="s">
        <v>53</v>
      </c>
      <c r="AD2734" t="s">
        <v>53</v>
      </c>
      <c r="AK2734">
        <v>0</v>
      </c>
      <c r="AU2734" s="3">
        <v>42403</v>
      </c>
      <c r="AV2734" s="3">
        <v>42403</v>
      </c>
      <c r="AW2734" t="s">
        <v>54</v>
      </c>
      <c r="AX2734" t="str">
        <f t="shared" si="331"/>
        <v>FOR</v>
      </c>
      <c r="AY2734" t="s">
        <v>55</v>
      </c>
    </row>
    <row r="2735" spans="1:51" hidden="1">
      <c r="A2735">
        <v>104093</v>
      </c>
      <c r="B2735" t="s">
        <v>360</v>
      </c>
      <c r="C2735" t="str">
        <f t="shared" si="333"/>
        <v>06032681006</v>
      </c>
      <c r="D2735" t="str">
        <f t="shared" si="334"/>
        <v>12572900152</v>
      </c>
      <c r="E2735" t="s">
        <v>52</v>
      </c>
      <c r="F2735">
        <v>2014</v>
      </c>
      <c r="G2735" t="str">
        <f>"            25210789"</f>
        <v xml:space="preserve">            25210789</v>
      </c>
      <c r="H2735" s="3">
        <v>41953</v>
      </c>
      <c r="I2735" s="3">
        <v>42340</v>
      </c>
      <c r="J2735" s="3">
        <v>42340</v>
      </c>
      <c r="K2735" s="3">
        <v>42400</v>
      </c>
      <c r="L2735"/>
      <c r="N2735"/>
      <c r="O2735">
        <v>74.88</v>
      </c>
      <c r="P2735">
        <v>3</v>
      </c>
      <c r="Q2735">
        <v>224.64</v>
      </c>
      <c r="R2735">
        <v>0</v>
      </c>
      <c r="V2735">
        <v>0</v>
      </c>
      <c r="W2735">
        <v>0</v>
      </c>
      <c r="X2735">
        <v>0</v>
      </c>
      <c r="Y2735">
        <v>0</v>
      </c>
      <c r="Z2735">
        <v>0</v>
      </c>
      <c r="AA2735">
        <v>0</v>
      </c>
      <c r="AB2735" s="3">
        <v>42562</v>
      </c>
      <c r="AC2735" t="s">
        <v>53</v>
      </c>
      <c r="AD2735" t="s">
        <v>53</v>
      </c>
      <c r="AK2735">
        <v>0</v>
      </c>
      <c r="AU2735" s="3">
        <v>42403</v>
      </c>
      <c r="AV2735" s="3">
        <v>42403</v>
      </c>
      <c r="AW2735" t="s">
        <v>54</v>
      </c>
      <c r="AX2735" t="str">
        <f t="shared" si="331"/>
        <v>FOR</v>
      </c>
      <c r="AY2735" t="s">
        <v>55</v>
      </c>
    </row>
    <row r="2736" spans="1:51" hidden="1">
      <c r="A2736">
        <v>104093</v>
      </c>
      <c r="B2736" t="s">
        <v>360</v>
      </c>
      <c r="C2736" t="str">
        <f t="shared" si="333"/>
        <v>06032681006</v>
      </c>
      <c r="D2736" t="str">
        <f t="shared" si="334"/>
        <v>12572900152</v>
      </c>
      <c r="E2736" t="s">
        <v>52</v>
      </c>
      <c r="F2736">
        <v>2014</v>
      </c>
      <c r="G2736" t="str">
        <f>"            25210790"</f>
        <v xml:space="preserve">            25210790</v>
      </c>
      <c r="H2736" s="3">
        <v>41953</v>
      </c>
      <c r="I2736" s="3">
        <v>42340</v>
      </c>
      <c r="J2736" s="3">
        <v>42340</v>
      </c>
      <c r="K2736" s="3">
        <v>42400</v>
      </c>
      <c r="L2736"/>
      <c r="N2736"/>
      <c r="O2736">
        <v>252.72</v>
      </c>
      <c r="P2736">
        <v>3</v>
      </c>
      <c r="Q2736">
        <v>758.16</v>
      </c>
      <c r="R2736">
        <v>0</v>
      </c>
      <c r="V2736">
        <v>0</v>
      </c>
      <c r="W2736">
        <v>0</v>
      </c>
      <c r="X2736">
        <v>0</v>
      </c>
      <c r="Y2736">
        <v>0</v>
      </c>
      <c r="Z2736">
        <v>0</v>
      </c>
      <c r="AA2736">
        <v>0</v>
      </c>
      <c r="AB2736" s="3">
        <v>42562</v>
      </c>
      <c r="AC2736" t="s">
        <v>53</v>
      </c>
      <c r="AD2736" t="s">
        <v>53</v>
      </c>
      <c r="AK2736">
        <v>0</v>
      </c>
      <c r="AU2736" s="3">
        <v>42403</v>
      </c>
      <c r="AV2736" s="3">
        <v>42403</v>
      </c>
      <c r="AW2736" t="s">
        <v>54</v>
      </c>
      <c r="AX2736" t="str">
        <f t="shared" si="331"/>
        <v>FOR</v>
      </c>
      <c r="AY2736" t="s">
        <v>55</v>
      </c>
    </row>
    <row r="2737" spans="1:51" hidden="1">
      <c r="A2737">
        <v>104093</v>
      </c>
      <c r="B2737" t="s">
        <v>360</v>
      </c>
      <c r="C2737" t="str">
        <f t="shared" si="333"/>
        <v>06032681006</v>
      </c>
      <c r="D2737" t="str">
        <f t="shared" si="334"/>
        <v>12572900152</v>
      </c>
      <c r="E2737" t="s">
        <v>52</v>
      </c>
      <c r="F2737">
        <v>2014</v>
      </c>
      <c r="G2737" t="str">
        <f>"            25210791"</f>
        <v xml:space="preserve">            25210791</v>
      </c>
      <c r="H2737" s="3">
        <v>41953</v>
      </c>
      <c r="I2737" s="3">
        <v>42340</v>
      </c>
      <c r="J2737" s="3">
        <v>42340</v>
      </c>
      <c r="K2737" s="3">
        <v>42400</v>
      </c>
      <c r="L2737"/>
      <c r="N2737"/>
      <c r="O2737">
        <v>707.62</v>
      </c>
      <c r="P2737">
        <v>3</v>
      </c>
      <c r="Q2737" s="4">
        <v>2122.86</v>
      </c>
      <c r="R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 s="3">
        <v>42562</v>
      </c>
      <c r="AC2737" t="s">
        <v>53</v>
      </c>
      <c r="AD2737" t="s">
        <v>53</v>
      </c>
      <c r="AK2737">
        <v>0</v>
      </c>
      <c r="AU2737" s="3">
        <v>42403</v>
      </c>
      <c r="AV2737" s="3">
        <v>42403</v>
      </c>
      <c r="AW2737" t="s">
        <v>54</v>
      </c>
      <c r="AX2737" t="str">
        <f t="shared" si="331"/>
        <v>FOR</v>
      </c>
      <c r="AY2737" t="s">
        <v>55</v>
      </c>
    </row>
    <row r="2738" spans="1:51" hidden="1">
      <c r="A2738">
        <v>104093</v>
      </c>
      <c r="B2738" t="s">
        <v>360</v>
      </c>
      <c r="C2738" t="str">
        <f t="shared" si="333"/>
        <v>06032681006</v>
      </c>
      <c r="D2738" t="str">
        <f t="shared" si="334"/>
        <v>12572900152</v>
      </c>
      <c r="E2738" t="s">
        <v>52</v>
      </c>
      <c r="F2738">
        <v>2014</v>
      </c>
      <c r="G2738" t="str">
        <f>"            25210792"</f>
        <v xml:space="preserve">            25210792</v>
      </c>
      <c r="H2738" s="3">
        <v>41953</v>
      </c>
      <c r="I2738" s="3">
        <v>42340</v>
      </c>
      <c r="J2738" s="3">
        <v>42340</v>
      </c>
      <c r="K2738" s="3">
        <v>42400</v>
      </c>
      <c r="L2738"/>
      <c r="N2738"/>
      <c r="O2738">
        <v>74.88</v>
      </c>
      <c r="P2738">
        <v>3</v>
      </c>
      <c r="Q2738">
        <v>224.64</v>
      </c>
      <c r="R2738">
        <v>0</v>
      </c>
      <c r="V2738">
        <v>0</v>
      </c>
      <c r="W2738">
        <v>0</v>
      </c>
      <c r="X2738">
        <v>0</v>
      </c>
      <c r="Y2738">
        <v>0</v>
      </c>
      <c r="Z2738">
        <v>0</v>
      </c>
      <c r="AA2738">
        <v>0</v>
      </c>
      <c r="AB2738" s="3">
        <v>42562</v>
      </c>
      <c r="AC2738" t="s">
        <v>53</v>
      </c>
      <c r="AD2738" t="s">
        <v>53</v>
      </c>
      <c r="AK2738">
        <v>0</v>
      </c>
      <c r="AU2738" s="3">
        <v>42403</v>
      </c>
      <c r="AV2738" s="3">
        <v>42403</v>
      </c>
      <c r="AW2738" t="s">
        <v>54</v>
      </c>
      <c r="AX2738" t="str">
        <f t="shared" si="331"/>
        <v>FOR</v>
      </c>
      <c r="AY2738" t="s">
        <v>55</v>
      </c>
    </row>
    <row r="2739" spans="1:51" hidden="1">
      <c r="A2739">
        <v>104093</v>
      </c>
      <c r="B2739" t="s">
        <v>360</v>
      </c>
      <c r="C2739" t="str">
        <f t="shared" si="333"/>
        <v>06032681006</v>
      </c>
      <c r="D2739" t="str">
        <f t="shared" si="334"/>
        <v>12572900152</v>
      </c>
      <c r="E2739" t="s">
        <v>52</v>
      </c>
      <c r="F2739">
        <v>2014</v>
      </c>
      <c r="G2739" t="str">
        <f>"            25211799"</f>
        <v xml:space="preserve">            25211799</v>
      </c>
      <c r="H2739" s="3">
        <v>41957</v>
      </c>
      <c r="I2739" s="3">
        <v>42340</v>
      </c>
      <c r="J2739" s="3">
        <v>42340</v>
      </c>
      <c r="K2739" s="3">
        <v>42400</v>
      </c>
      <c r="L2739"/>
      <c r="N2739"/>
      <c r="O2739">
        <v>74.88</v>
      </c>
      <c r="P2739">
        <v>3</v>
      </c>
      <c r="Q2739">
        <v>224.64</v>
      </c>
      <c r="R2739">
        <v>0</v>
      </c>
      <c r="V2739">
        <v>0</v>
      </c>
      <c r="W2739">
        <v>0</v>
      </c>
      <c r="X2739">
        <v>0</v>
      </c>
      <c r="Y2739">
        <v>0</v>
      </c>
      <c r="Z2739">
        <v>0</v>
      </c>
      <c r="AA2739">
        <v>0</v>
      </c>
      <c r="AB2739" s="3">
        <v>42562</v>
      </c>
      <c r="AC2739" t="s">
        <v>53</v>
      </c>
      <c r="AD2739" t="s">
        <v>53</v>
      </c>
      <c r="AK2739">
        <v>0</v>
      </c>
      <c r="AU2739" s="3">
        <v>42403</v>
      </c>
      <c r="AV2739" s="3">
        <v>42403</v>
      </c>
      <c r="AW2739" t="s">
        <v>54</v>
      </c>
      <c r="AX2739" t="str">
        <f t="shared" si="331"/>
        <v>FOR</v>
      </c>
      <c r="AY2739" t="s">
        <v>55</v>
      </c>
    </row>
    <row r="2740" spans="1:51" hidden="1">
      <c r="A2740">
        <v>104093</v>
      </c>
      <c r="B2740" t="s">
        <v>360</v>
      </c>
      <c r="C2740" t="str">
        <f t="shared" si="333"/>
        <v>06032681006</v>
      </c>
      <c r="D2740" t="str">
        <f t="shared" si="334"/>
        <v>12572900152</v>
      </c>
      <c r="E2740" t="s">
        <v>52</v>
      </c>
      <c r="F2740">
        <v>2014</v>
      </c>
      <c r="G2740" t="str">
        <f>"            25211857"</f>
        <v xml:space="preserve">            25211857</v>
      </c>
      <c r="H2740" s="3">
        <v>41957</v>
      </c>
      <c r="I2740" s="3">
        <v>42340</v>
      </c>
      <c r="J2740" s="3">
        <v>42340</v>
      </c>
      <c r="K2740" s="3">
        <v>42400</v>
      </c>
      <c r="L2740"/>
      <c r="N2740"/>
      <c r="O2740">
        <v>252.72</v>
      </c>
      <c r="P2740">
        <v>3</v>
      </c>
      <c r="Q2740">
        <v>758.16</v>
      </c>
      <c r="R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 s="3">
        <v>42562</v>
      </c>
      <c r="AC2740" t="s">
        <v>53</v>
      </c>
      <c r="AD2740" t="s">
        <v>53</v>
      </c>
      <c r="AK2740">
        <v>0</v>
      </c>
      <c r="AU2740" s="3">
        <v>42403</v>
      </c>
      <c r="AV2740" s="3">
        <v>42403</v>
      </c>
      <c r="AW2740" t="s">
        <v>54</v>
      </c>
      <c r="AX2740" t="str">
        <f t="shared" si="331"/>
        <v>FOR</v>
      </c>
      <c r="AY2740" t="s">
        <v>55</v>
      </c>
    </row>
    <row r="2741" spans="1:51" hidden="1">
      <c r="A2741">
        <v>104093</v>
      </c>
      <c r="B2741" t="s">
        <v>360</v>
      </c>
      <c r="C2741" t="str">
        <f t="shared" si="333"/>
        <v>06032681006</v>
      </c>
      <c r="D2741" t="str">
        <f t="shared" si="334"/>
        <v>12572900152</v>
      </c>
      <c r="E2741" t="s">
        <v>52</v>
      </c>
      <c r="F2741">
        <v>2014</v>
      </c>
      <c r="G2741" t="str">
        <f>"            25212608"</f>
        <v xml:space="preserve">            25212608</v>
      </c>
      <c r="H2741" s="3">
        <v>41962</v>
      </c>
      <c r="I2741" s="3">
        <v>42340</v>
      </c>
      <c r="J2741" s="3">
        <v>42340</v>
      </c>
      <c r="K2741" s="3">
        <v>42400</v>
      </c>
      <c r="L2741"/>
      <c r="N2741"/>
      <c r="O2741">
        <v>252.72</v>
      </c>
      <c r="P2741">
        <v>3</v>
      </c>
      <c r="Q2741">
        <v>758.16</v>
      </c>
      <c r="R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 s="3">
        <v>42562</v>
      </c>
      <c r="AC2741" t="s">
        <v>53</v>
      </c>
      <c r="AD2741" t="s">
        <v>53</v>
      </c>
      <c r="AK2741">
        <v>0</v>
      </c>
      <c r="AU2741" s="3">
        <v>42403</v>
      </c>
      <c r="AV2741" s="3">
        <v>42403</v>
      </c>
      <c r="AW2741" t="s">
        <v>54</v>
      </c>
      <c r="AX2741" t="str">
        <f t="shared" si="331"/>
        <v>FOR</v>
      </c>
      <c r="AY2741" t="s">
        <v>55</v>
      </c>
    </row>
    <row r="2742" spans="1:51" hidden="1">
      <c r="A2742">
        <v>104093</v>
      </c>
      <c r="B2742" t="s">
        <v>360</v>
      </c>
      <c r="C2742" t="str">
        <f t="shared" si="333"/>
        <v>06032681006</v>
      </c>
      <c r="D2742" t="str">
        <f t="shared" si="334"/>
        <v>12572900152</v>
      </c>
      <c r="E2742" t="s">
        <v>52</v>
      </c>
      <c r="F2742">
        <v>2014</v>
      </c>
      <c r="G2742" t="str">
        <f>"            25212609"</f>
        <v xml:space="preserve">            25212609</v>
      </c>
      <c r="H2742" s="3">
        <v>41962</v>
      </c>
      <c r="I2742" s="3">
        <v>42340</v>
      </c>
      <c r="J2742" s="3">
        <v>42340</v>
      </c>
      <c r="K2742" s="3">
        <v>42400</v>
      </c>
      <c r="L2742"/>
      <c r="N2742"/>
      <c r="O2742">
        <v>707.62</v>
      </c>
      <c r="P2742">
        <v>3</v>
      </c>
      <c r="Q2742" s="4">
        <v>2122.86</v>
      </c>
      <c r="R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 s="3">
        <v>42562</v>
      </c>
      <c r="AC2742" t="s">
        <v>53</v>
      </c>
      <c r="AD2742" t="s">
        <v>53</v>
      </c>
      <c r="AK2742">
        <v>0</v>
      </c>
      <c r="AU2742" s="3">
        <v>42403</v>
      </c>
      <c r="AV2742" s="3">
        <v>42403</v>
      </c>
      <c r="AW2742" t="s">
        <v>54</v>
      </c>
      <c r="AX2742" t="str">
        <f t="shared" si="331"/>
        <v>FOR</v>
      </c>
      <c r="AY2742" t="s">
        <v>55</v>
      </c>
    </row>
    <row r="2743" spans="1:51" hidden="1">
      <c r="A2743">
        <v>104093</v>
      </c>
      <c r="B2743" t="s">
        <v>360</v>
      </c>
      <c r="C2743" t="str">
        <f t="shared" si="333"/>
        <v>06032681006</v>
      </c>
      <c r="D2743" t="str">
        <f t="shared" si="334"/>
        <v>12572900152</v>
      </c>
      <c r="E2743" t="s">
        <v>52</v>
      </c>
      <c r="F2743">
        <v>2014</v>
      </c>
      <c r="G2743" t="str">
        <f>"            25212610"</f>
        <v xml:space="preserve">            25212610</v>
      </c>
      <c r="H2743" s="3">
        <v>41962</v>
      </c>
      <c r="I2743" s="3">
        <v>42340</v>
      </c>
      <c r="J2743" s="3">
        <v>42340</v>
      </c>
      <c r="K2743" s="3">
        <v>42400</v>
      </c>
      <c r="L2743"/>
      <c r="N2743"/>
      <c r="O2743">
        <v>74.88</v>
      </c>
      <c r="P2743">
        <v>3</v>
      </c>
      <c r="Q2743">
        <v>224.64</v>
      </c>
      <c r="R2743">
        <v>0</v>
      </c>
      <c r="V2743">
        <v>0</v>
      </c>
      <c r="W2743">
        <v>0</v>
      </c>
      <c r="X2743">
        <v>0</v>
      </c>
      <c r="Y2743">
        <v>0</v>
      </c>
      <c r="Z2743">
        <v>0</v>
      </c>
      <c r="AA2743">
        <v>0</v>
      </c>
      <c r="AB2743" s="3">
        <v>42562</v>
      </c>
      <c r="AC2743" t="s">
        <v>53</v>
      </c>
      <c r="AD2743" t="s">
        <v>53</v>
      </c>
      <c r="AK2743">
        <v>0</v>
      </c>
      <c r="AU2743" s="3">
        <v>42403</v>
      </c>
      <c r="AV2743" s="3">
        <v>42403</v>
      </c>
      <c r="AW2743" t="s">
        <v>54</v>
      </c>
      <c r="AX2743" t="str">
        <f t="shared" si="331"/>
        <v>FOR</v>
      </c>
      <c r="AY2743" t="s">
        <v>55</v>
      </c>
    </row>
    <row r="2744" spans="1:51" hidden="1">
      <c r="A2744">
        <v>104093</v>
      </c>
      <c r="B2744" t="s">
        <v>360</v>
      </c>
      <c r="C2744" t="str">
        <f t="shared" si="333"/>
        <v>06032681006</v>
      </c>
      <c r="D2744" t="str">
        <f t="shared" si="334"/>
        <v>12572900152</v>
      </c>
      <c r="E2744" t="s">
        <v>52</v>
      </c>
      <c r="F2744">
        <v>2014</v>
      </c>
      <c r="G2744" t="str">
        <f>"            25214179"</f>
        <v xml:space="preserve">            25214179</v>
      </c>
      <c r="H2744" s="3">
        <v>41969</v>
      </c>
      <c r="I2744" s="3">
        <v>42340</v>
      </c>
      <c r="J2744" s="3">
        <v>42340</v>
      </c>
      <c r="K2744" s="3">
        <v>42400</v>
      </c>
      <c r="L2744"/>
      <c r="N2744"/>
      <c r="O2744">
        <v>116.48</v>
      </c>
      <c r="P2744">
        <v>3</v>
      </c>
      <c r="Q2744">
        <v>349.44</v>
      </c>
      <c r="R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 s="3">
        <v>42562</v>
      </c>
      <c r="AC2744" t="s">
        <v>53</v>
      </c>
      <c r="AD2744" t="s">
        <v>53</v>
      </c>
      <c r="AK2744">
        <v>0</v>
      </c>
      <c r="AU2744" s="3">
        <v>42403</v>
      </c>
      <c r="AV2744" s="3">
        <v>42403</v>
      </c>
      <c r="AW2744" t="s">
        <v>54</v>
      </c>
      <c r="AX2744" t="str">
        <f t="shared" ref="AX2744:AX2807" si="335">"FOR"</f>
        <v>FOR</v>
      </c>
      <c r="AY2744" t="s">
        <v>55</v>
      </c>
    </row>
    <row r="2745" spans="1:51" hidden="1">
      <c r="A2745">
        <v>104093</v>
      </c>
      <c r="B2745" t="s">
        <v>360</v>
      </c>
      <c r="C2745" t="str">
        <f t="shared" si="333"/>
        <v>06032681006</v>
      </c>
      <c r="D2745" t="str">
        <f t="shared" si="334"/>
        <v>12572900152</v>
      </c>
      <c r="E2745" t="s">
        <v>52</v>
      </c>
      <c r="F2745">
        <v>2014</v>
      </c>
      <c r="G2745" t="str">
        <f>"            25214749"</f>
        <v xml:space="preserve">            25214749</v>
      </c>
      <c r="H2745" s="3">
        <v>41971</v>
      </c>
      <c r="I2745" s="3">
        <v>42340</v>
      </c>
      <c r="J2745" s="3">
        <v>42340</v>
      </c>
      <c r="K2745" s="3">
        <v>42400</v>
      </c>
      <c r="L2745"/>
      <c r="N2745"/>
      <c r="O2745">
        <v>403.42</v>
      </c>
      <c r="P2745">
        <v>3</v>
      </c>
      <c r="Q2745" s="4">
        <v>1210.26</v>
      </c>
      <c r="R2745">
        <v>0</v>
      </c>
      <c r="V2745">
        <v>0</v>
      </c>
      <c r="W2745">
        <v>0</v>
      </c>
      <c r="X2745">
        <v>0</v>
      </c>
      <c r="Y2745">
        <v>0</v>
      </c>
      <c r="Z2745">
        <v>0</v>
      </c>
      <c r="AA2745">
        <v>0</v>
      </c>
      <c r="AB2745" s="3">
        <v>42562</v>
      </c>
      <c r="AC2745" t="s">
        <v>53</v>
      </c>
      <c r="AD2745" t="s">
        <v>53</v>
      </c>
      <c r="AK2745">
        <v>0</v>
      </c>
      <c r="AU2745" s="3">
        <v>42403</v>
      </c>
      <c r="AV2745" s="3">
        <v>42403</v>
      </c>
      <c r="AW2745" t="s">
        <v>54</v>
      </c>
      <c r="AX2745" t="str">
        <f t="shared" si="335"/>
        <v>FOR</v>
      </c>
      <c r="AY2745" t="s">
        <v>55</v>
      </c>
    </row>
    <row r="2746" spans="1:51" hidden="1">
      <c r="A2746">
        <v>104093</v>
      </c>
      <c r="B2746" t="s">
        <v>360</v>
      </c>
      <c r="C2746" t="str">
        <f t="shared" si="333"/>
        <v>06032681006</v>
      </c>
      <c r="D2746" t="str">
        <f t="shared" si="334"/>
        <v>12572900152</v>
      </c>
      <c r="E2746" t="s">
        <v>52</v>
      </c>
      <c r="F2746">
        <v>2014</v>
      </c>
      <c r="G2746" t="str">
        <f>"            25214750"</f>
        <v xml:space="preserve">            25214750</v>
      </c>
      <c r="H2746" s="3">
        <v>41971</v>
      </c>
      <c r="I2746" s="3">
        <v>42340</v>
      </c>
      <c r="J2746" s="3">
        <v>42340</v>
      </c>
      <c r="K2746" s="3">
        <v>42400</v>
      </c>
      <c r="L2746"/>
      <c r="N2746"/>
      <c r="O2746">
        <v>74.88</v>
      </c>
      <c r="P2746">
        <v>3</v>
      </c>
      <c r="Q2746">
        <v>224.64</v>
      </c>
      <c r="R2746">
        <v>0</v>
      </c>
      <c r="V2746">
        <v>0</v>
      </c>
      <c r="W2746">
        <v>0</v>
      </c>
      <c r="X2746">
        <v>0</v>
      </c>
      <c r="Y2746">
        <v>0</v>
      </c>
      <c r="Z2746">
        <v>0</v>
      </c>
      <c r="AA2746">
        <v>0</v>
      </c>
      <c r="AB2746" s="3">
        <v>42562</v>
      </c>
      <c r="AC2746" t="s">
        <v>53</v>
      </c>
      <c r="AD2746" t="s">
        <v>53</v>
      </c>
      <c r="AK2746">
        <v>0</v>
      </c>
      <c r="AU2746" s="3">
        <v>42403</v>
      </c>
      <c r="AV2746" s="3">
        <v>42403</v>
      </c>
      <c r="AW2746" t="s">
        <v>54</v>
      </c>
      <c r="AX2746" t="str">
        <f t="shared" si="335"/>
        <v>FOR</v>
      </c>
      <c r="AY2746" t="s">
        <v>55</v>
      </c>
    </row>
    <row r="2747" spans="1:51" hidden="1">
      <c r="A2747">
        <v>104093</v>
      </c>
      <c r="B2747" t="s">
        <v>360</v>
      </c>
      <c r="C2747" t="str">
        <f t="shared" si="333"/>
        <v>06032681006</v>
      </c>
      <c r="D2747" t="str">
        <f t="shared" si="334"/>
        <v>12572900152</v>
      </c>
      <c r="E2747" t="s">
        <v>52</v>
      </c>
      <c r="F2747">
        <v>2014</v>
      </c>
      <c r="G2747" t="str">
        <f>"            25214751"</f>
        <v xml:space="preserve">            25214751</v>
      </c>
      <c r="H2747" s="3">
        <v>41971</v>
      </c>
      <c r="I2747" s="3">
        <v>42340</v>
      </c>
      <c r="J2747" s="3">
        <v>42340</v>
      </c>
      <c r="K2747" s="3">
        <v>42400</v>
      </c>
      <c r="L2747"/>
      <c r="N2747"/>
      <c r="O2747">
        <v>74.88</v>
      </c>
      <c r="P2747">
        <v>3</v>
      </c>
      <c r="Q2747">
        <v>224.64</v>
      </c>
      <c r="R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 s="3">
        <v>42562</v>
      </c>
      <c r="AC2747" t="s">
        <v>53</v>
      </c>
      <c r="AD2747" t="s">
        <v>53</v>
      </c>
      <c r="AK2747">
        <v>0</v>
      </c>
      <c r="AU2747" s="3">
        <v>42403</v>
      </c>
      <c r="AV2747" s="3">
        <v>42403</v>
      </c>
      <c r="AW2747" t="s">
        <v>54</v>
      </c>
      <c r="AX2747" t="str">
        <f t="shared" si="335"/>
        <v>FOR</v>
      </c>
      <c r="AY2747" t="s">
        <v>55</v>
      </c>
    </row>
    <row r="2748" spans="1:51" hidden="1">
      <c r="A2748">
        <v>104093</v>
      </c>
      <c r="B2748" t="s">
        <v>360</v>
      </c>
      <c r="C2748" t="str">
        <f t="shared" si="333"/>
        <v>06032681006</v>
      </c>
      <c r="D2748" t="str">
        <f t="shared" si="334"/>
        <v>12572900152</v>
      </c>
      <c r="E2748" t="s">
        <v>52</v>
      </c>
      <c r="F2748">
        <v>2014</v>
      </c>
      <c r="G2748" t="str">
        <f>"            25214752"</f>
        <v xml:space="preserve">            25214752</v>
      </c>
      <c r="H2748" s="3">
        <v>41971</v>
      </c>
      <c r="I2748" s="3">
        <v>42340</v>
      </c>
      <c r="J2748" s="3">
        <v>42340</v>
      </c>
      <c r="K2748" s="3">
        <v>42400</v>
      </c>
      <c r="L2748"/>
      <c r="N2748"/>
      <c r="O2748">
        <v>74.88</v>
      </c>
      <c r="P2748">
        <v>3</v>
      </c>
      <c r="Q2748">
        <v>224.64</v>
      </c>
      <c r="R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 s="3">
        <v>42562</v>
      </c>
      <c r="AC2748" t="s">
        <v>53</v>
      </c>
      <c r="AD2748" t="s">
        <v>53</v>
      </c>
      <c r="AK2748">
        <v>0</v>
      </c>
      <c r="AU2748" s="3">
        <v>42403</v>
      </c>
      <c r="AV2748" s="3">
        <v>42403</v>
      </c>
      <c r="AW2748" t="s">
        <v>54</v>
      </c>
      <c r="AX2748" t="str">
        <f t="shared" si="335"/>
        <v>FOR</v>
      </c>
      <c r="AY2748" t="s">
        <v>55</v>
      </c>
    </row>
    <row r="2749" spans="1:51" hidden="1">
      <c r="A2749">
        <v>104093</v>
      </c>
      <c r="B2749" t="s">
        <v>360</v>
      </c>
      <c r="C2749" t="str">
        <f t="shared" si="333"/>
        <v>06032681006</v>
      </c>
      <c r="D2749" t="str">
        <f t="shared" si="334"/>
        <v>12572900152</v>
      </c>
      <c r="E2749" t="s">
        <v>52</v>
      </c>
      <c r="F2749">
        <v>2014</v>
      </c>
      <c r="G2749" t="str">
        <f>"            25216597"</f>
        <v xml:space="preserve">            25216597</v>
      </c>
      <c r="H2749" s="3">
        <v>41983</v>
      </c>
      <c r="I2749" s="3">
        <v>42340</v>
      </c>
      <c r="J2749" s="3">
        <v>42340</v>
      </c>
      <c r="K2749" s="3">
        <v>42400</v>
      </c>
      <c r="L2749"/>
      <c r="N2749"/>
      <c r="O2749">
        <v>252.72</v>
      </c>
      <c r="P2749">
        <v>3</v>
      </c>
      <c r="Q2749">
        <v>758.16</v>
      </c>
      <c r="R2749">
        <v>0</v>
      </c>
      <c r="V2749">
        <v>0</v>
      </c>
      <c r="W2749">
        <v>0</v>
      </c>
      <c r="X2749">
        <v>0</v>
      </c>
      <c r="Y2749">
        <v>0</v>
      </c>
      <c r="Z2749">
        <v>0</v>
      </c>
      <c r="AA2749">
        <v>0</v>
      </c>
      <c r="AB2749" s="3">
        <v>42562</v>
      </c>
      <c r="AC2749" t="s">
        <v>53</v>
      </c>
      <c r="AD2749" t="s">
        <v>53</v>
      </c>
      <c r="AK2749">
        <v>0</v>
      </c>
      <c r="AU2749" s="3">
        <v>42403</v>
      </c>
      <c r="AV2749" s="3">
        <v>42403</v>
      </c>
      <c r="AW2749" t="s">
        <v>54</v>
      </c>
      <c r="AX2749" t="str">
        <f t="shared" si="335"/>
        <v>FOR</v>
      </c>
      <c r="AY2749" t="s">
        <v>55</v>
      </c>
    </row>
    <row r="2750" spans="1:51" hidden="1">
      <c r="A2750">
        <v>104093</v>
      </c>
      <c r="B2750" t="s">
        <v>360</v>
      </c>
      <c r="C2750" t="str">
        <f t="shared" si="333"/>
        <v>06032681006</v>
      </c>
      <c r="D2750" t="str">
        <f t="shared" si="334"/>
        <v>12572900152</v>
      </c>
      <c r="E2750" t="s">
        <v>52</v>
      </c>
      <c r="F2750">
        <v>2014</v>
      </c>
      <c r="G2750" t="str">
        <f>"            25216598"</f>
        <v xml:space="preserve">            25216598</v>
      </c>
      <c r="H2750" s="3">
        <v>41983</v>
      </c>
      <c r="I2750" s="3">
        <v>42340</v>
      </c>
      <c r="J2750" s="3">
        <v>42340</v>
      </c>
      <c r="K2750" s="3">
        <v>42400</v>
      </c>
      <c r="L2750"/>
      <c r="N2750"/>
      <c r="O2750">
        <v>707.62</v>
      </c>
      <c r="P2750">
        <v>3</v>
      </c>
      <c r="Q2750" s="4">
        <v>2122.86</v>
      </c>
      <c r="R2750">
        <v>0</v>
      </c>
      <c r="V2750">
        <v>0</v>
      </c>
      <c r="W2750">
        <v>0</v>
      </c>
      <c r="X2750">
        <v>0</v>
      </c>
      <c r="Y2750">
        <v>0</v>
      </c>
      <c r="Z2750">
        <v>0</v>
      </c>
      <c r="AA2750">
        <v>0</v>
      </c>
      <c r="AB2750" s="3">
        <v>42562</v>
      </c>
      <c r="AC2750" t="s">
        <v>53</v>
      </c>
      <c r="AD2750" t="s">
        <v>53</v>
      </c>
      <c r="AK2750">
        <v>0</v>
      </c>
      <c r="AU2750" s="3">
        <v>42403</v>
      </c>
      <c r="AV2750" s="3">
        <v>42403</v>
      </c>
      <c r="AW2750" t="s">
        <v>54</v>
      </c>
      <c r="AX2750" t="str">
        <f t="shared" si="335"/>
        <v>FOR</v>
      </c>
      <c r="AY2750" t="s">
        <v>55</v>
      </c>
    </row>
    <row r="2751" spans="1:51" hidden="1">
      <c r="A2751">
        <v>104093</v>
      </c>
      <c r="B2751" t="s">
        <v>360</v>
      </c>
      <c r="C2751" t="str">
        <f t="shared" si="333"/>
        <v>06032681006</v>
      </c>
      <c r="D2751" t="str">
        <f t="shared" si="334"/>
        <v>12572900152</v>
      </c>
      <c r="E2751" t="s">
        <v>52</v>
      </c>
      <c r="F2751">
        <v>2014</v>
      </c>
      <c r="G2751" t="str">
        <f>"            25219586"</f>
        <v xml:space="preserve">            25219586</v>
      </c>
      <c r="H2751" s="3">
        <v>42002</v>
      </c>
      <c r="I2751" s="3">
        <v>42340</v>
      </c>
      <c r="J2751" s="3">
        <v>42340</v>
      </c>
      <c r="K2751" s="3">
        <v>42400</v>
      </c>
      <c r="L2751"/>
      <c r="N2751"/>
      <c r="O2751">
        <v>707.62</v>
      </c>
      <c r="P2751">
        <v>3</v>
      </c>
      <c r="Q2751" s="4">
        <v>2122.86</v>
      </c>
      <c r="R2751">
        <v>0</v>
      </c>
      <c r="V2751">
        <v>0</v>
      </c>
      <c r="W2751">
        <v>0</v>
      </c>
      <c r="X2751">
        <v>0</v>
      </c>
      <c r="Y2751">
        <v>0</v>
      </c>
      <c r="Z2751">
        <v>0</v>
      </c>
      <c r="AA2751">
        <v>0</v>
      </c>
      <c r="AB2751" s="3">
        <v>42562</v>
      </c>
      <c r="AC2751" t="s">
        <v>53</v>
      </c>
      <c r="AD2751" t="s">
        <v>53</v>
      </c>
      <c r="AK2751">
        <v>0</v>
      </c>
      <c r="AU2751" s="3">
        <v>42403</v>
      </c>
      <c r="AV2751" s="3">
        <v>42403</v>
      </c>
      <c r="AW2751" t="s">
        <v>54</v>
      </c>
      <c r="AX2751" t="str">
        <f t="shared" si="335"/>
        <v>FOR</v>
      </c>
      <c r="AY2751" t="s">
        <v>55</v>
      </c>
    </row>
    <row r="2752" spans="1:51" hidden="1">
      <c r="A2752">
        <v>104093</v>
      </c>
      <c r="B2752" t="s">
        <v>360</v>
      </c>
      <c r="C2752" t="str">
        <f t="shared" si="333"/>
        <v>06032681006</v>
      </c>
      <c r="D2752" t="str">
        <f t="shared" si="334"/>
        <v>12572900152</v>
      </c>
      <c r="E2752" t="s">
        <v>52</v>
      </c>
      <c r="F2752">
        <v>2015</v>
      </c>
      <c r="G2752" t="str">
        <f>"            25227134"</f>
        <v xml:space="preserve">            25227134</v>
      </c>
      <c r="H2752" s="3">
        <v>42041</v>
      </c>
      <c r="I2752" s="3">
        <v>42059</v>
      </c>
      <c r="J2752" s="3">
        <v>42059</v>
      </c>
      <c r="K2752" s="3">
        <v>42119</v>
      </c>
      <c r="L2752"/>
      <c r="N2752"/>
      <c r="O2752">
        <v>675.75</v>
      </c>
      <c r="P2752">
        <v>284</v>
      </c>
      <c r="Q2752" s="4">
        <v>191913</v>
      </c>
      <c r="R2752">
        <v>0</v>
      </c>
      <c r="V2752">
        <v>0</v>
      </c>
      <c r="W2752">
        <v>0</v>
      </c>
      <c r="X2752">
        <v>0</v>
      </c>
      <c r="Y2752">
        <v>0</v>
      </c>
      <c r="Z2752">
        <v>0</v>
      </c>
      <c r="AA2752">
        <v>0</v>
      </c>
      <c r="AB2752" s="3">
        <v>42562</v>
      </c>
      <c r="AC2752" t="s">
        <v>53</v>
      </c>
      <c r="AD2752" t="s">
        <v>53</v>
      </c>
      <c r="AK2752">
        <v>0</v>
      </c>
      <c r="AU2752" s="3">
        <v>42403</v>
      </c>
      <c r="AV2752" s="3">
        <v>42403</v>
      </c>
      <c r="AW2752" t="s">
        <v>54</v>
      </c>
      <c r="AX2752" t="str">
        <f t="shared" si="335"/>
        <v>FOR</v>
      </c>
      <c r="AY2752" t="s">
        <v>55</v>
      </c>
    </row>
    <row r="2753" spans="1:51" hidden="1">
      <c r="A2753">
        <v>104093</v>
      </c>
      <c r="B2753" t="s">
        <v>360</v>
      </c>
      <c r="C2753" t="str">
        <f t="shared" si="333"/>
        <v>06032681006</v>
      </c>
      <c r="D2753" t="str">
        <f t="shared" si="334"/>
        <v>12572900152</v>
      </c>
      <c r="E2753" t="s">
        <v>52</v>
      </c>
      <c r="F2753">
        <v>2015</v>
      </c>
      <c r="G2753" t="str">
        <f>"            25227389"</f>
        <v xml:space="preserve">            25227389</v>
      </c>
      <c r="H2753" s="3">
        <v>42044</v>
      </c>
      <c r="I2753" s="3">
        <v>42059</v>
      </c>
      <c r="J2753" s="3">
        <v>42059</v>
      </c>
      <c r="K2753" s="3">
        <v>42119</v>
      </c>
      <c r="L2753"/>
      <c r="N2753"/>
      <c r="O2753" s="4">
        <v>3208.75</v>
      </c>
      <c r="P2753">
        <v>284</v>
      </c>
      <c r="Q2753" s="4">
        <v>911285</v>
      </c>
      <c r="R2753">
        <v>0</v>
      </c>
      <c r="V2753">
        <v>0</v>
      </c>
      <c r="W2753">
        <v>0</v>
      </c>
      <c r="X2753">
        <v>0</v>
      </c>
      <c r="Y2753">
        <v>0</v>
      </c>
      <c r="Z2753">
        <v>0</v>
      </c>
      <c r="AA2753">
        <v>0</v>
      </c>
      <c r="AB2753" s="3">
        <v>42562</v>
      </c>
      <c r="AC2753" t="s">
        <v>53</v>
      </c>
      <c r="AD2753" t="s">
        <v>53</v>
      </c>
      <c r="AK2753">
        <v>0</v>
      </c>
      <c r="AU2753" s="3">
        <v>42403</v>
      </c>
      <c r="AV2753" s="3">
        <v>42403</v>
      </c>
      <c r="AW2753" t="s">
        <v>54</v>
      </c>
      <c r="AX2753" t="str">
        <f t="shared" si="335"/>
        <v>FOR</v>
      </c>
      <c r="AY2753" t="s">
        <v>55</v>
      </c>
    </row>
    <row r="2754" spans="1:51" hidden="1">
      <c r="A2754">
        <v>104093</v>
      </c>
      <c r="B2754" t="s">
        <v>360</v>
      </c>
      <c r="C2754" t="str">
        <f t="shared" si="333"/>
        <v>06032681006</v>
      </c>
      <c r="D2754" t="str">
        <f t="shared" si="334"/>
        <v>12572900152</v>
      </c>
      <c r="E2754" t="s">
        <v>52</v>
      </c>
      <c r="F2754">
        <v>2015</v>
      </c>
      <c r="G2754" t="str">
        <f>"            25227403"</f>
        <v xml:space="preserve">            25227403</v>
      </c>
      <c r="H2754" s="3">
        <v>42044</v>
      </c>
      <c r="I2754" s="3">
        <v>42059</v>
      </c>
      <c r="J2754" s="3">
        <v>42059</v>
      </c>
      <c r="K2754" s="3">
        <v>42119</v>
      </c>
      <c r="L2754"/>
      <c r="N2754"/>
      <c r="O2754" s="4">
        <v>4590</v>
      </c>
      <c r="P2754">
        <v>284</v>
      </c>
      <c r="Q2754" s="4">
        <v>1303560</v>
      </c>
      <c r="R2754">
        <v>0</v>
      </c>
      <c r="V2754">
        <v>0</v>
      </c>
      <c r="W2754">
        <v>0</v>
      </c>
      <c r="X2754">
        <v>0</v>
      </c>
      <c r="Y2754">
        <v>0</v>
      </c>
      <c r="Z2754">
        <v>0</v>
      </c>
      <c r="AA2754">
        <v>0</v>
      </c>
      <c r="AB2754" s="3">
        <v>42562</v>
      </c>
      <c r="AC2754" t="s">
        <v>53</v>
      </c>
      <c r="AD2754" t="s">
        <v>53</v>
      </c>
      <c r="AK2754">
        <v>0</v>
      </c>
      <c r="AU2754" s="3">
        <v>42403</v>
      </c>
      <c r="AV2754" s="3">
        <v>42403</v>
      </c>
      <c r="AW2754" t="s">
        <v>54</v>
      </c>
      <c r="AX2754" t="str">
        <f t="shared" si="335"/>
        <v>FOR</v>
      </c>
      <c r="AY2754" t="s">
        <v>55</v>
      </c>
    </row>
    <row r="2755" spans="1:51" hidden="1">
      <c r="A2755">
        <v>104093</v>
      </c>
      <c r="B2755" t="s">
        <v>360</v>
      </c>
      <c r="C2755" t="str">
        <f t="shared" si="333"/>
        <v>06032681006</v>
      </c>
      <c r="D2755" t="str">
        <f t="shared" si="334"/>
        <v>12572900152</v>
      </c>
      <c r="E2755" t="s">
        <v>52</v>
      </c>
      <c r="F2755">
        <v>2015</v>
      </c>
      <c r="G2755" t="str">
        <f>"            25227446"</f>
        <v xml:space="preserve">            25227446</v>
      </c>
      <c r="H2755" s="3">
        <v>42044</v>
      </c>
      <c r="I2755" s="3">
        <v>42059</v>
      </c>
      <c r="J2755" s="3">
        <v>42059</v>
      </c>
      <c r="K2755" s="3">
        <v>42119</v>
      </c>
      <c r="L2755"/>
      <c r="N2755"/>
      <c r="O2755" s="4">
        <v>3138</v>
      </c>
      <c r="P2755">
        <v>284</v>
      </c>
      <c r="Q2755" s="4">
        <v>891192</v>
      </c>
      <c r="R2755">
        <v>0</v>
      </c>
      <c r="V2755">
        <v>0</v>
      </c>
      <c r="W2755">
        <v>0</v>
      </c>
      <c r="X2755">
        <v>0</v>
      </c>
      <c r="Y2755">
        <v>0</v>
      </c>
      <c r="Z2755">
        <v>0</v>
      </c>
      <c r="AA2755">
        <v>0</v>
      </c>
      <c r="AB2755" s="3">
        <v>42562</v>
      </c>
      <c r="AC2755" t="s">
        <v>53</v>
      </c>
      <c r="AD2755" t="s">
        <v>53</v>
      </c>
      <c r="AK2755">
        <v>0</v>
      </c>
      <c r="AU2755" s="3">
        <v>42403</v>
      </c>
      <c r="AV2755" s="3">
        <v>42403</v>
      </c>
      <c r="AW2755" t="s">
        <v>54</v>
      </c>
      <c r="AX2755" t="str">
        <f t="shared" si="335"/>
        <v>FOR</v>
      </c>
      <c r="AY2755" t="s">
        <v>55</v>
      </c>
    </row>
    <row r="2756" spans="1:51" hidden="1">
      <c r="A2756">
        <v>104093</v>
      </c>
      <c r="B2756" t="s">
        <v>360</v>
      </c>
      <c r="C2756" t="str">
        <f t="shared" si="333"/>
        <v>06032681006</v>
      </c>
      <c r="D2756" t="str">
        <f t="shared" si="334"/>
        <v>12572900152</v>
      </c>
      <c r="E2756" t="s">
        <v>52</v>
      </c>
      <c r="F2756">
        <v>2015</v>
      </c>
      <c r="G2756" t="str">
        <f>"            25227514"</f>
        <v xml:space="preserve">            25227514</v>
      </c>
      <c r="H2756" s="3">
        <v>42045</v>
      </c>
      <c r="I2756" s="3">
        <v>42059</v>
      </c>
      <c r="J2756" s="3">
        <v>42059</v>
      </c>
      <c r="K2756" s="3">
        <v>42119</v>
      </c>
      <c r="L2756"/>
      <c r="N2756"/>
      <c r="O2756">
        <v>387.9</v>
      </c>
      <c r="P2756">
        <v>284</v>
      </c>
      <c r="Q2756" s="4">
        <v>110163.6</v>
      </c>
      <c r="R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 s="3">
        <v>42562</v>
      </c>
      <c r="AC2756" t="s">
        <v>53</v>
      </c>
      <c r="AD2756" t="s">
        <v>53</v>
      </c>
      <c r="AK2756">
        <v>0</v>
      </c>
      <c r="AU2756" s="3">
        <v>42403</v>
      </c>
      <c r="AV2756" s="3">
        <v>42403</v>
      </c>
      <c r="AW2756" t="s">
        <v>54</v>
      </c>
      <c r="AX2756" t="str">
        <f t="shared" si="335"/>
        <v>FOR</v>
      </c>
      <c r="AY2756" t="s">
        <v>55</v>
      </c>
    </row>
    <row r="2757" spans="1:51" hidden="1">
      <c r="A2757">
        <v>104093</v>
      </c>
      <c r="B2757" t="s">
        <v>360</v>
      </c>
      <c r="C2757" t="str">
        <f t="shared" si="333"/>
        <v>06032681006</v>
      </c>
      <c r="D2757" t="str">
        <f t="shared" si="334"/>
        <v>12572900152</v>
      </c>
      <c r="E2757" t="s">
        <v>52</v>
      </c>
      <c r="F2757">
        <v>2015</v>
      </c>
      <c r="G2757" t="str">
        <f>"            25227541"</f>
        <v xml:space="preserve">            25227541</v>
      </c>
      <c r="H2757" s="3">
        <v>42045</v>
      </c>
      <c r="I2757" s="3">
        <v>42059</v>
      </c>
      <c r="J2757" s="3">
        <v>42059</v>
      </c>
      <c r="K2757" s="3">
        <v>42119</v>
      </c>
      <c r="L2757"/>
      <c r="N2757"/>
      <c r="O2757">
        <v>72</v>
      </c>
      <c r="P2757">
        <v>284</v>
      </c>
      <c r="Q2757" s="4">
        <v>20448</v>
      </c>
      <c r="R2757">
        <v>0</v>
      </c>
      <c r="V2757">
        <v>0</v>
      </c>
      <c r="W2757">
        <v>0</v>
      </c>
      <c r="X2757">
        <v>0</v>
      </c>
      <c r="Y2757">
        <v>0</v>
      </c>
      <c r="Z2757">
        <v>0</v>
      </c>
      <c r="AA2757">
        <v>0</v>
      </c>
      <c r="AB2757" s="3">
        <v>42562</v>
      </c>
      <c r="AC2757" t="s">
        <v>53</v>
      </c>
      <c r="AD2757" t="s">
        <v>53</v>
      </c>
      <c r="AK2757">
        <v>0</v>
      </c>
      <c r="AU2757" s="3">
        <v>42403</v>
      </c>
      <c r="AV2757" s="3">
        <v>42403</v>
      </c>
      <c r="AW2757" t="s">
        <v>54</v>
      </c>
      <c r="AX2757" t="str">
        <f t="shared" si="335"/>
        <v>FOR</v>
      </c>
      <c r="AY2757" t="s">
        <v>55</v>
      </c>
    </row>
    <row r="2758" spans="1:51" hidden="1">
      <c r="A2758">
        <v>104093</v>
      </c>
      <c r="B2758" t="s">
        <v>360</v>
      </c>
      <c r="C2758" t="str">
        <f t="shared" si="333"/>
        <v>06032681006</v>
      </c>
      <c r="D2758" t="str">
        <f t="shared" si="334"/>
        <v>12572900152</v>
      </c>
      <c r="E2758" t="s">
        <v>52</v>
      </c>
      <c r="F2758">
        <v>2015</v>
      </c>
      <c r="G2758" t="str">
        <f>"            25227542"</f>
        <v xml:space="preserve">            25227542</v>
      </c>
      <c r="H2758" s="3">
        <v>42045</v>
      </c>
      <c r="I2758" s="3">
        <v>42059</v>
      </c>
      <c r="J2758" s="3">
        <v>42059</v>
      </c>
      <c r="K2758" s="3">
        <v>42119</v>
      </c>
      <c r="L2758"/>
      <c r="N2758"/>
      <c r="O2758">
        <v>243</v>
      </c>
      <c r="P2758">
        <v>284</v>
      </c>
      <c r="Q2758" s="4">
        <v>69012</v>
      </c>
      <c r="R2758">
        <v>0</v>
      </c>
      <c r="V2758">
        <v>0</v>
      </c>
      <c r="W2758">
        <v>0</v>
      </c>
      <c r="X2758">
        <v>0</v>
      </c>
      <c r="Y2758">
        <v>0</v>
      </c>
      <c r="Z2758">
        <v>0</v>
      </c>
      <c r="AA2758">
        <v>0</v>
      </c>
      <c r="AB2758" s="3">
        <v>42562</v>
      </c>
      <c r="AC2758" t="s">
        <v>53</v>
      </c>
      <c r="AD2758" t="s">
        <v>53</v>
      </c>
      <c r="AK2758">
        <v>0</v>
      </c>
      <c r="AU2758" s="3">
        <v>42403</v>
      </c>
      <c r="AV2758" s="3">
        <v>42403</v>
      </c>
      <c r="AW2758" t="s">
        <v>54</v>
      </c>
      <c r="AX2758" t="str">
        <f t="shared" si="335"/>
        <v>FOR</v>
      </c>
      <c r="AY2758" t="s">
        <v>55</v>
      </c>
    </row>
    <row r="2759" spans="1:51" hidden="1">
      <c r="A2759">
        <v>104093</v>
      </c>
      <c r="B2759" t="s">
        <v>360</v>
      </c>
      <c r="C2759" t="str">
        <f t="shared" si="333"/>
        <v>06032681006</v>
      </c>
      <c r="D2759" t="str">
        <f t="shared" si="334"/>
        <v>12572900152</v>
      </c>
      <c r="E2759" t="s">
        <v>52</v>
      </c>
      <c r="F2759">
        <v>2015</v>
      </c>
      <c r="G2759" t="str">
        <f>"            25227543"</f>
        <v xml:space="preserve">            25227543</v>
      </c>
      <c r="H2759" s="3">
        <v>42045</v>
      </c>
      <c r="I2759" s="3">
        <v>42059</v>
      </c>
      <c r="J2759" s="3">
        <v>42059</v>
      </c>
      <c r="K2759" s="3">
        <v>42119</v>
      </c>
      <c r="L2759"/>
      <c r="N2759"/>
      <c r="O2759">
        <v>680.4</v>
      </c>
      <c r="P2759">
        <v>284</v>
      </c>
      <c r="Q2759" s="4">
        <v>193233.6</v>
      </c>
      <c r="R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 s="3">
        <v>42562</v>
      </c>
      <c r="AC2759" t="s">
        <v>53</v>
      </c>
      <c r="AD2759" t="s">
        <v>53</v>
      </c>
      <c r="AK2759">
        <v>0</v>
      </c>
      <c r="AU2759" s="3">
        <v>42403</v>
      </c>
      <c r="AV2759" s="3">
        <v>42403</v>
      </c>
      <c r="AW2759" t="s">
        <v>54</v>
      </c>
      <c r="AX2759" t="str">
        <f t="shared" si="335"/>
        <v>FOR</v>
      </c>
      <c r="AY2759" t="s">
        <v>55</v>
      </c>
    </row>
    <row r="2760" spans="1:51" hidden="1">
      <c r="A2760">
        <v>104093</v>
      </c>
      <c r="B2760" t="s">
        <v>360</v>
      </c>
      <c r="C2760" t="str">
        <f t="shared" si="333"/>
        <v>06032681006</v>
      </c>
      <c r="D2760" t="str">
        <f t="shared" si="334"/>
        <v>12572900152</v>
      </c>
      <c r="E2760" t="s">
        <v>52</v>
      </c>
      <c r="F2760">
        <v>2015</v>
      </c>
      <c r="G2760" t="str">
        <f>"            25227544"</f>
        <v xml:space="preserve">            25227544</v>
      </c>
      <c r="H2760" s="3">
        <v>42045</v>
      </c>
      <c r="I2760" s="3">
        <v>42059</v>
      </c>
      <c r="J2760" s="3">
        <v>42059</v>
      </c>
      <c r="K2760" s="3">
        <v>42119</v>
      </c>
      <c r="L2760"/>
      <c r="N2760"/>
      <c r="O2760">
        <v>72</v>
      </c>
      <c r="P2760">
        <v>284</v>
      </c>
      <c r="Q2760" s="4">
        <v>20448</v>
      </c>
      <c r="R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 s="3">
        <v>42562</v>
      </c>
      <c r="AC2760" t="s">
        <v>53</v>
      </c>
      <c r="AD2760" t="s">
        <v>53</v>
      </c>
      <c r="AK2760">
        <v>0</v>
      </c>
      <c r="AU2760" s="3">
        <v>42403</v>
      </c>
      <c r="AV2760" s="3">
        <v>42403</v>
      </c>
      <c r="AW2760" t="s">
        <v>54</v>
      </c>
      <c r="AX2760" t="str">
        <f t="shared" si="335"/>
        <v>FOR</v>
      </c>
      <c r="AY2760" t="s">
        <v>55</v>
      </c>
    </row>
    <row r="2761" spans="1:51" hidden="1">
      <c r="A2761">
        <v>104093</v>
      </c>
      <c r="B2761" t="s">
        <v>360</v>
      </c>
      <c r="C2761" t="str">
        <f t="shared" si="333"/>
        <v>06032681006</v>
      </c>
      <c r="D2761" t="str">
        <f t="shared" si="334"/>
        <v>12572900152</v>
      </c>
      <c r="E2761" t="s">
        <v>52</v>
      </c>
      <c r="F2761">
        <v>2015</v>
      </c>
      <c r="G2761" t="str">
        <f>"            25227545"</f>
        <v xml:space="preserve">            25227545</v>
      </c>
      <c r="H2761" s="3">
        <v>42045</v>
      </c>
      <c r="I2761" s="3">
        <v>42059</v>
      </c>
      <c r="J2761" s="3">
        <v>42059</v>
      </c>
      <c r="K2761" s="3">
        <v>42119</v>
      </c>
      <c r="L2761"/>
      <c r="N2761"/>
      <c r="O2761">
        <v>72</v>
      </c>
      <c r="P2761">
        <v>284</v>
      </c>
      <c r="Q2761" s="4">
        <v>20448</v>
      </c>
      <c r="R2761">
        <v>0</v>
      </c>
      <c r="V2761">
        <v>0</v>
      </c>
      <c r="W2761">
        <v>0</v>
      </c>
      <c r="X2761">
        <v>0</v>
      </c>
      <c r="Y2761">
        <v>0</v>
      </c>
      <c r="Z2761">
        <v>0</v>
      </c>
      <c r="AA2761">
        <v>0</v>
      </c>
      <c r="AB2761" s="3">
        <v>42562</v>
      </c>
      <c r="AC2761" t="s">
        <v>53</v>
      </c>
      <c r="AD2761" t="s">
        <v>53</v>
      </c>
      <c r="AK2761">
        <v>0</v>
      </c>
      <c r="AU2761" s="3">
        <v>42403</v>
      </c>
      <c r="AV2761" s="3">
        <v>42403</v>
      </c>
      <c r="AW2761" t="s">
        <v>54</v>
      </c>
      <c r="AX2761" t="str">
        <f t="shared" si="335"/>
        <v>FOR</v>
      </c>
      <c r="AY2761" t="s">
        <v>55</v>
      </c>
    </row>
    <row r="2762" spans="1:51" hidden="1">
      <c r="A2762">
        <v>104093</v>
      </c>
      <c r="B2762" t="s">
        <v>360</v>
      </c>
      <c r="C2762" t="str">
        <f t="shared" si="333"/>
        <v>06032681006</v>
      </c>
      <c r="D2762" t="str">
        <f t="shared" si="334"/>
        <v>12572900152</v>
      </c>
      <c r="E2762" t="s">
        <v>52</v>
      </c>
      <c r="F2762">
        <v>2015</v>
      </c>
      <c r="G2762" t="str">
        <f>"            25227546"</f>
        <v xml:space="preserve">            25227546</v>
      </c>
      <c r="H2762" s="3">
        <v>42045</v>
      </c>
      <c r="I2762" s="3">
        <v>42059</v>
      </c>
      <c r="J2762" s="3">
        <v>42059</v>
      </c>
      <c r="K2762" s="3">
        <v>42119</v>
      </c>
      <c r="L2762"/>
      <c r="N2762"/>
      <c r="O2762">
        <v>72</v>
      </c>
      <c r="P2762">
        <v>284</v>
      </c>
      <c r="Q2762" s="4">
        <v>20448</v>
      </c>
      <c r="R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 s="3">
        <v>42562</v>
      </c>
      <c r="AC2762" t="s">
        <v>53</v>
      </c>
      <c r="AD2762" t="s">
        <v>53</v>
      </c>
      <c r="AK2762">
        <v>0</v>
      </c>
      <c r="AU2762" s="3">
        <v>42403</v>
      </c>
      <c r="AV2762" s="3">
        <v>42403</v>
      </c>
      <c r="AW2762" t="s">
        <v>54</v>
      </c>
      <c r="AX2762" t="str">
        <f t="shared" si="335"/>
        <v>FOR</v>
      </c>
      <c r="AY2762" t="s">
        <v>55</v>
      </c>
    </row>
    <row r="2763" spans="1:51" hidden="1">
      <c r="A2763">
        <v>104093</v>
      </c>
      <c r="B2763" t="s">
        <v>360</v>
      </c>
      <c r="C2763" t="str">
        <f t="shared" si="333"/>
        <v>06032681006</v>
      </c>
      <c r="D2763" t="str">
        <f t="shared" si="334"/>
        <v>12572900152</v>
      </c>
      <c r="E2763" t="s">
        <v>52</v>
      </c>
      <c r="F2763">
        <v>2015</v>
      </c>
      <c r="G2763" t="str">
        <f>"            25227547"</f>
        <v xml:space="preserve">            25227547</v>
      </c>
      <c r="H2763" s="3">
        <v>42045</v>
      </c>
      <c r="I2763" s="3">
        <v>42059</v>
      </c>
      <c r="J2763" s="3">
        <v>42059</v>
      </c>
      <c r="K2763" s="3">
        <v>42119</v>
      </c>
      <c r="L2763"/>
      <c r="N2763"/>
      <c r="O2763">
        <v>72</v>
      </c>
      <c r="P2763">
        <v>284</v>
      </c>
      <c r="Q2763" s="4">
        <v>20448</v>
      </c>
      <c r="R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 s="3">
        <v>42562</v>
      </c>
      <c r="AC2763" t="s">
        <v>53</v>
      </c>
      <c r="AD2763" t="s">
        <v>53</v>
      </c>
      <c r="AK2763">
        <v>0</v>
      </c>
      <c r="AU2763" s="3">
        <v>42403</v>
      </c>
      <c r="AV2763" s="3">
        <v>42403</v>
      </c>
      <c r="AW2763" t="s">
        <v>54</v>
      </c>
      <c r="AX2763" t="str">
        <f t="shared" si="335"/>
        <v>FOR</v>
      </c>
      <c r="AY2763" t="s">
        <v>55</v>
      </c>
    </row>
    <row r="2764" spans="1:51" hidden="1">
      <c r="A2764">
        <v>104093</v>
      </c>
      <c r="B2764" t="s">
        <v>360</v>
      </c>
      <c r="C2764" t="str">
        <f t="shared" si="333"/>
        <v>06032681006</v>
      </c>
      <c r="D2764" t="str">
        <f t="shared" si="334"/>
        <v>12572900152</v>
      </c>
      <c r="E2764" t="s">
        <v>52</v>
      </c>
      <c r="F2764">
        <v>2015</v>
      </c>
      <c r="G2764" t="str">
        <f>"            25227549"</f>
        <v xml:space="preserve">            25227549</v>
      </c>
      <c r="H2764" s="3">
        <v>42045</v>
      </c>
      <c r="I2764" s="3">
        <v>42059</v>
      </c>
      <c r="J2764" s="3">
        <v>42059</v>
      </c>
      <c r="K2764" s="3">
        <v>42119</v>
      </c>
      <c r="L2764"/>
      <c r="N2764"/>
      <c r="O2764">
        <v>72</v>
      </c>
      <c r="P2764">
        <v>284</v>
      </c>
      <c r="Q2764" s="4">
        <v>20448</v>
      </c>
      <c r="R2764">
        <v>0</v>
      </c>
      <c r="V2764">
        <v>0</v>
      </c>
      <c r="W2764">
        <v>0</v>
      </c>
      <c r="X2764">
        <v>0</v>
      </c>
      <c r="Y2764">
        <v>0</v>
      </c>
      <c r="Z2764">
        <v>0</v>
      </c>
      <c r="AA2764">
        <v>0</v>
      </c>
      <c r="AB2764" s="3">
        <v>42562</v>
      </c>
      <c r="AC2764" t="s">
        <v>53</v>
      </c>
      <c r="AD2764" t="s">
        <v>53</v>
      </c>
      <c r="AK2764">
        <v>0</v>
      </c>
      <c r="AU2764" s="3">
        <v>42403</v>
      </c>
      <c r="AV2764" s="3">
        <v>42403</v>
      </c>
      <c r="AW2764" t="s">
        <v>54</v>
      </c>
      <c r="AX2764" t="str">
        <f t="shared" si="335"/>
        <v>FOR</v>
      </c>
      <c r="AY2764" t="s">
        <v>55</v>
      </c>
    </row>
    <row r="2765" spans="1:51" hidden="1">
      <c r="A2765">
        <v>104093</v>
      </c>
      <c r="B2765" t="s">
        <v>360</v>
      </c>
      <c r="C2765" t="str">
        <f t="shared" si="333"/>
        <v>06032681006</v>
      </c>
      <c r="D2765" t="str">
        <f t="shared" si="334"/>
        <v>12572900152</v>
      </c>
      <c r="E2765" t="s">
        <v>52</v>
      </c>
      <c r="F2765">
        <v>2015</v>
      </c>
      <c r="G2765" t="str">
        <f>"            25227553"</f>
        <v xml:space="preserve">            25227553</v>
      </c>
      <c r="H2765" s="3">
        <v>42045</v>
      </c>
      <c r="I2765" s="3">
        <v>42059</v>
      </c>
      <c r="J2765" s="3">
        <v>42059</v>
      </c>
      <c r="K2765" s="3">
        <v>42119</v>
      </c>
      <c r="L2765"/>
      <c r="N2765"/>
      <c r="O2765">
        <v>72</v>
      </c>
      <c r="P2765">
        <v>284</v>
      </c>
      <c r="Q2765" s="4">
        <v>20448</v>
      </c>
      <c r="R2765">
        <v>0</v>
      </c>
      <c r="V2765">
        <v>0</v>
      </c>
      <c r="W2765">
        <v>0</v>
      </c>
      <c r="X2765">
        <v>0</v>
      </c>
      <c r="Y2765">
        <v>0</v>
      </c>
      <c r="Z2765">
        <v>0</v>
      </c>
      <c r="AA2765">
        <v>0</v>
      </c>
      <c r="AB2765" s="3">
        <v>42562</v>
      </c>
      <c r="AC2765" t="s">
        <v>53</v>
      </c>
      <c r="AD2765" t="s">
        <v>53</v>
      </c>
      <c r="AK2765">
        <v>0</v>
      </c>
      <c r="AU2765" s="3">
        <v>42403</v>
      </c>
      <c r="AV2765" s="3">
        <v>42403</v>
      </c>
      <c r="AW2765" t="s">
        <v>54</v>
      </c>
      <c r="AX2765" t="str">
        <f t="shared" si="335"/>
        <v>FOR</v>
      </c>
      <c r="AY2765" t="s">
        <v>55</v>
      </c>
    </row>
    <row r="2766" spans="1:51" hidden="1">
      <c r="A2766">
        <v>104093</v>
      </c>
      <c r="B2766" t="s">
        <v>360</v>
      </c>
      <c r="C2766" t="str">
        <f t="shared" si="333"/>
        <v>06032681006</v>
      </c>
      <c r="D2766" t="str">
        <f t="shared" si="334"/>
        <v>12572900152</v>
      </c>
      <c r="E2766" t="s">
        <v>52</v>
      </c>
      <c r="F2766">
        <v>2015</v>
      </c>
      <c r="G2766" t="str">
        <f>"            25227554"</f>
        <v xml:space="preserve">            25227554</v>
      </c>
      <c r="H2766" s="3">
        <v>42045</v>
      </c>
      <c r="I2766" s="3">
        <v>42059</v>
      </c>
      <c r="J2766" s="3">
        <v>42059</v>
      </c>
      <c r="K2766" s="3">
        <v>42119</v>
      </c>
      <c r="L2766"/>
      <c r="N2766"/>
      <c r="O2766">
        <v>387.9</v>
      </c>
      <c r="P2766">
        <v>284</v>
      </c>
      <c r="Q2766" s="4">
        <v>110163.6</v>
      </c>
      <c r="R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 s="3">
        <v>42562</v>
      </c>
      <c r="AC2766" t="s">
        <v>53</v>
      </c>
      <c r="AD2766" t="s">
        <v>53</v>
      </c>
      <c r="AK2766">
        <v>0</v>
      </c>
      <c r="AU2766" s="3">
        <v>42403</v>
      </c>
      <c r="AV2766" s="3">
        <v>42403</v>
      </c>
      <c r="AW2766" t="s">
        <v>54</v>
      </c>
      <c r="AX2766" t="str">
        <f t="shared" si="335"/>
        <v>FOR</v>
      </c>
      <c r="AY2766" t="s">
        <v>55</v>
      </c>
    </row>
    <row r="2767" spans="1:51" hidden="1">
      <c r="A2767">
        <v>104093</v>
      </c>
      <c r="B2767" t="s">
        <v>360</v>
      </c>
      <c r="C2767" t="str">
        <f t="shared" si="333"/>
        <v>06032681006</v>
      </c>
      <c r="D2767" t="str">
        <f t="shared" si="334"/>
        <v>12572900152</v>
      </c>
      <c r="E2767" t="s">
        <v>52</v>
      </c>
      <c r="F2767">
        <v>2015</v>
      </c>
      <c r="G2767" t="str">
        <f>"            25227555"</f>
        <v xml:space="preserve">            25227555</v>
      </c>
      <c r="H2767" s="3">
        <v>42045</v>
      </c>
      <c r="I2767" s="3">
        <v>42059</v>
      </c>
      <c r="J2767" s="3">
        <v>42059</v>
      </c>
      <c r="K2767" s="3">
        <v>42119</v>
      </c>
      <c r="L2767"/>
      <c r="N2767"/>
      <c r="O2767">
        <v>72</v>
      </c>
      <c r="P2767">
        <v>284</v>
      </c>
      <c r="Q2767" s="4">
        <v>20448</v>
      </c>
      <c r="R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 s="3">
        <v>42562</v>
      </c>
      <c r="AC2767" t="s">
        <v>53</v>
      </c>
      <c r="AD2767" t="s">
        <v>53</v>
      </c>
      <c r="AK2767">
        <v>0</v>
      </c>
      <c r="AU2767" s="3">
        <v>42403</v>
      </c>
      <c r="AV2767" s="3">
        <v>42403</v>
      </c>
      <c r="AW2767" t="s">
        <v>54</v>
      </c>
      <c r="AX2767" t="str">
        <f t="shared" si="335"/>
        <v>FOR</v>
      </c>
      <c r="AY2767" t="s">
        <v>55</v>
      </c>
    </row>
    <row r="2768" spans="1:51" hidden="1">
      <c r="A2768">
        <v>104093</v>
      </c>
      <c r="B2768" t="s">
        <v>360</v>
      </c>
      <c r="C2768" t="str">
        <f t="shared" si="333"/>
        <v>06032681006</v>
      </c>
      <c r="D2768" t="str">
        <f t="shared" si="334"/>
        <v>12572900152</v>
      </c>
      <c r="E2768" t="s">
        <v>52</v>
      </c>
      <c r="F2768">
        <v>2015</v>
      </c>
      <c r="G2768" t="str">
        <f>"            25227556"</f>
        <v xml:space="preserve">            25227556</v>
      </c>
      <c r="H2768" s="3">
        <v>42045</v>
      </c>
      <c r="I2768" s="3">
        <v>42059</v>
      </c>
      <c r="J2768" s="3">
        <v>42059</v>
      </c>
      <c r="K2768" s="3">
        <v>42119</v>
      </c>
      <c r="L2768"/>
      <c r="N2768"/>
      <c r="O2768">
        <v>72</v>
      </c>
      <c r="P2768">
        <v>284</v>
      </c>
      <c r="Q2768" s="4">
        <v>20448</v>
      </c>
      <c r="R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 s="3">
        <v>42562</v>
      </c>
      <c r="AC2768" t="s">
        <v>53</v>
      </c>
      <c r="AD2768" t="s">
        <v>53</v>
      </c>
      <c r="AK2768">
        <v>0</v>
      </c>
      <c r="AU2768" s="3">
        <v>42403</v>
      </c>
      <c r="AV2768" s="3">
        <v>42403</v>
      </c>
      <c r="AW2768" t="s">
        <v>54</v>
      </c>
      <c r="AX2768" t="str">
        <f t="shared" si="335"/>
        <v>FOR</v>
      </c>
      <c r="AY2768" t="s">
        <v>55</v>
      </c>
    </row>
    <row r="2769" spans="1:51" hidden="1">
      <c r="A2769">
        <v>104093</v>
      </c>
      <c r="B2769" t="s">
        <v>360</v>
      </c>
      <c r="C2769" t="str">
        <f t="shared" si="333"/>
        <v>06032681006</v>
      </c>
      <c r="D2769" t="str">
        <f t="shared" si="334"/>
        <v>12572900152</v>
      </c>
      <c r="E2769" t="s">
        <v>52</v>
      </c>
      <c r="F2769">
        <v>2015</v>
      </c>
      <c r="G2769" t="str">
        <f>"            25227557"</f>
        <v xml:space="preserve">            25227557</v>
      </c>
      <c r="H2769" s="3">
        <v>42045</v>
      </c>
      <c r="I2769" s="3">
        <v>42059</v>
      </c>
      <c r="J2769" s="3">
        <v>42059</v>
      </c>
      <c r="K2769" s="3">
        <v>42119</v>
      </c>
      <c r="L2769"/>
      <c r="N2769"/>
      <c r="O2769">
        <v>680.4</v>
      </c>
      <c r="P2769">
        <v>284</v>
      </c>
      <c r="Q2769" s="4">
        <v>193233.6</v>
      </c>
      <c r="R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 s="3">
        <v>42562</v>
      </c>
      <c r="AC2769" t="s">
        <v>53</v>
      </c>
      <c r="AD2769" t="s">
        <v>53</v>
      </c>
      <c r="AK2769">
        <v>0</v>
      </c>
      <c r="AU2769" s="3">
        <v>42403</v>
      </c>
      <c r="AV2769" s="3">
        <v>42403</v>
      </c>
      <c r="AW2769" t="s">
        <v>54</v>
      </c>
      <c r="AX2769" t="str">
        <f t="shared" si="335"/>
        <v>FOR</v>
      </c>
      <c r="AY2769" t="s">
        <v>55</v>
      </c>
    </row>
    <row r="2770" spans="1:51" hidden="1">
      <c r="A2770">
        <v>104093</v>
      </c>
      <c r="B2770" t="s">
        <v>360</v>
      </c>
      <c r="C2770" t="str">
        <f t="shared" si="333"/>
        <v>06032681006</v>
      </c>
      <c r="D2770" t="str">
        <f t="shared" si="334"/>
        <v>12572900152</v>
      </c>
      <c r="E2770" t="s">
        <v>52</v>
      </c>
      <c r="F2770">
        <v>2015</v>
      </c>
      <c r="G2770" t="str">
        <f>"            25227558"</f>
        <v xml:space="preserve">            25227558</v>
      </c>
      <c r="H2770" s="3">
        <v>42045</v>
      </c>
      <c r="I2770" s="3">
        <v>42059</v>
      </c>
      <c r="J2770" s="3">
        <v>42059</v>
      </c>
      <c r="K2770" s="3">
        <v>42119</v>
      </c>
      <c r="L2770"/>
      <c r="N2770"/>
      <c r="O2770">
        <v>72</v>
      </c>
      <c r="P2770">
        <v>284</v>
      </c>
      <c r="Q2770" s="4">
        <v>20448</v>
      </c>
      <c r="R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 s="3">
        <v>42562</v>
      </c>
      <c r="AC2770" t="s">
        <v>53</v>
      </c>
      <c r="AD2770" t="s">
        <v>53</v>
      </c>
      <c r="AK2770">
        <v>0</v>
      </c>
      <c r="AU2770" s="3">
        <v>42403</v>
      </c>
      <c r="AV2770" s="3">
        <v>42403</v>
      </c>
      <c r="AW2770" t="s">
        <v>54</v>
      </c>
      <c r="AX2770" t="str">
        <f t="shared" si="335"/>
        <v>FOR</v>
      </c>
      <c r="AY2770" t="s">
        <v>55</v>
      </c>
    </row>
    <row r="2771" spans="1:51" hidden="1">
      <c r="A2771">
        <v>104093</v>
      </c>
      <c r="B2771" t="s">
        <v>360</v>
      </c>
      <c r="C2771" t="str">
        <f t="shared" ref="C2771:C2834" si="336">"06032681006"</f>
        <v>06032681006</v>
      </c>
      <c r="D2771" t="str">
        <f t="shared" ref="D2771:D2834" si="337">"12572900152"</f>
        <v>12572900152</v>
      </c>
      <c r="E2771" t="s">
        <v>52</v>
      </c>
      <c r="F2771">
        <v>2015</v>
      </c>
      <c r="G2771" t="str">
        <f>"            25228015"</f>
        <v xml:space="preserve">            25228015</v>
      </c>
      <c r="H2771" s="3">
        <v>42047</v>
      </c>
      <c r="I2771" s="3">
        <v>42066</v>
      </c>
      <c r="J2771" s="3">
        <v>42066</v>
      </c>
      <c r="K2771" s="3">
        <v>42126</v>
      </c>
      <c r="L2771"/>
      <c r="N2771"/>
      <c r="O2771">
        <v>680.4</v>
      </c>
      <c r="P2771">
        <v>277</v>
      </c>
      <c r="Q2771" s="4">
        <v>188470.8</v>
      </c>
      <c r="R2771">
        <v>0</v>
      </c>
      <c r="V2771">
        <v>0</v>
      </c>
      <c r="W2771">
        <v>0</v>
      </c>
      <c r="X2771">
        <v>0</v>
      </c>
      <c r="Y2771">
        <v>0</v>
      </c>
      <c r="Z2771">
        <v>0</v>
      </c>
      <c r="AA2771">
        <v>0</v>
      </c>
      <c r="AB2771" s="3">
        <v>42562</v>
      </c>
      <c r="AC2771" t="s">
        <v>53</v>
      </c>
      <c r="AD2771" t="s">
        <v>53</v>
      </c>
      <c r="AK2771">
        <v>0</v>
      </c>
      <c r="AU2771" s="3">
        <v>42403</v>
      </c>
      <c r="AV2771" s="3">
        <v>42403</v>
      </c>
      <c r="AW2771" t="s">
        <v>54</v>
      </c>
      <c r="AX2771" t="str">
        <f t="shared" si="335"/>
        <v>FOR</v>
      </c>
      <c r="AY2771" t="s">
        <v>55</v>
      </c>
    </row>
    <row r="2772" spans="1:51" hidden="1">
      <c r="A2772">
        <v>104093</v>
      </c>
      <c r="B2772" t="s">
        <v>360</v>
      </c>
      <c r="C2772" t="str">
        <f t="shared" si="336"/>
        <v>06032681006</v>
      </c>
      <c r="D2772" t="str">
        <f t="shared" si="337"/>
        <v>12572900152</v>
      </c>
      <c r="E2772" t="s">
        <v>52</v>
      </c>
      <c r="F2772">
        <v>2015</v>
      </c>
      <c r="G2772" t="str">
        <f>"            25228016"</f>
        <v xml:space="preserve">            25228016</v>
      </c>
      <c r="H2772" s="3">
        <v>42047</v>
      </c>
      <c r="I2772" s="3">
        <v>42066</v>
      </c>
      <c r="J2772" s="3">
        <v>42066</v>
      </c>
      <c r="K2772" s="3">
        <v>42126</v>
      </c>
      <c r="L2772"/>
      <c r="N2772"/>
      <c r="O2772">
        <v>243</v>
      </c>
      <c r="P2772">
        <v>277</v>
      </c>
      <c r="Q2772" s="4">
        <v>67311</v>
      </c>
      <c r="R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 s="3">
        <v>42562</v>
      </c>
      <c r="AC2772" t="s">
        <v>53</v>
      </c>
      <c r="AD2772" t="s">
        <v>53</v>
      </c>
      <c r="AK2772">
        <v>0</v>
      </c>
      <c r="AU2772" s="3">
        <v>42403</v>
      </c>
      <c r="AV2772" s="3">
        <v>42403</v>
      </c>
      <c r="AW2772" t="s">
        <v>54</v>
      </c>
      <c r="AX2772" t="str">
        <f t="shared" si="335"/>
        <v>FOR</v>
      </c>
      <c r="AY2772" t="s">
        <v>55</v>
      </c>
    </row>
    <row r="2773" spans="1:51" hidden="1">
      <c r="A2773">
        <v>104093</v>
      </c>
      <c r="B2773" t="s">
        <v>360</v>
      </c>
      <c r="C2773" t="str">
        <f t="shared" si="336"/>
        <v>06032681006</v>
      </c>
      <c r="D2773" t="str">
        <f t="shared" si="337"/>
        <v>12572900152</v>
      </c>
      <c r="E2773" t="s">
        <v>52</v>
      </c>
      <c r="F2773">
        <v>2015</v>
      </c>
      <c r="G2773" t="str">
        <f>"            25228017"</f>
        <v xml:space="preserve">            25228017</v>
      </c>
      <c r="H2773" s="3">
        <v>42047</v>
      </c>
      <c r="I2773" s="3">
        <v>42066</v>
      </c>
      <c r="J2773" s="3">
        <v>42066</v>
      </c>
      <c r="K2773" s="3">
        <v>42126</v>
      </c>
      <c r="L2773"/>
      <c r="N2773"/>
      <c r="O2773">
        <v>72</v>
      </c>
      <c r="P2773">
        <v>277</v>
      </c>
      <c r="Q2773" s="4">
        <v>19944</v>
      </c>
      <c r="R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 s="3">
        <v>42562</v>
      </c>
      <c r="AC2773" t="s">
        <v>53</v>
      </c>
      <c r="AD2773" t="s">
        <v>53</v>
      </c>
      <c r="AK2773">
        <v>0</v>
      </c>
      <c r="AU2773" s="3">
        <v>42403</v>
      </c>
      <c r="AV2773" s="3">
        <v>42403</v>
      </c>
      <c r="AW2773" t="s">
        <v>54</v>
      </c>
      <c r="AX2773" t="str">
        <f t="shared" si="335"/>
        <v>FOR</v>
      </c>
      <c r="AY2773" t="s">
        <v>55</v>
      </c>
    </row>
    <row r="2774" spans="1:51" hidden="1">
      <c r="A2774">
        <v>104093</v>
      </c>
      <c r="B2774" t="s">
        <v>360</v>
      </c>
      <c r="C2774" t="str">
        <f t="shared" si="336"/>
        <v>06032681006</v>
      </c>
      <c r="D2774" t="str">
        <f t="shared" si="337"/>
        <v>12572900152</v>
      </c>
      <c r="E2774" t="s">
        <v>52</v>
      </c>
      <c r="F2774">
        <v>2015</v>
      </c>
      <c r="G2774" t="str">
        <f>"            25228092"</f>
        <v xml:space="preserve">            25228092</v>
      </c>
      <c r="H2774" s="3">
        <v>42047</v>
      </c>
      <c r="I2774" s="3">
        <v>42066</v>
      </c>
      <c r="J2774" s="3">
        <v>42066</v>
      </c>
      <c r="K2774" s="3">
        <v>42126</v>
      </c>
      <c r="L2774"/>
      <c r="N2774"/>
      <c r="O2774">
        <v>714</v>
      </c>
      <c r="P2774">
        <v>277</v>
      </c>
      <c r="Q2774" s="4">
        <v>197778</v>
      </c>
      <c r="R2774">
        <v>0</v>
      </c>
      <c r="V2774">
        <v>0</v>
      </c>
      <c r="W2774">
        <v>0</v>
      </c>
      <c r="X2774">
        <v>0</v>
      </c>
      <c r="Y2774">
        <v>0</v>
      </c>
      <c r="Z2774">
        <v>0</v>
      </c>
      <c r="AA2774">
        <v>0</v>
      </c>
      <c r="AB2774" s="3">
        <v>42562</v>
      </c>
      <c r="AC2774" t="s">
        <v>53</v>
      </c>
      <c r="AD2774" t="s">
        <v>53</v>
      </c>
      <c r="AK2774">
        <v>0</v>
      </c>
      <c r="AU2774" s="3">
        <v>42403</v>
      </c>
      <c r="AV2774" s="3">
        <v>42403</v>
      </c>
      <c r="AW2774" t="s">
        <v>54</v>
      </c>
      <c r="AX2774" t="str">
        <f t="shared" si="335"/>
        <v>FOR</v>
      </c>
      <c r="AY2774" t="s">
        <v>55</v>
      </c>
    </row>
    <row r="2775" spans="1:51" hidden="1">
      <c r="A2775">
        <v>104093</v>
      </c>
      <c r="B2775" t="s">
        <v>360</v>
      </c>
      <c r="C2775" t="str">
        <f t="shared" si="336"/>
        <v>06032681006</v>
      </c>
      <c r="D2775" t="str">
        <f t="shared" si="337"/>
        <v>12572900152</v>
      </c>
      <c r="E2775" t="s">
        <v>52</v>
      </c>
      <c r="F2775">
        <v>2015</v>
      </c>
      <c r="G2775" t="str">
        <f>"            25228421"</f>
        <v xml:space="preserve">            25228421</v>
      </c>
      <c r="H2775" s="3">
        <v>42048</v>
      </c>
      <c r="I2775" s="3">
        <v>42066</v>
      </c>
      <c r="J2775" s="3">
        <v>42066</v>
      </c>
      <c r="K2775" s="3">
        <v>42126</v>
      </c>
      <c r="L2775"/>
      <c r="N2775"/>
      <c r="O2775">
        <v>330.72</v>
      </c>
      <c r="P2775">
        <v>277</v>
      </c>
      <c r="Q2775" s="4">
        <v>91609.44</v>
      </c>
      <c r="R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 s="3">
        <v>42562</v>
      </c>
      <c r="AC2775" t="s">
        <v>53</v>
      </c>
      <c r="AD2775" t="s">
        <v>53</v>
      </c>
      <c r="AK2775">
        <v>0</v>
      </c>
      <c r="AU2775" s="3">
        <v>42403</v>
      </c>
      <c r="AV2775" s="3">
        <v>42403</v>
      </c>
      <c r="AW2775" t="s">
        <v>54</v>
      </c>
      <c r="AX2775" t="str">
        <f t="shared" si="335"/>
        <v>FOR</v>
      </c>
      <c r="AY2775" t="s">
        <v>55</v>
      </c>
    </row>
    <row r="2776" spans="1:51" hidden="1">
      <c r="A2776">
        <v>104093</v>
      </c>
      <c r="B2776" t="s">
        <v>360</v>
      </c>
      <c r="C2776" t="str">
        <f t="shared" si="336"/>
        <v>06032681006</v>
      </c>
      <c r="D2776" t="str">
        <f t="shared" si="337"/>
        <v>12572900152</v>
      </c>
      <c r="E2776" t="s">
        <v>52</v>
      </c>
      <c r="F2776">
        <v>2015</v>
      </c>
      <c r="G2776" t="str">
        <f>"            25229158"</f>
        <v xml:space="preserve">            25229158</v>
      </c>
      <c r="H2776" s="3">
        <v>42053</v>
      </c>
      <c r="I2776" s="3">
        <v>42068</v>
      </c>
      <c r="J2776" s="3">
        <v>42068</v>
      </c>
      <c r="K2776" s="3">
        <v>42128</v>
      </c>
      <c r="L2776"/>
      <c r="N2776"/>
      <c r="O2776">
        <v>72</v>
      </c>
      <c r="P2776">
        <v>275</v>
      </c>
      <c r="Q2776" s="4">
        <v>19800</v>
      </c>
      <c r="R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 s="3">
        <v>42562</v>
      </c>
      <c r="AC2776" t="s">
        <v>53</v>
      </c>
      <c r="AD2776" t="s">
        <v>53</v>
      </c>
      <c r="AK2776">
        <v>0</v>
      </c>
      <c r="AU2776" s="3">
        <v>42403</v>
      </c>
      <c r="AV2776" s="3">
        <v>42403</v>
      </c>
      <c r="AW2776" t="s">
        <v>54</v>
      </c>
      <c r="AX2776" t="str">
        <f t="shared" si="335"/>
        <v>FOR</v>
      </c>
      <c r="AY2776" t="s">
        <v>55</v>
      </c>
    </row>
    <row r="2777" spans="1:51" hidden="1">
      <c r="A2777">
        <v>104093</v>
      </c>
      <c r="B2777" t="s">
        <v>360</v>
      </c>
      <c r="C2777" t="str">
        <f t="shared" si="336"/>
        <v>06032681006</v>
      </c>
      <c r="D2777" t="str">
        <f t="shared" si="337"/>
        <v>12572900152</v>
      </c>
      <c r="E2777" t="s">
        <v>52</v>
      </c>
      <c r="F2777">
        <v>2015</v>
      </c>
      <c r="G2777" t="str">
        <f>"            25229214"</f>
        <v xml:space="preserve">            25229214</v>
      </c>
      <c r="H2777" s="3">
        <v>42053</v>
      </c>
      <c r="I2777" s="3">
        <v>42068</v>
      </c>
      <c r="J2777" s="3">
        <v>42068</v>
      </c>
      <c r="K2777" s="3">
        <v>42128</v>
      </c>
      <c r="L2777"/>
      <c r="N2777"/>
      <c r="O2777">
        <v>72</v>
      </c>
      <c r="P2777">
        <v>275</v>
      </c>
      <c r="Q2777" s="4">
        <v>19800</v>
      </c>
      <c r="R2777">
        <v>0</v>
      </c>
      <c r="V2777">
        <v>0</v>
      </c>
      <c r="W2777">
        <v>0</v>
      </c>
      <c r="X2777">
        <v>0</v>
      </c>
      <c r="Y2777">
        <v>0</v>
      </c>
      <c r="Z2777">
        <v>0</v>
      </c>
      <c r="AA2777">
        <v>0</v>
      </c>
      <c r="AB2777" s="3">
        <v>42562</v>
      </c>
      <c r="AC2777" t="s">
        <v>53</v>
      </c>
      <c r="AD2777" t="s">
        <v>53</v>
      </c>
      <c r="AK2777">
        <v>0</v>
      </c>
      <c r="AU2777" s="3">
        <v>42403</v>
      </c>
      <c r="AV2777" s="3">
        <v>42403</v>
      </c>
      <c r="AW2777" t="s">
        <v>54</v>
      </c>
      <c r="AX2777" t="str">
        <f t="shared" si="335"/>
        <v>FOR</v>
      </c>
      <c r="AY2777" t="s">
        <v>55</v>
      </c>
    </row>
    <row r="2778" spans="1:51" hidden="1">
      <c r="A2778">
        <v>104093</v>
      </c>
      <c r="B2778" t="s">
        <v>360</v>
      </c>
      <c r="C2778" t="str">
        <f t="shared" si="336"/>
        <v>06032681006</v>
      </c>
      <c r="D2778" t="str">
        <f t="shared" si="337"/>
        <v>12572900152</v>
      </c>
      <c r="E2778" t="s">
        <v>52</v>
      </c>
      <c r="F2778">
        <v>2015</v>
      </c>
      <c r="G2778" t="str">
        <f>"            25229215"</f>
        <v xml:space="preserve">            25229215</v>
      </c>
      <c r="H2778" s="3">
        <v>42053</v>
      </c>
      <c r="I2778" s="3">
        <v>42068</v>
      </c>
      <c r="J2778" s="3">
        <v>42068</v>
      </c>
      <c r="K2778" s="3">
        <v>42128</v>
      </c>
      <c r="L2778"/>
      <c r="N2778"/>
      <c r="O2778">
        <v>72</v>
      </c>
      <c r="P2778">
        <v>275</v>
      </c>
      <c r="Q2778" s="4">
        <v>19800</v>
      </c>
      <c r="R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 s="3">
        <v>42562</v>
      </c>
      <c r="AC2778" t="s">
        <v>53</v>
      </c>
      <c r="AD2778" t="s">
        <v>53</v>
      </c>
      <c r="AK2778">
        <v>0</v>
      </c>
      <c r="AU2778" s="3">
        <v>42403</v>
      </c>
      <c r="AV2778" s="3">
        <v>42403</v>
      </c>
      <c r="AW2778" t="s">
        <v>54</v>
      </c>
      <c r="AX2778" t="str">
        <f t="shared" si="335"/>
        <v>FOR</v>
      </c>
      <c r="AY2778" t="s">
        <v>55</v>
      </c>
    </row>
    <row r="2779" spans="1:51" hidden="1">
      <c r="A2779">
        <v>104093</v>
      </c>
      <c r="B2779" t="s">
        <v>360</v>
      </c>
      <c r="C2779" t="str">
        <f t="shared" si="336"/>
        <v>06032681006</v>
      </c>
      <c r="D2779" t="str">
        <f t="shared" si="337"/>
        <v>12572900152</v>
      </c>
      <c r="E2779" t="s">
        <v>52</v>
      </c>
      <c r="F2779">
        <v>2015</v>
      </c>
      <c r="G2779" t="str">
        <f>"            25229218"</f>
        <v xml:space="preserve">            25229218</v>
      </c>
      <c r="H2779" s="3">
        <v>42053</v>
      </c>
      <c r="I2779" s="3">
        <v>42068</v>
      </c>
      <c r="J2779" s="3">
        <v>42068</v>
      </c>
      <c r="K2779" s="3">
        <v>42128</v>
      </c>
      <c r="L2779"/>
      <c r="N2779"/>
      <c r="O2779">
        <v>387.9</v>
      </c>
      <c r="P2779">
        <v>275</v>
      </c>
      <c r="Q2779" s="4">
        <v>106672.5</v>
      </c>
      <c r="R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 s="3">
        <v>42562</v>
      </c>
      <c r="AC2779" t="s">
        <v>53</v>
      </c>
      <c r="AD2779" t="s">
        <v>53</v>
      </c>
      <c r="AK2779">
        <v>0</v>
      </c>
      <c r="AU2779" s="3">
        <v>42403</v>
      </c>
      <c r="AV2779" s="3">
        <v>42403</v>
      </c>
      <c r="AW2779" t="s">
        <v>54</v>
      </c>
      <c r="AX2779" t="str">
        <f t="shared" si="335"/>
        <v>FOR</v>
      </c>
      <c r="AY2779" t="s">
        <v>55</v>
      </c>
    </row>
    <row r="2780" spans="1:51" hidden="1">
      <c r="A2780">
        <v>104093</v>
      </c>
      <c r="B2780" t="s">
        <v>360</v>
      </c>
      <c r="C2780" t="str">
        <f t="shared" si="336"/>
        <v>06032681006</v>
      </c>
      <c r="D2780" t="str">
        <f t="shared" si="337"/>
        <v>12572900152</v>
      </c>
      <c r="E2780" t="s">
        <v>52</v>
      </c>
      <c r="F2780">
        <v>2015</v>
      </c>
      <c r="G2780" t="str">
        <f>"            25229340"</f>
        <v xml:space="preserve">            25229340</v>
      </c>
      <c r="H2780" s="3">
        <v>42053</v>
      </c>
      <c r="I2780" s="3">
        <v>42068</v>
      </c>
      <c r="J2780" s="3">
        <v>42068</v>
      </c>
      <c r="K2780" s="3">
        <v>42128</v>
      </c>
      <c r="L2780"/>
      <c r="N2780"/>
      <c r="O2780" s="4">
        <v>3402</v>
      </c>
      <c r="P2780">
        <v>275</v>
      </c>
      <c r="Q2780" s="4">
        <v>935550</v>
      </c>
      <c r="R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 s="3">
        <v>42562</v>
      </c>
      <c r="AC2780" t="s">
        <v>53</v>
      </c>
      <c r="AD2780" t="s">
        <v>53</v>
      </c>
      <c r="AK2780">
        <v>0</v>
      </c>
      <c r="AU2780" s="3">
        <v>42403</v>
      </c>
      <c r="AV2780" s="3">
        <v>42403</v>
      </c>
      <c r="AW2780" t="s">
        <v>54</v>
      </c>
      <c r="AX2780" t="str">
        <f t="shared" si="335"/>
        <v>FOR</v>
      </c>
      <c r="AY2780" t="s">
        <v>55</v>
      </c>
    </row>
    <row r="2781" spans="1:51" hidden="1">
      <c r="A2781">
        <v>104093</v>
      </c>
      <c r="B2781" t="s">
        <v>360</v>
      </c>
      <c r="C2781" t="str">
        <f t="shared" si="336"/>
        <v>06032681006</v>
      </c>
      <c r="D2781" t="str">
        <f t="shared" si="337"/>
        <v>12572900152</v>
      </c>
      <c r="E2781" t="s">
        <v>52</v>
      </c>
      <c r="F2781">
        <v>2015</v>
      </c>
      <c r="G2781" t="str">
        <f>"            25229512"</f>
        <v xml:space="preserve">            25229512</v>
      </c>
      <c r="H2781" s="3">
        <v>42054</v>
      </c>
      <c r="I2781" s="3">
        <v>42073</v>
      </c>
      <c r="J2781" s="3">
        <v>42073</v>
      </c>
      <c r="K2781" s="3">
        <v>42133</v>
      </c>
      <c r="L2781"/>
      <c r="N2781"/>
      <c r="O2781" s="4">
        <v>4794</v>
      </c>
      <c r="P2781">
        <v>270</v>
      </c>
      <c r="Q2781" s="4">
        <v>1294380</v>
      </c>
      <c r="R2781">
        <v>0</v>
      </c>
      <c r="V2781">
        <v>0</v>
      </c>
      <c r="W2781">
        <v>0</v>
      </c>
      <c r="X2781">
        <v>0</v>
      </c>
      <c r="Y2781">
        <v>0</v>
      </c>
      <c r="Z2781">
        <v>0</v>
      </c>
      <c r="AA2781">
        <v>0</v>
      </c>
      <c r="AB2781" s="3">
        <v>42562</v>
      </c>
      <c r="AC2781" t="s">
        <v>53</v>
      </c>
      <c r="AD2781" t="s">
        <v>53</v>
      </c>
      <c r="AK2781">
        <v>0</v>
      </c>
      <c r="AU2781" s="3">
        <v>42403</v>
      </c>
      <c r="AV2781" s="3">
        <v>42403</v>
      </c>
      <c r="AW2781" t="s">
        <v>54</v>
      </c>
      <c r="AX2781" t="str">
        <f t="shared" si="335"/>
        <v>FOR</v>
      </c>
      <c r="AY2781" t="s">
        <v>55</v>
      </c>
    </row>
    <row r="2782" spans="1:51" hidden="1">
      <c r="A2782">
        <v>104093</v>
      </c>
      <c r="B2782" t="s">
        <v>360</v>
      </c>
      <c r="C2782" t="str">
        <f t="shared" si="336"/>
        <v>06032681006</v>
      </c>
      <c r="D2782" t="str">
        <f t="shared" si="337"/>
        <v>12572900152</v>
      </c>
      <c r="E2782" t="s">
        <v>52</v>
      </c>
      <c r="F2782">
        <v>2015</v>
      </c>
      <c r="G2782" t="str">
        <f>"            25229687"</f>
        <v xml:space="preserve">            25229687</v>
      </c>
      <c r="H2782" s="3">
        <v>42055</v>
      </c>
      <c r="I2782" s="3">
        <v>42073</v>
      </c>
      <c r="J2782" s="3">
        <v>42073</v>
      </c>
      <c r="K2782" s="3">
        <v>42133</v>
      </c>
      <c r="L2782"/>
      <c r="N2782"/>
      <c r="O2782">
        <v>387.9</v>
      </c>
      <c r="P2782">
        <v>270</v>
      </c>
      <c r="Q2782" s="4">
        <v>104733</v>
      </c>
      <c r="R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 s="3">
        <v>42562</v>
      </c>
      <c r="AC2782" t="s">
        <v>53</v>
      </c>
      <c r="AD2782" t="s">
        <v>53</v>
      </c>
      <c r="AK2782">
        <v>0</v>
      </c>
      <c r="AU2782" s="3">
        <v>42403</v>
      </c>
      <c r="AV2782" s="3">
        <v>42403</v>
      </c>
      <c r="AW2782" t="s">
        <v>54</v>
      </c>
      <c r="AX2782" t="str">
        <f t="shared" si="335"/>
        <v>FOR</v>
      </c>
      <c r="AY2782" t="s">
        <v>55</v>
      </c>
    </row>
    <row r="2783" spans="1:51" hidden="1">
      <c r="A2783">
        <v>104093</v>
      </c>
      <c r="B2783" t="s">
        <v>360</v>
      </c>
      <c r="C2783" t="str">
        <f t="shared" si="336"/>
        <v>06032681006</v>
      </c>
      <c r="D2783" t="str">
        <f t="shared" si="337"/>
        <v>12572900152</v>
      </c>
      <c r="E2783" t="s">
        <v>52</v>
      </c>
      <c r="F2783">
        <v>2015</v>
      </c>
      <c r="G2783" t="str">
        <f>"            25230834"</f>
        <v xml:space="preserve">            25230834</v>
      </c>
      <c r="H2783" s="3">
        <v>42061</v>
      </c>
      <c r="I2783" s="3">
        <v>42080</v>
      </c>
      <c r="J2783" s="3">
        <v>42080</v>
      </c>
      <c r="K2783" s="3">
        <v>42140</v>
      </c>
      <c r="L2783"/>
      <c r="N2783"/>
      <c r="O2783">
        <v>72</v>
      </c>
      <c r="P2783">
        <v>263</v>
      </c>
      <c r="Q2783" s="4">
        <v>18936</v>
      </c>
      <c r="R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 s="3">
        <v>42562</v>
      </c>
      <c r="AC2783" t="s">
        <v>53</v>
      </c>
      <c r="AD2783" t="s">
        <v>53</v>
      </c>
      <c r="AK2783">
        <v>0</v>
      </c>
      <c r="AU2783" s="3">
        <v>42403</v>
      </c>
      <c r="AV2783" s="3">
        <v>42403</v>
      </c>
      <c r="AW2783" t="s">
        <v>54</v>
      </c>
      <c r="AX2783" t="str">
        <f t="shared" si="335"/>
        <v>FOR</v>
      </c>
      <c r="AY2783" t="s">
        <v>55</v>
      </c>
    </row>
    <row r="2784" spans="1:51" hidden="1">
      <c r="A2784">
        <v>104093</v>
      </c>
      <c r="B2784" t="s">
        <v>360</v>
      </c>
      <c r="C2784" t="str">
        <f t="shared" si="336"/>
        <v>06032681006</v>
      </c>
      <c r="D2784" t="str">
        <f t="shared" si="337"/>
        <v>12572900152</v>
      </c>
      <c r="E2784" t="s">
        <v>52</v>
      </c>
      <c r="F2784">
        <v>2015</v>
      </c>
      <c r="G2784" t="str">
        <f>"            25230835"</f>
        <v xml:space="preserve">            25230835</v>
      </c>
      <c r="H2784" s="3">
        <v>42061</v>
      </c>
      <c r="I2784" s="3">
        <v>42080</v>
      </c>
      <c r="J2784" s="3">
        <v>42080</v>
      </c>
      <c r="K2784" s="3">
        <v>42140</v>
      </c>
      <c r="L2784"/>
      <c r="N2784"/>
      <c r="O2784">
        <v>387.9</v>
      </c>
      <c r="P2784">
        <v>263</v>
      </c>
      <c r="Q2784" s="4">
        <v>102017.7</v>
      </c>
      <c r="R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 s="3">
        <v>42562</v>
      </c>
      <c r="AC2784" t="s">
        <v>53</v>
      </c>
      <c r="AD2784" t="s">
        <v>53</v>
      </c>
      <c r="AK2784">
        <v>0</v>
      </c>
      <c r="AU2784" s="3">
        <v>42403</v>
      </c>
      <c r="AV2784" s="3">
        <v>42403</v>
      </c>
      <c r="AW2784" t="s">
        <v>54</v>
      </c>
      <c r="AX2784" t="str">
        <f t="shared" si="335"/>
        <v>FOR</v>
      </c>
      <c r="AY2784" t="s">
        <v>55</v>
      </c>
    </row>
    <row r="2785" spans="1:51" hidden="1">
      <c r="A2785">
        <v>104093</v>
      </c>
      <c r="B2785" t="s">
        <v>360</v>
      </c>
      <c r="C2785" t="str">
        <f t="shared" si="336"/>
        <v>06032681006</v>
      </c>
      <c r="D2785" t="str">
        <f t="shared" si="337"/>
        <v>12572900152</v>
      </c>
      <c r="E2785" t="s">
        <v>52</v>
      </c>
      <c r="F2785">
        <v>2015</v>
      </c>
      <c r="G2785" t="str">
        <f>"            25230849"</f>
        <v xml:space="preserve">            25230849</v>
      </c>
      <c r="H2785" s="3">
        <v>42061</v>
      </c>
      <c r="I2785" s="3">
        <v>42080</v>
      </c>
      <c r="J2785" s="3">
        <v>42080</v>
      </c>
      <c r="K2785" s="3">
        <v>42140</v>
      </c>
      <c r="L2785"/>
      <c r="N2785"/>
      <c r="O2785">
        <v>72</v>
      </c>
      <c r="P2785">
        <v>263</v>
      </c>
      <c r="Q2785" s="4">
        <v>18936</v>
      </c>
      <c r="R2785">
        <v>0</v>
      </c>
      <c r="V2785">
        <v>0</v>
      </c>
      <c r="W2785">
        <v>0</v>
      </c>
      <c r="X2785">
        <v>0</v>
      </c>
      <c r="Y2785">
        <v>0</v>
      </c>
      <c r="Z2785">
        <v>0</v>
      </c>
      <c r="AA2785">
        <v>0</v>
      </c>
      <c r="AB2785" s="3">
        <v>42562</v>
      </c>
      <c r="AC2785" t="s">
        <v>53</v>
      </c>
      <c r="AD2785" t="s">
        <v>53</v>
      </c>
      <c r="AK2785">
        <v>0</v>
      </c>
      <c r="AU2785" s="3">
        <v>42403</v>
      </c>
      <c r="AV2785" s="3">
        <v>42403</v>
      </c>
      <c r="AW2785" t="s">
        <v>54</v>
      </c>
      <c r="AX2785" t="str">
        <f t="shared" si="335"/>
        <v>FOR</v>
      </c>
      <c r="AY2785" t="s">
        <v>55</v>
      </c>
    </row>
    <row r="2786" spans="1:51" hidden="1">
      <c r="A2786">
        <v>104093</v>
      </c>
      <c r="B2786" t="s">
        <v>360</v>
      </c>
      <c r="C2786" t="str">
        <f t="shared" si="336"/>
        <v>06032681006</v>
      </c>
      <c r="D2786" t="str">
        <f t="shared" si="337"/>
        <v>12572900152</v>
      </c>
      <c r="E2786" t="s">
        <v>52</v>
      </c>
      <c r="F2786">
        <v>2015</v>
      </c>
      <c r="G2786" t="str">
        <f>"            25230851"</f>
        <v xml:space="preserve">            25230851</v>
      </c>
      <c r="H2786" s="3">
        <v>42061</v>
      </c>
      <c r="I2786" s="3">
        <v>42080</v>
      </c>
      <c r="J2786" s="3">
        <v>42080</v>
      </c>
      <c r="K2786" s="3">
        <v>42140</v>
      </c>
      <c r="L2786"/>
      <c r="N2786"/>
      <c r="O2786">
        <v>72</v>
      </c>
      <c r="P2786">
        <v>263</v>
      </c>
      <c r="Q2786" s="4">
        <v>18936</v>
      </c>
      <c r="R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 s="3">
        <v>42562</v>
      </c>
      <c r="AC2786" t="s">
        <v>53</v>
      </c>
      <c r="AD2786" t="s">
        <v>53</v>
      </c>
      <c r="AK2786">
        <v>0</v>
      </c>
      <c r="AU2786" s="3">
        <v>42403</v>
      </c>
      <c r="AV2786" s="3">
        <v>42403</v>
      </c>
      <c r="AW2786" t="s">
        <v>54</v>
      </c>
      <c r="AX2786" t="str">
        <f t="shared" si="335"/>
        <v>FOR</v>
      </c>
      <c r="AY2786" t="s">
        <v>55</v>
      </c>
    </row>
    <row r="2787" spans="1:51" hidden="1">
      <c r="A2787">
        <v>104093</v>
      </c>
      <c r="B2787" t="s">
        <v>360</v>
      </c>
      <c r="C2787" t="str">
        <f t="shared" si="336"/>
        <v>06032681006</v>
      </c>
      <c r="D2787" t="str">
        <f t="shared" si="337"/>
        <v>12572900152</v>
      </c>
      <c r="E2787" t="s">
        <v>52</v>
      </c>
      <c r="F2787">
        <v>2015</v>
      </c>
      <c r="G2787" t="str">
        <f>"            25230852"</f>
        <v xml:space="preserve">            25230852</v>
      </c>
      <c r="H2787" s="3">
        <v>42061</v>
      </c>
      <c r="I2787" s="3">
        <v>42080</v>
      </c>
      <c r="J2787" s="3">
        <v>42080</v>
      </c>
      <c r="K2787" s="3">
        <v>42140</v>
      </c>
      <c r="L2787"/>
      <c r="N2787"/>
      <c r="O2787">
        <v>72</v>
      </c>
      <c r="P2787">
        <v>263</v>
      </c>
      <c r="Q2787" s="4">
        <v>18936</v>
      </c>
      <c r="R2787">
        <v>0</v>
      </c>
      <c r="V2787">
        <v>0</v>
      </c>
      <c r="W2787">
        <v>0</v>
      </c>
      <c r="X2787">
        <v>0</v>
      </c>
      <c r="Y2787">
        <v>0</v>
      </c>
      <c r="Z2787">
        <v>0</v>
      </c>
      <c r="AA2787">
        <v>0</v>
      </c>
      <c r="AB2787" s="3">
        <v>42562</v>
      </c>
      <c r="AC2787" t="s">
        <v>53</v>
      </c>
      <c r="AD2787" t="s">
        <v>53</v>
      </c>
      <c r="AK2787">
        <v>0</v>
      </c>
      <c r="AU2787" s="3">
        <v>42403</v>
      </c>
      <c r="AV2787" s="3">
        <v>42403</v>
      </c>
      <c r="AW2787" t="s">
        <v>54</v>
      </c>
      <c r="AX2787" t="str">
        <f t="shared" si="335"/>
        <v>FOR</v>
      </c>
      <c r="AY2787" t="s">
        <v>55</v>
      </c>
    </row>
    <row r="2788" spans="1:51" hidden="1">
      <c r="A2788">
        <v>104093</v>
      </c>
      <c r="B2788" t="s">
        <v>360</v>
      </c>
      <c r="C2788" t="str">
        <f t="shared" si="336"/>
        <v>06032681006</v>
      </c>
      <c r="D2788" t="str">
        <f t="shared" si="337"/>
        <v>12572900152</v>
      </c>
      <c r="E2788" t="s">
        <v>52</v>
      </c>
      <c r="F2788">
        <v>2015</v>
      </c>
      <c r="G2788" t="str">
        <f>"            25231913"</f>
        <v xml:space="preserve">            25231913</v>
      </c>
      <c r="H2788" s="3">
        <v>42066</v>
      </c>
      <c r="I2788" s="3">
        <v>42081</v>
      </c>
      <c r="J2788" s="3">
        <v>42081</v>
      </c>
      <c r="K2788" s="3">
        <v>42141</v>
      </c>
      <c r="L2788"/>
      <c r="N2788"/>
      <c r="O2788">
        <v>900</v>
      </c>
      <c r="P2788">
        <v>275</v>
      </c>
      <c r="Q2788" s="4">
        <v>247500</v>
      </c>
      <c r="R2788">
        <v>0</v>
      </c>
      <c r="V2788">
        <v>0</v>
      </c>
      <c r="W2788">
        <v>0</v>
      </c>
      <c r="X2788">
        <v>0</v>
      </c>
      <c r="Y2788">
        <v>0</v>
      </c>
      <c r="Z2788">
        <v>0</v>
      </c>
      <c r="AA2788">
        <v>0</v>
      </c>
      <c r="AB2788" s="3">
        <v>42562</v>
      </c>
      <c r="AC2788" t="s">
        <v>53</v>
      </c>
      <c r="AD2788" t="s">
        <v>53</v>
      </c>
      <c r="AK2788">
        <v>0</v>
      </c>
      <c r="AU2788" s="3">
        <v>42416</v>
      </c>
      <c r="AV2788" s="3">
        <v>42416</v>
      </c>
      <c r="AW2788" t="s">
        <v>54</v>
      </c>
      <c r="AX2788" t="str">
        <f t="shared" si="335"/>
        <v>FOR</v>
      </c>
      <c r="AY2788" t="s">
        <v>55</v>
      </c>
    </row>
    <row r="2789" spans="1:51" hidden="1">
      <c r="A2789">
        <v>104093</v>
      </c>
      <c r="B2789" t="s">
        <v>360</v>
      </c>
      <c r="C2789" t="str">
        <f t="shared" si="336"/>
        <v>06032681006</v>
      </c>
      <c r="D2789" t="str">
        <f t="shared" si="337"/>
        <v>12572900152</v>
      </c>
      <c r="E2789" t="s">
        <v>52</v>
      </c>
      <c r="F2789">
        <v>2015</v>
      </c>
      <c r="G2789" t="str">
        <f>"            25232983"</f>
        <v xml:space="preserve">            25232983</v>
      </c>
      <c r="H2789" s="3">
        <v>42072</v>
      </c>
      <c r="I2789" s="3">
        <v>42086</v>
      </c>
      <c r="J2789" s="3">
        <v>42086</v>
      </c>
      <c r="K2789" s="3">
        <v>42146</v>
      </c>
      <c r="L2789"/>
      <c r="N2789"/>
      <c r="O2789" s="4">
        <v>4102</v>
      </c>
      <c r="P2789">
        <v>270</v>
      </c>
      <c r="Q2789" s="4">
        <v>1107540</v>
      </c>
      <c r="R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 s="3">
        <v>42562</v>
      </c>
      <c r="AC2789" t="s">
        <v>53</v>
      </c>
      <c r="AD2789" t="s">
        <v>53</v>
      </c>
      <c r="AK2789">
        <v>0</v>
      </c>
      <c r="AU2789" s="3">
        <v>42416</v>
      </c>
      <c r="AV2789" s="3">
        <v>42416</v>
      </c>
      <c r="AW2789" t="s">
        <v>54</v>
      </c>
      <c r="AX2789" t="str">
        <f t="shared" si="335"/>
        <v>FOR</v>
      </c>
      <c r="AY2789" t="s">
        <v>55</v>
      </c>
    </row>
    <row r="2790" spans="1:51" hidden="1">
      <c r="A2790">
        <v>104093</v>
      </c>
      <c r="B2790" t="s">
        <v>360</v>
      </c>
      <c r="C2790" t="str">
        <f t="shared" si="336"/>
        <v>06032681006</v>
      </c>
      <c r="D2790" t="str">
        <f t="shared" si="337"/>
        <v>12572900152</v>
      </c>
      <c r="E2790" t="s">
        <v>52</v>
      </c>
      <c r="F2790">
        <v>2015</v>
      </c>
      <c r="G2790" t="str">
        <f>"            25233639"</f>
        <v xml:space="preserve">            25233639</v>
      </c>
      <c r="H2790" s="3">
        <v>42075</v>
      </c>
      <c r="I2790" s="3">
        <v>42094</v>
      </c>
      <c r="J2790" s="3">
        <v>42094</v>
      </c>
      <c r="K2790" s="3">
        <v>42154</v>
      </c>
      <c r="L2790"/>
      <c r="N2790"/>
      <c r="O2790">
        <v>450</v>
      </c>
      <c r="P2790">
        <v>262</v>
      </c>
      <c r="Q2790" s="4">
        <v>117900</v>
      </c>
      <c r="R2790">
        <v>0</v>
      </c>
      <c r="V2790">
        <v>0</v>
      </c>
      <c r="W2790">
        <v>0</v>
      </c>
      <c r="X2790">
        <v>0</v>
      </c>
      <c r="Y2790">
        <v>0</v>
      </c>
      <c r="Z2790">
        <v>0</v>
      </c>
      <c r="AA2790">
        <v>0</v>
      </c>
      <c r="AB2790" s="3">
        <v>42562</v>
      </c>
      <c r="AC2790" t="s">
        <v>53</v>
      </c>
      <c r="AD2790" t="s">
        <v>53</v>
      </c>
      <c r="AK2790">
        <v>0</v>
      </c>
      <c r="AU2790" s="3">
        <v>42416</v>
      </c>
      <c r="AV2790" s="3">
        <v>42416</v>
      </c>
      <c r="AW2790" t="s">
        <v>54</v>
      </c>
      <c r="AX2790" t="str">
        <f t="shared" si="335"/>
        <v>FOR</v>
      </c>
      <c r="AY2790" t="s">
        <v>55</v>
      </c>
    </row>
    <row r="2791" spans="1:51" hidden="1">
      <c r="A2791">
        <v>104093</v>
      </c>
      <c r="B2791" t="s">
        <v>360</v>
      </c>
      <c r="C2791" t="str">
        <f t="shared" si="336"/>
        <v>06032681006</v>
      </c>
      <c r="D2791" t="str">
        <f t="shared" si="337"/>
        <v>12572900152</v>
      </c>
      <c r="E2791" t="s">
        <v>52</v>
      </c>
      <c r="F2791">
        <v>2015</v>
      </c>
      <c r="G2791" t="str">
        <f>"            25234242"</f>
        <v xml:space="preserve">            25234242</v>
      </c>
      <c r="H2791" s="3">
        <v>42080</v>
      </c>
      <c r="I2791" s="3">
        <v>42103</v>
      </c>
      <c r="J2791" s="3">
        <v>42103</v>
      </c>
      <c r="K2791" s="3">
        <v>42163</v>
      </c>
      <c r="L2791"/>
      <c r="N2791"/>
      <c r="O2791">
        <v>680.4</v>
      </c>
      <c r="P2791">
        <v>253</v>
      </c>
      <c r="Q2791" s="4">
        <v>172141.2</v>
      </c>
      <c r="R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 s="3">
        <v>42562</v>
      </c>
      <c r="AC2791" t="s">
        <v>53</v>
      </c>
      <c r="AD2791" t="s">
        <v>53</v>
      </c>
      <c r="AK2791">
        <v>0</v>
      </c>
      <c r="AU2791" s="3">
        <v>42416</v>
      </c>
      <c r="AV2791" s="3">
        <v>42416</v>
      </c>
      <c r="AW2791" t="s">
        <v>54</v>
      </c>
      <c r="AX2791" t="str">
        <f t="shared" si="335"/>
        <v>FOR</v>
      </c>
      <c r="AY2791" t="s">
        <v>55</v>
      </c>
    </row>
    <row r="2792" spans="1:51" hidden="1">
      <c r="A2792">
        <v>104093</v>
      </c>
      <c r="B2792" t="s">
        <v>360</v>
      </c>
      <c r="C2792" t="str">
        <f t="shared" si="336"/>
        <v>06032681006</v>
      </c>
      <c r="D2792" t="str">
        <f t="shared" si="337"/>
        <v>12572900152</v>
      </c>
      <c r="E2792" t="s">
        <v>52</v>
      </c>
      <c r="F2792">
        <v>2015</v>
      </c>
      <c r="G2792" t="str">
        <f>"            25234244"</f>
        <v xml:space="preserve">            25234244</v>
      </c>
      <c r="H2792" s="3">
        <v>42080</v>
      </c>
      <c r="I2792" s="3">
        <v>42102</v>
      </c>
      <c r="J2792" s="3">
        <v>42102</v>
      </c>
      <c r="K2792" s="3">
        <v>42162</v>
      </c>
      <c r="L2792"/>
      <c r="N2792"/>
      <c r="O2792">
        <v>243</v>
      </c>
      <c r="P2792">
        <v>254</v>
      </c>
      <c r="Q2792" s="4">
        <v>61722</v>
      </c>
      <c r="R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 s="3">
        <v>42562</v>
      </c>
      <c r="AC2792" t="s">
        <v>53</v>
      </c>
      <c r="AD2792" t="s">
        <v>53</v>
      </c>
      <c r="AK2792">
        <v>0</v>
      </c>
      <c r="AU2792" s="3">
        <v>42416</v>
      </c>
      <c r="AV2792" s="3">
        <v>42416</v>
      </c>
      <c r="AW2792" t="s">
        <v>54</v>
      </c>
      <c r="AX2792" t="str">
        <f t="shared" si="335"/>
        <v>FOR</v>
      </c>
      <c r="AY2792" t="s">
        <v>55</v>
      </c>
    </row>
    <row r="2793" spans="1:51" hidden="1">
      <c r="A2793">
        <v>104093</v>
      </c>
      <c r="B2793" t="s">
        <v>360</v>
      </c>
      <c r="C2793" t="str">
        <f t="shared" si="336"/>
        <v>06032681006</v>
      </c>
      <c r="D2793" t="str">
        <f t="shared" si="337"/>
        <v>12572900152</v>
      </c>
      <c r="E2793" t="s">
        <v>52</v>
      </c>
      <c r="F2793">
        <v>2015</v>
      </c>
      <c r="G2793" t="str">
        <f>"            25234253"</f>
        <v xml:space="preserve">            25234253</v>
      </c>
      <c r="H2793" s="3">
        <v>42080</v>
      </c>
      <c r="I2793" s="3">
        <v>42102</v>
      </c>
      <c r="J2793" s="3">
        <v>42102</v>
      </c>
      <c r="K2793" s="3">
        <v>42162</v>
      </c>
      <c r="L2793"/>
      <c r="N2793"/>
      <c r="O2793">
        <v>900</v>
      </c>
      <c r="P2793">
        <v>254</v>
      </c>
      <c r="Q2793" s="4">
        <v>228600</v>
      </c>
      <c r="R2793">
        <v>0</v>
      </c>
      <c r="V2793">
        <v>0</v>
      </c>
      <c r="W2793">
        <v>0</v>
      </c>
      <c r="X2793">
        <v>0</v>
      </c>
      <c r="Y2793">
        <v>0</v>
      </c>
      <c r="Z2793">
        <v>0</v>
      </c>
      <c r="AA2793">
        <v>0</v>
      </c>
      <c r="AB2793" s="3">
        <v>42562</v>
      </c>
      <c r="AC2793" t="s">
        <v>53</v>
      </c>
      <c r="AD2793" t="s">
        <v>53</v>
      </c>
      <c r="AK2793">
        <v>0</v>
      </c>
      <c r="AU2793" s="3">
        <v>42416</v>
      </c>
      <c r="AV2793" s="3">
        <v>42416</v>
      </c>
      <c r="AW2793" t="s">
        <v>54</v>
      </c>
      <c r="AX2793" t="str">
        <f t="shared" si="335"/>
        <v>FOR</v>
      </c>
      <c r="AY2793" t="s">
        <v>55</v>
      </c>
    </row>
    <row r="2794" spans="1:51" hidden="1">
      <c r="A2794">
        <v>104093</v>
      </c>
      <c r="B2794" t="s">
        <v>360</v>
      </c>
      <c r="C2794" t="str">
        <f t="shared" si="336"/>
        <v>06032681006</v>
      </c>
      <c r="D2794" t="str">
        <f t="shared" si="337"/>
        <v>12572900152</v>
      </c>
      <c r="E2794" t="s">
        <v>52</v>
      </c>
      <c r="F2794">
        <v>2015</v>
      </c>
      <c r="G2794" t="str">
        <f>"            25234254"</f>
        <v xml:space="preserve">            25234254</v>
      </c>
      <c r="H2794" s="3">
        <v>42080</v>
      </c>
      <c r="I2794" s="3">
        <v>42103</v>
      </c>
      <c r="J2794" s="3">
        <v>42103</v>
      </c>
      <c r="K2794" s="3">
        <v>42163</v>
      </c>
      <c r="L2794"/>
      <c r="N2794"/>
      <c r="O2794">
        <v>900</v>
      </c>
      <c r="P2794">
        <v>253</v>
      </c>
      <c r="Q2794" s="4">
        <v>227700</v>
      </c>
      <c r="R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 s="3">
        <v>42562</v>
      </c>
      <c r="AC2794" t="s">
        <v>53</v>
      </c>
      <c r="AD2794" t="s">
        <v>53</v>
      </c>
      <c r="AK2794">
        <v>0</v>
      </c>
      <c r="AU2794" s="3">
        <v>42416</v>
      </c>
      <c r="AV2794" s="3">
        <v>42416</v>
      </c>
      <c r="AW2794" t="s">
        <v>54</v>
      </c>
      <c r="AX2794" t="str">
        <f t="shared" si="335"/>
        <v>FOR</v>
      </c>
      <c r="AY2794" t="s">
        <v>55</v>
      </c>
    </row>
    <row r="2795" spans="1:51" hidden="1">
      <c r="A2795">
        <v>104093</v>
      </c>
      <c r="B2795" t="s">
        <v>360</v>
      </c>
      <c r="C2795" t="str">
        <f t="shared" si="336"/>
        <v>06032681006</v>
      </c>
      <c r="D2795" t="str">
        <f t="shared" si="337"/>
        <v>12572900152</v>
      </c>
      <c r="E2795" t="s">
        <v>52</v>
      </c>
      <c r="F2795">
        <v>2015</v>
      </c>
      <c r="G2795" t="str">
        <f>"            25234255"</f>
        <v xml:space="preserve">            25234255</v>
      </c>
      <c r="H2795" s="3">
        <v>42080</v>
      </c>
      <c r="I2795" s="3">
        <v>42103</v>
      </c>
      <c r="J2795" s="3">
        <v>42103</v>
      </c>
      <c r="K2795" s="3">
        <v>42163</v>
      </c>
      <c r="L2795"/>
      <c r="N2795"/>
      <c r="O2795">
        <v>900</v>
      </c>
      <c r="P2795">
        <v>253</v>
      </c>
      <c r="Q2795" s="4">
        <v>227700</v>
      </c>
      <c r="R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 s="3">
        <v>42562</v>
      </c>
      <c r="AC2795" t="s">
        <v>53</v>
      </c>
      <c r="AD2795" t="s">
        <v>53</v>
      </c>
      <c r="AK2795">
        <v>0</v>
      </c>
      <c r="AU2795" s="3">
        <v>42416</v>
      </c>
      <c r="AV2795" s="3">
        <v>42416</v>
      </c>
      <c r="AW2795" t="s">
        <v>54</v>
      </c>
      <c r="AX2795" t="str">
        <f t="shared" si="335"/>
        <v>FOR</v>
      </c>
      <c r="AY2795" t="s">
        <v>55</v>
      </c>
    </row>
    <row r="2796" spans="1:51" hidden="1">
      <c r="A2796">
        <v>104093</v>
      </c>
      <c r="B2796" t="s">
        <v>360</v>
      </c>
      <c r="C2796" t="str">
        <f t="shared" si="336"/>
        <v>06032681006</v>
      </c>
      <c r="D2796" t="str">
        <f t="shared" si="337"/>
        <v>12572900152</v>
      </c>
      <c r="E2796" t="s">
        <v>52</v>
      </c>
      <c r="F2796">
        <v>2015</v>
      </c>
      <c r="G2796" t="str">
        <f>"            25234256"</f>
        <v xml:space="preserve">            25234256</v>
      </c>
      <c r="H2796" s="3">
        <v>42080</v>
      </c>
      <c r="I2796" s="3">
        <v>42103</v>
      </c>
      <c r="J2796" s="3">
        <v>42103</v>
      </c>
      <c r="K2796" s="3">
        <v>42163</v>
      </c>
      <c r="L2796"/>
      <c r="N2796"/>
      <c r="O2796">
        <v>900</v>
      </c>
      <c r="P2796">
        <v>253</v>
      </c>
      <c r="Q2796" s="4">
        <v>227700</v>
      </c>
      <c r="R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 s="3">
        <v>42562</v>
      </c>
      <c r="AC2796" t="s">
        <v>53</v>
      </c>
      <c r="AD2796" t="s">
        <v>53</v>
      </c>
      <c r="AK2796">
        <v>0</v>
      </c>
      <c r="AU2796" s="3">
        <v>42416</v>
      </c>
      <c r="AV2796" s="3">
        <v>42416</v>
      </c>
      <c r="AW2796" t="s">
        <v>54</v>
      </c>
      <c r="AX2796" t="str">
        <f t="shared" si="335"/>
        <v>FOR</v>
      </c>
      <c r="AY2796" t="s">
        <v>55</v>
      </c>
    </row>
    <row r="2797" spans="1:51" hidden="1">
      <c r="A2797">
        <v>104093</v>
      </c>
      <c r="B2797" t="s">
        <v>360</v>
      </c>
      <c r="C2797" t="str">
        <f t="shared" si="336"/>
        <v>06032681006</v>
      </c>
      <c r="D2797" t="str">
        <f t="shared" si="337"/>
        <v>12572900152</v>
      </c>
      <c r="E2797" t="s">
        <v>52</v>
      </c>
      <c r="F2797">
        <v>2015</v>
      </c>
      <c r="G2797" t="str">
        <f>"            25234304"</f>
        <v xml:space="preserve">            25234304</v>
      </c>
      <c r="H2797" s="3">
        <v>42080</v>
      </c>
      <c r="I2797" s="3">
        <v>42103</v>
      </c>
      <c r="J2797" s="3">
        <v>42103</v>
      </c>
      <c r="K2797" s="3">
        <v>42163</v>
      </c>
      <c r="L2797"/>
      <c r="N2797"/>
      <c r="O2797">
        <v>243</v>
      </c>
      <c r="P2797">
        <v>253</v>
      </c>
      <c r="Q2797" s="4">
        <v>61479</v>
      </c>
      <c r="R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 s="3">
        <v>42562</v>
      </c>
      <c r="AC2797" t="s">
        <v>53</v>
      </c>
      <c r="AD2797" t="s">
        <v>53</v>
      </c>
      <c r="AK2797">
        <v>0</v>
      </c>
      <c r="AU2797" s="3">
        <v>42416</v>
      </c>
      <c r="AV2797" s="3">
        <v>42416</v>
      </c>
      <c r="AW2797" t="s">
        <v>54</v>
      </c>
      <c r="AX2797" t="str">
        <f t="shared" si="335"/>
        <v>FOR</v>
      </c>
      <c r="AY2797" t="s">
        <v>55</v>
      </c>
    </row>
    <row r="2798" spans="1:51" hidden="1">
      <c r="A2798">
        <v>104093</v>
      </c>
      <c r="B2798" t="s">
        <v>360</v>
      </c>
      <c r="C2798" t="str">
        <f t="shared" si="336"/>
        <v>06032681006</v>
      </c>
      <c r="D2798" t="str">
        <f t="shared" si="337"/>
        <v>12572900152</v>
      </c>
      <c r="E2798" t="s">
        <v>52</v>
      </c>
      <c r="F2798">
        <v>2015</v>
      </c>
      <c r="G2798" t="str">
        <f>"            25234305"</f>
        <v xml:space="preserve">            25234305</v>
      </c>
      <c r="H2798" s="3">
        <v>42080</v>
      </c>
      <c r="I2798" s="3">
        <v>42103</v>
      </c>
      <c r="J2798" s="3">
        <v>42103</v>
      </c>
      <c r="K2798" s="3">
        <v>42163</v>
      </c>
      <c r="L2798"/>
      <c r="N2798"/>
      <c r="O2798">
        <v>72</v>
      </c>
      <c r="P2798">
        <v>253</v>
      </c>
      <c r="Q2798" s="4">
        <v>18216</v>
      </c>
      <c r="R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 s="3">
        <v>42562</v>
      </c>
      <c r="AC2798" t="s">
        <v>53</v>
      </c>
      <c r="AD2798" t="s">
        <v>53</v>
      </c>
      <c r="AK2798">
        <v>0</v>
      </c>
      <c r="AU2798" s="3">
        <v>42416</v>
      </c>
      <c r="AV2798" s="3">
        <v>42416</v>
      </c>
      <c r="AW2798" t="s">
        <v>54</v>
      </c>
      <c r="AX2798" t="str">
        <f t="shared" si="335"/>
        <v>FOR</v>
      </c>
      <c r="AY2798" t="s">
        <v>55</v>
      </c>
    </row>
    <row r="2799" spans="1:51" hidden="1">
      <c r="A2799">
        <v>104093</v>
      </c>
      <c r="B2799" t="s">
        <v>360</v>
      </c>
      <c r="C2799" t="str">
        <f t="shared" si="336"/>
        <v>06032681006</v>
      </c>
      <c r="D2799" t="str">
        <f t="shared" si="337"/>
        <v>12572900152</v>
      </c>
      <c r="E2799" t="s">
        <v>52</v>
      </c>
      <c r="F2799">
        <v>2015</v>
      </c>
      <c r="G2799" t="str">
        <f>"            25234603"</f>
        <v xml:space="preserve">            25234603</v>
      </c>
      <c r="H2799" s="3">
        <v>42081</v>
      </c>
      <c r="I2799" s="3">
        <v>42103</v>
      </c>
      <c r="J2799" s="3">
        <v>42103</v>
      </c>
      <c r="K2799" s="3">
        <v>42163</v>
      </c>
      <c r="L2799"/>
      <c r="N2799"/>
      <c r="O2799">
        <v>900</v>
      </c>
      <c r="P2799">
        <v>253</v>
      </c>
      <c r="Q2799" s="4">
        <v>227700</v>
      </c>
      <c r="R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 s="3">
        <v>42562</v>
      </c>
      <c r="AC2799" t="s">
        <v>53</v>
      </c>
      <c r="AD2799" t="s">
        <v>53</v>
      </c>
      <c r="AK2799">
        <v>0</v>
      </c>
      <c r="AU2799" s="3">
        <v>42416</v>
      </c>
      <c r="AV2799" s="3">
        <v>42416</v>
      </c>
      <c r="AW2799" t="s">
        <v>54</v>
      </c>
      <c r="AX2799" t="str">
        <f t="shared" si="335"/>
        <v>FOR</v>
      </c>
      <c r="AY2799" t="s">
        <v>55</v>
      </c>
    </row>
    <row r="2800" spans="1:51" hidden="1">
      <c r="A2800">
        <v>104093</v>
      </c>
      <c r="B2800" t="s">
        <v>360</v>
      </c>
      <c r="C2800" t="str">
        <f t="shared" si="336"/>
        <v>06032681006</v>
      </c>
      <c r="D2800" t="str">
        <f t="shared" si="337"/>
        <v>12572900152</v>
      </c>
      <c r="E2800" t="s">
        <v>52</v>
      </c>
      <c r="F2800">
        <v>2015</v>
      </c>
      <c r="G2800" t="str">
        <f>"            25234604"</f>
        <v xml:space="preserve">            25234604</v>
      </c>
      <c r="H2800" s="3">
        <v>42081</v>
      </c>
      <c r="I2800" s="3">
        <v>42103</v>
      </c>
      <c r="J2800" s="3">
        <v>42103</v>
      </c>
      <c r="K2800" s="3">
        <v>42163</v>
      </c>
      <c r="L2800"/>
      <c r="N2800"/>
      <c r="O2800">
        <v>900</v>
      </c>
      <c r="P2800">
        <v>253</v>
      </c>
      <c r="Q2800" s="4">
        <v>227700</v>
      </c>
      <c r="R2800">
        <v>0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 s="3">
        <v>42562</v>
      </c>
      <c r="AC2800" t="s">
        <v>53</v>
      </c>
      <c r="AD2800" t="s">
        <v>53</v>
      </c>
      <c r="AK2800">
        <v>0</v>
      </c>
      <c r="AU2800" s="3">
        <v>42416</v>
      </c>
      <c r="AV2800" s="3">
        <v>42416</v>
      </c>
      <c r="AW2800" t="s">
        <v>54</v>
      </c>
      <c r="AX2800" t="str">
        <f t="shared" si="335"/>
        <v>FOR</v>
      </c>
      <c r="AY2800" t="s">
        <v>55</v>
      </c>
    </row>
    <row r="2801" spans="1:51" hidden="1">
      <c r="A2801">
        <v>104093</v>
      </c>
      <c r="B2801" t="s">
        <v>360</v>
      </c>
      <c r="C2801" t="str">
        <f t="shared" si="336"/>
        <v>06032681006</v>
      </c>
      <c r="D2801" t="str">
        <f t="shared" si="337"/>
        <v>12572900152</v>
      </c>
      <c r="E2801" t="s">
        <v>52</v>
      </c>
      <c r="F2801">
        <v>2015</v>
      </c>
      <c r="G2801" t="str">
        <f>"            25235098"</f>
        <v xml:space="preserve">            25235098</v>
      </c>
      <c r="H2801" s="3">
        <v>42083</v>
      </c>
      <c r="I2801" s="3">
        <v>42103</v>
      </c>
      <c r="J2801" s="3">
        <v>42103</v>
      </c>
      <c r="K2801" s="3">
        <v>42163</v>
      </c>
      <c r="L2801"/>
      <c r="N2801"/>
      <c r="O2801" s="4">
        <v>2649.5</v>
      </c>
      <c r="P2801">
        <v>253</v>
      </c>
      <c r="Q2801" s="4">
        <v>670323.5</v>
      </c>
      <c r="R2801">
        <v>0</v>
      </c>
      <c r="V2801">
        <v>0</v>
      </c>
      <c r="W2801">
        <v>0</v>
      </c>
      <c r="X2801">
        <v>0</v>
      </c>
      <c r="Y2801">
        <v>0</v>
      </c>
      <c r="Z2801">
        <v>0</v>
      </c>
      <c r="AA2801">
        <v>0</v>
      </c>
      <c r="AB2801" s="3">
        <v>42562</v>
      </c>
      <c r="AC2801" t="s">
        <v>53</v>
      </c>
      <c r="AD2801" t="s">
        <v>53</v>
      </c>
      <c r="AK2801">
        <v>0</v>
      </c>
      <c r="AU2801" s="3">
        <v>42416</v>
      </c>
      <c r="AV2801" s="3">
        <v>42416</v>
      </c>
      <c r="AW2801" t="s">
        <v>54</v>
      </c>
      <c r="AX2801" t="str">
        <f t="shared" si="335"/>
        <v>FOR</v>
      </c>
      <c r="AY2801" t="s">
        <v>55</v>
      </c>
    </row>
    <row r="2802" spans="1:51" hidden="1">
      <c r="A2802">
        <v>104093</v>
      </c>
      <c r="B2802" t="s">
        <v>360</v>
      </c>
      <c r="C2802" t="str">
        <f t="shared" si="336"/>
        <v>06032681006</v>
      </c>
      <c r="D2802" t="str">
        <f t="shared" si="337"/>
        <v>12572900152</v>
      </c>
      <c r="E2802" t="s">
        <v>52</v>
      </c>
      <c r="F2802">
        <v>2015</v>
      </c>
      <c r="G2802" t="str">
        <f>"            25236540"</f>
        <v xml:space="preserve">            25236540</v>
      </c>
      <c r="H2802" s="3">
        <v>42089</v>
      </c>
      <c r="I2802" s="3">
        <v>42108</v>
      </c>
      <c r="J2802" s="3">
        <v>42108</v>
      </c>
      <c r="K2802" s="3">
        <v>42168</v>
      </c>
      <c r="L2802"/>
      <c r="N2802"/>
      <c r="O2802" s="4">
        <v>1530</v>
      </c>
      <c r="P2802">
        <v>248</v>
      </c>
      <c r="Q2802" s="4">
        <v>379440</v>
      </c>
      <c r="R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 s="3">
        <v>42562</v>
      </c>
      <c r="AC2802" t="s">
        <v>53</v>
      </c>
      <c r="AD2802" t="s">
        <v>53</v>
      </c>
      <c r="AK2802">
        <v>0</v>
      </c>
      <c r="AU2802" s="3">
        <v>42416</v>
      </c>
      <c r="AV2802" s="3">
        <v>42416</v>
      </c>
      <c r="AW2802" t="s">
        <v>54</v>
      </c>
      <c r="AX2802" t="str">
        <f t="shared" si="335"/>
        <v>FOR</v>
      </c>
      <c r="AY2802" t="s">
        <v>55</v>
      </c>
    </row>
    <row r="2803" spans="1:51" hidden="1">
      <c r="A2803">
        <v>104093</v>
      </c>
      <c r="B2803" t="s">
        <v>360</v>
      </c>
      <c r="C2803" t="str">
        <f t="shared" si="336"/>
        <v>06032681006</v>
      </c>
      <c r="D2803" t="str">
        <f t="shared" si="337"/>
        <v>12572900152</v>
      </c>
      <c r="E2803" t="s">
        <v>52</v>
      </c>
      <c r="F2803">
        <v>2015</v>
      </c>
      <c r="G2803" t="str">
        <f>"            25238438"</f>
        <v xml:space="preserve">            25238438</v>
      </c>
      <c r="H2803" s="3">
        <v>42097</v>
      </c>
      <c r="I2803" s="3">
        <v>42104</v>
      </c>
      <c r="J2803" s="3">
        <v>42103</v>
      </c>
      <c r="K2803" s="3">
        <v>42163</v>
      </c>
      <c r="L2803"/>
      <c r="N2803"/>
      <c r="O2803">
        <v>72</v>
      </c>
      <c r="P2803">
        <v>267</v>
      </c>
      <c r="Q2803" s="4">
        <v>19224</v>
      </c>
      <c r="R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 s="3">
        <v>42562</v>
      </c>
      <c r="AC2803" t="s">
        <v>53</v>
      </c>
      <c r="AD2803" t="s">
        <v>53</v>
      </c>
      <c r="AK2803">
        <v>0</v>
      </c>
      <c r="AU2803" s="3">
        <v>42430</v>
      </c>
      <c r="AV2803" s="3">
        <v>42430</v>
      </c>
      <c r="AW2803" t="s">
        <v>54</v>
      </c>
      <c r="AX2803" t="str">
        <f t="shared" si="335"/>
        <v>FOR</v>
      </c>
      <c r="AY2803" t="s">
        <v>55</v>
      </c>
    </row>
    <row r="2804" spans="1:51" hidden="1">
      <c r="A2804">
        <v>104093</v>
      </c>
      <c r="B2804" t="s">
        <v>360</v>
      </c>
      <c r="C2804" t="str">
        <f t="shared" si="336"/>
        <v>06032681006</v>
      </c>
      <c r="D2804" t="str">
        <f t="shared" si="337"/>
        <v>12572900152</v>
      </c>
      <c r="E2804" t="s">
        <v>52</v>
      </c>
      <c r="F2804">
        <v>2015</v>
      </c>
      <c r="G2804" t="str">
        <f>"            25238443"</f>
        <v xml:space="preserve">            25238443</v>
      </c>
      <c r="H2804" s="3">
        <v>42097</v>
      </c>
      <c r="I2804" s="3">
        <v>42104</v>
      </c>
      <c r="J2804" s="3">
        <v>42103</v>
      </c>
      <c r="K2804" s="3">
        <v>42163</v>
      </c>
      <c r="L2804"/>
      <c r="N2804"/>
      <c r="O2804">
        <v>387.9</v>
      </c>
      <c r="P2804">
        <v>267</v>
      </c>
      <c r="Q2804" s="4">
        <v>103569.3</v>
      </c>
      <c r="R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 s="3">
        <v>42562</v>
      </c>
      <c r="AC2804" t="s">
        <v>53</v>
      </c>
      <c r="AD2804" t="s">
        <v>53</v>
      </c>
      <c r="AK2804">
        <v>0</v>
      </c>
      <c r="AU2804" s="3">
        <v>42430</v>
      </c>
      <c r="AV2804" s="3">
        <v>42430</v>
      </c>
      <c r="AW2804" t="s">
        <v>54</v>
      </c>
      <c r="AX2804" t="str">
        <f t="shared" si="335"/>
        <v>FOR</v>
      </c>
      <c r="AY2804" t="s">
        <v>55</v>
      </c>
    </row>
    <row r="2805" spans="1:51" hidden="1">
      <c r="A2805">
        <v>104093</v>
      </c>
      <c r="B2805" t="s">
        <v>360</v>
      </c>
      <c r="C2805" t="str">
        <f t="shared" si="336"/>
        <v>06032681006</v>
      </c>
      <c r="D2805" t="str">
        <f t="shared" si="337"/>
        <v>12572900152</v>
      </c>
      <c r="E2805" t="s">
        <v>52</v>
      </c>
      <c r="F2805">
        <v>2015</v>
      </c>
      <c r="G2805" t="str">
        <f>"            25238449"</f>
        <v xml:space="preserve">            25238449</v>
      </c>
      <c r="H2805" s="3">
        <v>42097</v>
      </c>
      <c r="I2805" s="3">
        <v>42104</v>
      </c>
      <c r="J2805" s="3">
        <v>42103</v>
      </c>
      <c r="K2805" s="3">
        <v>42163</v>
      </c>
      <c r="L2805"/>
      <c r="N2805"/>
      <c r="O2805">
        <v>72</v>
      </c>
      <c r="P2805">
        <v>267</v>
      </c>
      <c r="Q2805" s="4">
        <v>19224</v>
      </c>
      <c r="R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 s="3">
        <v>42562</v>
      </c>
      <c r="AC2805" t="s">
        <v>53</v>
      </c>
      <c r="AD2805" t="s">
        <v>53</v>
      </c>
      <c r="AK2805">
        <v>0</v>
      </c>
      <c r="AU2805" s="3">
        <v>42430</v>
      </c>
      <c r="AV2805" s="3">
        <v>42430</v>
      </c>
      <c r="AW2805" t="s">
        <v>54</v>
      </c>
      <c r="AX2805" t="str">
        <f t="shared" si="335"/>
        <v>FOR</v>
      </c>
      <c r="AY2805" t="s">
        <v>55</v>
      </c>
    </row>
    <row r="2806" spans="1:51" hidden="1">
      <c r="A2806">
        <v>104093</v>
      </c>
      <c r="B2806" t="s">
        <v>360</v>
      </c>
      <c r="C2806" t="str">
        <f t="shared" si="336"/>
        <v>06032681006</v>
      </c>
      <c r="D2806" t="str">
        <f t="shared" si="337"/>
        <v>12572900152</v>
      </c>
      <c r="E2806" t="s">
        <v>52</v>
      </c>
      <c r="F2806">
        <v>2015</v>
      </c>
      <c r="G2806" t="str">
        <f>"            25238453"</f>
        <v xml:space="preserve">            25238453</v>
      </c>
      <c r="H2806" s="3">
        <v>42097</v>
      </c>
      <c r="I2806" s="3">
        <v>42104</v>
      </c>
      <c r="J2806" s="3">
        <v>42103</v>
      </c>
      <c r="K2806" s="3">
        <v>42163</v>
      </c>
      <c r="L2806"/>
      <c r="N2806"/>
      <c r="O2806">
        <v>72</v>
      </c>
      <c r="P2806">
        <v>267</v>
      </c>
      <c r="Q2806" s="4">
        <v>19224</v>
      </c>
      <c r="R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 s="3">
        <v>42562</v>
      </c>
      <c r="AC2806" t="s">
        <v>53</v>
      </c>
      <c r="AD2806" t="s">
        <v>53</v>
      </c>
      <c r="AK2806">
        <v>0</v>
      </c>
      <c r="AU2806" s="3">
        <v>42430</v>
      </c>
      <c r="AV2806" s="3">
        <v>42430</v>
      </c>
      <c r="AW2806" t="s">
        <v>54</v>
      </c>
      <c r="AX2806" t="str">
        <f t="shared" si="335"/>
        <v>FOR</v>
      </c>
      <c r="AY2806" t="s">
        <v>55</v>
      </c>
    </row>
    <row r="2807" spans="1:51" hidden="1">
      <c r="A2807">
        <v>104093</v>
      </c>
      <c r="B2807" t="s">
        <v>360</v>
      </c>
      <c r="C2807" t="str">
        <f t="shared" si="336"/>
        <v>06032681006</v>
      </c>
      <c r="D2807" t="str">
        <f t="shared" si="337"/>
        <v>12572900152</v>
      </c>
      <c r="E2807" t="s">
        <v>52</v>
      </c>
      <c r="F2807">
        <v>2015</v>
      </c>
      <c r="G2807" t="str">
        <f>"            25238482"</f>
        <v xml:space="preserve">            25238482</v>
      </c>
      <c r="H2807" s="3">
        <v>42097</v>
      </c>
      <c r="I2807" s="3">
        <v>42128</v>
      </c>
      <c r="J2807" s="3">
        <v>42103</v>
      </c>
      <c r="K2807" s="3">
        <v>42163</v>
      </c>
      <c r="L2807"/>
      <c r="N2807"/>
      <c r="O2807" s="4">
        <v>4409</v>
      </c>
      <c r="P2807">
        <v>267</v>
      </c>
      <c r="Q2807" s="4">
        <v>1177203</v>
      </c>
      <c r="R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 s="3">
        <v>42562</v>
      </c>
      <c r="AC2807" t="s">
        <v>53</v>
      </c>
      <c r="AD2807" t="s">
        <v>53</v>
      </c>
      <c r="AK2807">
        <v>0</v>
      </c>
      <c r="AU2807" s="3">
        <v>42430</v>
      </c>
      <c r="AV2807" s="3">
        <v>42430</v>
      </c>
      <c r="AW2807" t="s">
        <v>54</v>
      </c>
      <c r="AX2807" t="str">
        <f t="shared" si="335"/>
        <v>FOR</v>
      </c>
      <c r="AY2807" t="s">
        <v>55</v>
      </c>
    </row>
    <row r="2808" spans="1:51" hidden="1">
      <c r="A2808">
        <v>104093</v>
      </c>
      <c r="B2808" t="s">
        <v>360</v>
      </c>
      <c r="C2808" t="str">
        <f t="shared" si="336"/>
        <v>06032681006</v>
      </c>
      <c r="D2808" t="str">
        <f t="shared" si="337"/>
        <v>12572900152</v>
      </c>
      <c r="E2808" t="s">
        <v>52</v>
      </c>
      <c r="F2808">
        <v>2015</v>
      </c>
      <c r="G2808" t="str">
        <f>"            25238671"</f>
        <v xml:space="preserve">            25238671</v>
      </c>
      <c r="H2808" s="3">
        <v>42101</v>
      </c>
      <c r="I2808" s="3">
        <v>42104</v>
      </c>
      <c r="J2808" s="3">
        <v>42103</v>
      </c>
      <c r="K2808" s="3">
        <v>42163</v>
      </c>
      <c r="L2808"/>
      <c r="N2808"/>
      <c r="O2808">
        <v>243</v>
      </c>
      <c r="P2808">
        <v>267</v>
      </c>
      <c r="Q2808" s="4">
        <v>64881</v>
      </c>
      <c r="R2808">
        <v>0</v>
      </c>
      <c r="V2808">
        <v>0</v>
      </c>
      <c r="W2808">
        <v>0</v>
      </c>
      <c r="X2808">
        <v>0</v>
      </c>
      <c r="Y2808">
        <v>0</v>
      </c>
      <c r="Z2808">
        <v>0</v>
      </c>
      <c r="AA2808">
        <v>0</v>
      </c>
      <c r="AB2808" s="3">
        <v>42562</v>
      </c>
      <c r="AC2808" t="s">
        <v>53</v>
      </c>
      <c r="AD2808" t="s">
        <v>53</v>
      </c>
      <c r="AK2808">
        <v>0</v>
      </c>
      <c r="AU2808" s="3">
        <v>42430</v>
      </c>
      <c r="AV2808" s="3">
        <v>42430</v>
      </c>
      <c r="AW2808" t="s">
        <v>54</v>
      </c>
      <c r="AX2808" t="str">
        <f t="shared" ref="AX2808:AX2871" si="338">"FOR"</f>
        <v>FOR</v>
      </c>
      <c r="AY2808" t="s">
        <v>55</v>
      </c>
    </row>
    <row r="2809" spans="1:51" hidden="1">
      <c r="A2809">
        <v>104093</v>
      </c>
      <c r="B2809" t="s">
        <v>360</v>
      </c>
      <c r="C2809" t="str">
        <f t="shared" si="336"/>
        <v>06032681006</v>
      </c>
      <c r="D2809" t="str">
        <f t="shared" si="337"/>
        <v>12572900152</v>
      </c>
      <c r="E2809" t="s">
        <v>52</v>
      </c>
      <c r="F2809">
        <v>2015</v>
      </c>
      <c r="G2809" t="str">
        <f>"            25238676"</f>
        <v xml:space="preserve">            25238676</v>
      </c>
      <c r="H2809" s="3">
        <v>42101</v>
      </c>
      <c r="I2809" s="3">
        <v>42104</v>
      </c>
      <c r="J2809" s="3">
        <v>42103</v>
      </c>
      <c r="K2809" s="3">
        <v>42163</v>
      </c>
      <c r="L2809"/>
      <c r="N2809"/>
      <c r="O2809">
        <v>72</v>
      </c>
      <c r="P2809">
        <v>267</v>
      </c>
      <c r="Q2809" s="4">
        <v>19224</v>
      </c>
      <c r="R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 s="3">
        <v>42562</v>
      </c>
      <c r="AC2809" t="s">
        <v>53</v>
      </c>
      <c r="AD2809" t="s">
        <v>53</v>
      </c>
      <c r="AK2809">
        <v>0</v>
      </c>
      <c r="AU2809" s="3">
        <v>42430</v>
      </c>
      <c r="AV2809" s="3">
        <v>42430</v>
      </c>
      <c r="AW2809" t="s">
        <v>54</v>
      </c>
      <c r="AX2809" t="str">
        <f t="shared" si="338"/>
        <v>FOR</v>
      </c>
      <c r="AY2809" t="s">
        <v>55</v>
      </c>
    </row>
    <row r="2810" spans="1:51" hidden="1">
      <c r="A2810">
        <v>104093</v>
      </c>
      <c r="B2810" t="s">
        <v>360</v>
      </c>
      <c r="C2810" t="str">
        <f t="shared" si="336"/>
        <v>06032681006</v>
      </c>
      <c r="D2810" t="str">
        <f t="shared" si="337"/>
        <v>12572900152</v>
      </c>
      <c r="E2810" t="s">
        <v>52</v>
      </c>
      <c r="F2810">
        <v>2015</v>
      </c>
      <c r="G2810" t="str">
        <f>"            25238677"</f>
        <v xml:space="preserve">            25238677</v>
      </c>
      <c r="H2810" s="3">
        <v>42101</v>
      </c>
      <c r="I2810" s="3">
        <v>42104</v>
      </c>
      <c r="J2810" s="3">
        <v>42103</v>
      </c>
      <c r="K2810" s="3">
        <v>42163</v>
      </c>
      <c r="L2810"/>
      <c r="N2810"/>
      <c r="O2810">
        <v>680.4</v>
      </c>
      <c r="P2810">
        <v>267</v>
      </c>
      <c r="Q2810" s="4">
        <v>181666.8</v>
      </c>
      <c r="R2810">
        <v>0</v>
      </c>
      <c r="V2810">
        <v>0</v>
      </c>
      <c r="W2810">
        <v>0</v>
      </c>
      <c r="X2810">
        <v>0</v>
      </c>
      <c r="Y2810">
        <v>0</v>
      </c>
      <c r="Z2810">
        <v>0</v>
      </c>
      <c r="AA2810">
        <v>0</v>
      </c>
      <c r="AB2810" s="3">
        <v>42562</v>
      </c>
      <c r="AC2810" t="s">
        <v>53</v>
      </c>
      <c r="AD2810" t="s">
        <v>53</v>
      </c>
      <c r="AK2810">
        <v>0</v>
      </c>
      <c r="AU2810" s="3">
        <v>42430</v>
      </c>
      <c r="AV2810" s="3">
        <v>42430</v>
      </c>
      <c r="AW2810" t="s">
        <v>54</v>
      </c>
      <c r="AX2810" t="str">
        <f t="shared" si="338"/>
        <v>FOR</v>
      </c>
      <c r="AY2810" t="s">
        <v>55</v>
      </c>
    </row>
    <row r="2811" spans="1:51" hidden="1">
      <c r="A2811">
        <v>104093</v>
      </c>
      <c r="B2811" t="s">
        <v>360</v>
      </c>
      <c r="C2811" t="str">
        <f t="shared" si="336"/>
        <v>06032681006</v>
      </c>
      <c r="D2811" t="str">
        <f t="shared" si="337"/>
        <v>12572900152</v>
      </c>
      <c r="E2811" t="s">
        <v>52</v>
      </c>
      <c r="F2811">
        <v>2015</v>
      </c>
      <c r="G2811" t="str">
        <f>"            25239096"</f>
        <v xml:space="preserve">            25239096</v>
      </c>
      <c r="H2811" s="3">
        <v>42103</v>
      </c>
      <c r="I2811" s="3">
        <v>42115</v>
      </c>
      <c r="J2811" s="3">
        <v>42110</v>
      </c>
      <c r="K2811" s="3">
        <v>42170</v>
      </c>
      <c r="L2811"/>
      <c r="N2811"/>
      <c r="O2811">
        <v>72</v>
      </c>
      <c r="P2811">
        <v>260</v>
      </c>
      <c r="Q2811" s="4">
        <v>18720</v>
      </c>
      <c r="R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 s="3">
        <v>42562</v>
      </c>
      <c r="AC2811" t="s">
        <v>53</v>
      </c>
      <c r="AD2811" t="s">
        <v>53</v>
      </c>
      <c r="AK2811">
        <v>0</v>
      </c>
      <c r="AU2811" s="3">
        <v>42430</v>
      </c>
      <c r="AV2811" s="3">
        <v>42430</v>
      </c>
      <c r="AW2811" t="s">
        <v>54</v>
      </c>
      <c r="AX2811" t="str">
        <f t="shared" si="338"/>
        <v>FOR</v>
      </c>
      <c r="AY2811" t="s">
        <v>55</v>
      </c>
    </row>
    <row r="2812" spans="1:51" hidden="1">
      <c r="A2812">
        <v>104093</v>
      </c>
      <c r="B2812" t="s">
        <v>360</v>
      </c>
      <c r="C2812" t="str">
        <f t="shared" si="336"/>
        <v>06032681006</v>
      </c>
      <c r="D2812" t="str">
        <f t="shared" si="337"/>
        <v>12572900152</v>
      </c>
      <c r="E2812" t="s">
        <v>52</v>
      </c>
      <c r="F2812">
        <v>2015</v>
      </c>
      <c r="G2812" t="str">
        <f>"            25239098"</f>
        <v xml:space="preserve">            25239098</v>
      </c>
      <c r="H2812" s="3">
        <v>42103</v>
      </c>
      <c r="I2812" s="3">
        <v>42115</v>
      </c>
      <c r="J2812" s="3">
        <v>42114</v>
      </c>
      <c r="K2812" s="3">
        <v>42174</v>
      </c>
      <c r="L2812"/>
      <c r="N2812"/>
      <c r="O2812">
        <v>72</v>
      </c>
      <c r="P2812">
        <v>256</v>
      </c>
      <c r="Q2812" s="4">
        <v>18432</v>
      </c>
      <c r="R2812">
        <v>0</v>
      </c>
      <c r="V2812">
        <v>0</v>
      </c>
      <c r="W2812">
        <v>0</v>
      </c>
      <c r="X2812">
        <v>0</v>
      </c>
      <c r="Y2812">
        <v>0</v>
      </c>
      <c r="Z2812">
        <v>0</v>
      </c>
      <c r="AA2812">
        <v>0</v>
      </c>
      <c r="AB2812" s="3">
        <v>42562</v>
      </c>
      <c r="AC2812" t="s">
        <v>53</v>
      </c>
      <c r="AD2812" t="s">
        <v>53</v>
      </c>
      <c r="AK2812">
        <v>0</v>
      </c>
      <c r="AU2812" s="3">
        <v>42430</v>
      </c>
      <c r="AV2812" s="3">
        <v>42430</v>
      </c>
      <c r="AW2812" t="s">
        <v>54</v>
      </c>
      <c r="AX2812" t="str">
        <f t="shared" si="338"/>
        <v>FOR</v>
      </c>
      <c r="AY2812" t="s">
        <v>55</v>
      </c>
    </row>
    <row r="2813" spans="1:51" hidden="1">
      <c r="A2813">
        <v>104093</v>
      </c>
      <c r="B2813" t="s">
        <v>360</v>
      </c>
      <c r="C2813" t="str">
        <f t="shared" si="336"/>
        <v>06032681006</v>
      </c>
      <c r="D2813" t="str">
        <f t="shared" si="337"/>
        <v>12572900152</v>
      </c>
      <c r="E2813" t="s">
        <v>52</v>
      </c>
      <c r="F2813">
        <v>2015</v>
      </c>
      <c r="G2813" t="str">
        <f>"            25239105"</f>
        <v xml:space="preserve">            25239105</v>
      </c>
      <c r="H2813" s="3">
        <v>42103</v>
      </c>
      <c r="I2813" s="3">
        <v>42115</v>
      </c>
      <c r="J2813" s="3">
        <v>42110</v>
      </c>
      <c r="K2813" s="3">
        <v>42170</v>
      </c>
      <c r="L2813"/>
      <c r="N2813"/>
      <c r="O2813">
        <v>72</v>
      </c>
      <c r="P2813">
        <v>260</v>
      </c>
      <c r="Q2813" s="4">
        <v>18720</v>
      </c>
      <c r="R2813">
        <v>0</v>
      </c>
      <c r="V2813">
        <v>0</v>
      </c>
      <c r="W2813">
        <v>0</v>
      </c>
      <c r="X2813">
        <v>0</v>
      </c>
      <c r="Y2813">
        <v>0</v>
      </c>
      <c r="Z2813">
        <v>0</v>
      </c>
      <c r="AA2813">
        <v>0</v>
      </c>
      <c r="AB2813" s="3">
        <v>42562</v>
      </c>
      <c r="AC2813" t="s">
        <v>53</v>
      </c>
      <c r="AD2813" t="s">
        <v>53</v>
      </c>
      <c r="AK2813">
        <v>0</v>
      </c>
      <c r="AU2813" s="3">
        <v>42430</v>
      </c>
      <c r="AV2813" s="3">
        <v>42430</v>
      </c>
      <c r="AW2813" t="s">
        <v>54</v>
      </c>
      <c r="AX2813" t="str">
        <f t="shared" si="338"/>
        <v>FOR</v>
      </c>
      <c r="AY2813" t="s">
        <v>55</v>
      </c>
    </row>
    <row r="2814" spans="1:51" hidden="1">
      <c r="A2814">
        <v>104093</v>
      </c>
      <c r="B2814" t="s">
        <v>360</v>
      </c>
      <c r="C2814" t="str">
        <f t="shared" si="336"/>
        <v>06032681006</v>
      </c>
      <c r="D2814" t="str">
        <f t="shared" si="337"/>
        <v>12572900152</v>
      </c>
      <c r="E2814" t="s">
        <v>52</v>
      </c>
      <c r="F2814">
        <v>2015</v>
      </c>
      <c r="G2814" t="str">
        <f>"            25239107"</f>
        <v xml:space="preserve">            25239107</v>
      </c>
      <c r="H2814" s="3">
        <v>42103</v>
      </c>
      <c r="I2814" s="3">
        <v>42115</v>
      </c>
      <c r="J2814" s="3">
        <v>42110</v>
      </c>
      <c r="K2814" s="3">
        <v>42170</v>
      </c>
      <c r="L2814"/>
      <c r="N2814"/>
      <c r="O2814">
        <v>720</v>
      </c>
      <c r="P2814">
        <v>260</v>
      </c>
      <c r="Q2814" s="4">
        <v>187200</v>
      </c>
      <c r="R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 s="3">
        <v>42562</v>
      </c>
      <c r="AC2814" t="s">
        <v>53</v>
      </c>
      <c r="AD2814" t="s">
        <v>53</v>
      </c>
      <c r="AK2814">
        <v>0</v>
      </c>
      <c r="AU2814" s="3">
        <v>42430</v>
      </c>
      <c r="AV2814" s="3">
        <v>42430</v>
      </c>
      <c r="AW2814" t="s">
        <v>54</v>
      </c>
      <c r="AX2814" t="str">
        <f t="shared" si="338"/>
        <v>FOR</v>
      </c>
      <c r="AY2814" t="s">
        <v>55</v>
      </c>
    </row>
    <row r="2815" spans="1:51" hidden="1">
      <c r="A2815">
        <v>104093</v>
      </c>
      <c r="B2815" t="s">
        <v>360</v>
      </c>
      <c r="C2815" t="str">
        <f t="shared" si="336"/>
        <v>06032681006</v>
      </c>
      <c r="D2815" t="str">
        <f t="shared" si="337"/>
        <v>12572900152</v>
      </c>
      <c r="E2815" t="s">
        <v>52</v>
      </c>
      <c r="F2815">
        <v>2015</v>
      </c>
      <c r="G2815" t="str">
        <f>"            25239108"</f>
        <v xml:space="preserve">            25239108</v>
      </c>
      <c r="H2815" s="3">
        <v>42103</v>
      </c>
      <c r="I2815" s="3">
        <v>42115</v>
      </c>
      <c r="J2815" s="3">
        <v>42110</v>
      </c>
      <c r="K2815" s="3">
        <v>42170</v>
      </c>
      <c r="L2815"/>
      <c r="N2815"/>
      <c r="O2815">
        <v>72</v>
      </c>
      <c r="P2815">
        <v>260</v>
      </c>
      <c r="Q2815" s="4">
        <v>18720</v>
      </c>
      <c r="R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 s="3">
        <v>42562</v>
      </c>
      <c r="AC2815" t="s">
        <v>53</v>
      </c>
      <c r="AD2815" t="s">
        <v>53</v>
      </c>
      <c r="AK2815">
        <v>0</v>
      </c>
      <c r="AU2815" s="3">
        <v>42430</v>
      </c>
      <c r="AV2815" s="3">
        <v>42430</v>
      </c>
      <c r="AW2815" t="s">
        <v>54</v>
      </c>
      <c r="AX2815" t="str">
        <f t="shared" si="338"/>
        <v>FOR</v>
      </c>
      <c r="AY2815" t="s">
        <v>55</v>
      </c>
    </row>
    <row r="2816" spans="1:51" hidden="1">
      <c r="A2816">
        <v>104093</v>
      </c>
      <c r="B2816" t="s">
        <v>360</v>
      </c>
      <c r="C2816" t="str">
        <f t="shared" si="336"/>
        <v>06032681006</v>
      </c>
      <c r="D2816" t="str">
        <f t="shared" si="337"/>
        <v>12572900152</v>
      </c>
      <c r="E2816" t="s">
        <v>52</v>
      </c>
      <c r="F2816">
        <v>2015</v>
      </c>
      <c r="G2816" t="str">
        <f>"            25239111"</f>
        <v xml:space="preserve">            25239111</v>
      </c>
      <c r="H2816" s="3">
        <v>42103</v>
      </c>
      <c r="I2816" s="3">
        <v>42165</v>
      </c>
      <c r="J2816" s="3">
        <v>42164</v>
      </c>
      <c r="K2816" s="3">
        <v>42224</v>
      </c>
      <c r="L2816"/>
      <c r="N2816"/>
      <c r="O2816">
        <v>72</v>
      </c>
      <c r="P2816">
        <v>206</v>
      </c>
      <c r="Q2816" s="4">
        <v>14832</v>
      </c>
      <c r="R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 s="3">
        <v>42562</v>
      </c>
      <c r="AC2816" t="s">
        <v>53</v>
      </c>
      <c r="AD2816" t="s">
        <v>53</v>
      </c>
      <c r="AK2816">
        <v>0</v>
      </c>
      <c r="AU2816" s="3">
        <v>42430</v>
      </c>
      <c r="AV2816" s="3">
        <v>42430</v>
      </c>
      <c r="AW2816" t="s">
        <v>54</v>
      </c>
      <c r="AX2816" t="str">
        <f t="shared" si="338"/>
        <v>FOR</v>
      </c>
      <c r="AY2816" t="s">
        <v>55</v>
      </c>
    </row>
    <row r="2817" spans="1:51" hidden="1">
      <c r="A2817">
        <v>104093</v>
      </c>
      <c r="B2817" t="s">
        <v>360</v>
      </c>
      <c r="C2817" t="str">
        <f t="shared" si="336"/>
        <v>06032681006</v>
      </c>
      <c r="D2817" t="str">
        <f t="shared" si="337"/>
        <v>12572900152</v>
      </c>
      <c r="E2817" t="s">
        <v>52</v>
      </c>
      <c r="F2817">
        <v>2015</v>
      </c>
      <c r="G2817" t="str">
        <f>"            25239548"</f>
        <v xml:space="preserve">            25239548</v>
      </c>
      <c r="H2817" s="3">
        <v>42104</v>
      </c>
      <c r="I2817" s="3">
        <v>42115</v>
      </c>
      <c r="J2817" s="3">
        <v>42110</v>
      </c>
      <c r="K2817" s="3">
        <v>42170</v>
      </c>
      <c r="L2817"/>
      <c r="N2817"/>
      <c r="O2817" s="4">
        <v>5760</v>
      </c>
      <c r="P2817">
        <v>260</v>
      </c>
      <c r="Q2817" s="4">
        <v>1497600</v>
      </c>
      <c r="R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 s="3">
        <v>42562</v>
      </c>
      <c r="AC2817" t="s">
        <v>53</v>
      </c>
      <c r="AD2817" t="s">
        <v>53</v>
      </c>
      <c r="AK2817">
        <v>0</v>
      </c>
      <c r="AU2817" s="3">
        <v>42430</v>
      </c>
      <c r="AV2817" s="3">
        <v>42430</v>
      </c>
      <c r="AW2817" t="s">
        <v>54</v>
      </c>
      <c r="AX2817" t="str">
        <f t="shared" si="338"/>
        <v>FOR</v>
      </c>
      <c r="AY2817" t="s">
        <v>55</v>
      </c>
    </row>
    <row r="2818" spans="1:51" hidden="1">
      <c r="A2818">
        <v>104093</v>
      </c>
      <c r="B2818" t="s">
        <v>360</v>
      </c>
      <c r="C2818" t="str">
        <f t="shared" si="336"/>
        <v>06032681006</v>
      </c>
      <c r="D2818" t="str">
        <f t="shared" si="337"/>
        <v>12572900152</v>
      </c>
      <c r="E2818" t="s">
        <v>52</v>
      </c>
      <c r="F2818">
        <v>2015</v>
      </c>
      <c r="G2818" t="str">
        <f>"            25239554"</f>
        <v xml:space="preserve">            25239554</v>
      </c>
      <c r="H2818" s="3">
        <v>42104</v>
      </c>
      <c r="I2818" s="3">
        <v>42115</v>
      </c>
      <c r="J2818" s="3">
        <v>42110</v>
      </c>
      <c r="K2818" s="3">
        <v>42170</v>
      </c>
      <c r="L2818"/>
      <c r="N2818"/>
      <c r="O2818" s="4">
        <v>1980</v>
      </c>
      <c r="P2818">
        <v>260</v>
      </c>
      <c r="Q2818" s="4">
        <v>514800</v>
      </c>
      <c r="R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 s="3">
        <v>42562</v>
      </c>
      <c r="AC2818" t="s">
        <v>53</v>
      </c>
      <c r="AD2818" t="s">
        <v>53</v>
      </c>
      <c r="AK2818">
        <v>0</v>
      </c>
      <c r="AU2818" s="3">
        <v>42430</v>
      </c>
      <c r="AV2818" s="3">
        <v>42430</v>
      </c>
      <c r="AW2818" t="s">
        <v>54</v>
      </c>
      <c r="AX2818" t="str">
        <f t="shared" si="338"/>
        <v>FOR</v>
      </c>
      <c r="AY2818" t="s">
        <v>55</v>
      </c>
    </row>
    <row r="2819" spans="1:51" hidden="1">
      <c r="A2819">
        <v>104093</v>
      </c>
      <c r="B2819" t="s">
        <v>360</v>
      </c>
      <c r="C2819" t="str">
        <f t="shared" si="336"/>
        <v>06032681006</v>
      </c>
      <c r="D2819" t="str">
        <f t="shared" si="337"/>
        <v>12572900152</v>
      </c>
      <c r="E2819" t="s">
        <v>52</v>
      </c>
      <c r="F2819">
        <v>2015</v>
      </c>
      <c r="G2819" t="str">
        <f>"            25239743"</f>
        <v xml:space="preserve">            25239743</v>
      </c>
      <c r="H2819" s="3">
        <v>42107</v>
      </c>
      <c r="I2819" s="3">
        <v>42116</v>
      </c>
      <c r="J2819" s="3">
        <v>42114</v>
      </c>
      <c r="K2819" s="3">
        <v>42174</v>
      </c>
      <c r="L2819"/>
      <c r="N2819"/>
      <c r="O2819" s="4">
        <v>4891</v>
      </c>
      <c r="P2819">
        <v>242</v>
      </c>
      <c r="Q2819" s="4">
        <v>1183622</v>
      </c>
      <c r="R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 s="3">
        <v>42562</v>
      </c>
      <c r="AC2819" t="s">
        <v>53</v>
      </c>
      <c r="AD2819" t="s">
        <v>53</v>
      </c>
      <c r="AK2819">
        <v>0</v>
      </c>
      <c r="AU2819" s="3">
        <v>42416</v>
      </c>
      <c r="AV2819" s="3">
        <v>42416</v>
      </c>
      <c r="AW2819" t="s">
        <v>54</v>
      </c>
      <c r="AX2819" t="str">
        <f t="shared" si="338"/>
        <v>FOR</v>
      </c>
      <c r="AY2819" t="s">
        <v>55</v>
      </c>
    </row>
    <row r="2820" spans="1:51" hidden="1">
      <c r="A2820">
        <v>104093</v>
      </c>
      <c r="B2820" t="s">
        <v>360</v>
      </c>
      <c r="C2820" t="str">
        <f t="shared" si="336"/>
        <v>06032681006</v>
      </c>
      <c r="D2820" t="str">
        <f t="shared" si="337"/>
        <v>12572900152</v>
      </c>
      <c r="E2820" t="s">
        <v>52</v>
      </c>
      <c r="F2820">
        <v>2015</v>
      </c>
      <c r="G2820" t="str">
        <f>"            25240511"</f>
        <v xml:space="preserve">            25240511</v>
      </c>
      <c r="H2820" s="3">
        <v>42110</v>
      </c>
      <c r="I2820" s="3">
        <v>42115</v>
      </c>
      <c r="J2820" s="3">
        <v>42114</v>
      </c>
      <c r="K2820" s="3">
        <v>42174</v>
      </c>
      <c r="L2820"/>
      <c r="N2820"/>
      <c r="O2820" s="4">
        <v>1326</v>
      </c>
      <c r="P2820">
        <v>256</v>
      </c>
      <c r="Q2820" s="4">
        <v>339456</v>
      </c>
      <c r="R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 s="3">
        <v>42562</v>
      </c>
      <c r="AC2820" t="s">
        <v>53</v>
      </c>
      <c r="AD2820" t="s">
        <v>53</v>
      </c>
      <c r="AK2820">
        <v>0</v>
      </c>
      <c r="AU2820" s="3">
        <v>42430</v>
      </c>
      <c r="AV2820" s="3">
        <v>42430</v>
      </c>
      <c r="AW2820" t="s">
        <v>54</v>
      </c>
      <c r="AX2820" t="str">
        <f t="shared" si="338"/>
        <v>FOR</v>
      </c>
      <c r="AY2820" t="s">
        <v>55</v>
      </c>
    </row>
    <row r="2821" spans="1:51" hidden="1">
      <c r="A2821">
        <v>104093</v>
      </c>
      <c r="B2821" t="s">
        <v>360</v>
      </c>
      <c r="C2821" t="str">
        <f t="shared" si="336"/>
        <v>06032681006</v>
      </c>
      <c r="D2821" t="str">
        <f t="shared" si="337"/>
        <v>12572900152</v>
      </c>
      <c r="E2821" t="s">
        <v>52</v>
      </c>
      <c r="F2821">
        <v>2015</v>
      </c>
      <c r="G2821" t="str">
        <f>"            25241033"</f>
        <v xml:space="preserve">            25241033</v>
      </c>
      <c r="H2821" s="3">
        <v>42114</v>
      </c>
      <c r="I2821" s="3">
        <v>42122</v>
      </c>
      <c r="J2821" s="3">
        <v>42121</v>
      </c>
      <c r="K2821" s="3">
        <v>42181</v>
      </c>
      <c r="L2821"/>
      <c r="N2821"/>
      <c r="O2821">
        <v>680.4</v>
      </c>
      <c r="P2821">
        <v>249</v>
      </c>
      <c r="Q2821" s="4">
        <v>169419.6</v>
      </c>
      <c r="R2821">
        <v>0</v>
      </c>
      <c r="V2821">
        <v>0</v>
      </c>
      <c r="W2821">
        <v>0</v>
      </c>
      <c r="X2821">
        <v>0</v>
      </c>
      <c r="Y2821">
        <v>0</v>
      </c>
      <c r="Z2821">
        <v>0</v>
      </c>
      <c r="AA2821">
        <v>0</v>
      </c>
      <c r="AB2821" s="3">
        <v>42562</v>
      </c>
      <c r="AC2821" t="s">
        <v>53</v>
      </c>
      <c r="AD2821" t="s">
        <v>53</v>
      </c>
      <c r="AK2821">
        <v>0</v>
      </c>
      <c r="AU2821" s="3">
        <v>42430</v>
      </c>
      <c r="AV2821" s="3">
        <v>42430</v>
      </c>
      <c r="AW2821" t="s">
        <v>54</v>
      </c>
      <c r="AX2821" t="str">
        <f t="shared" si="338"/>
        <v>FOR</v>
      </c>
      <c r="AY2821" t="s">
        <v>55</v>
      </c>
    </row>
    <row r="2822" spans="1:51" hidden="1">
      <c r="A2822">
        <v>104093</v>
      </c>
      <c r="B2822" t="s">
        <v>360</v>
      </c>
      <c r="C2822" t="str">
        <f t="shared" si="336"/>
        <v>06032681006</v>
      </c>
      <c r="D2822" t="str">
        <f t="shared" si="337"/>
        <v>12572900152</v>
      </c>
      <c r="E2822" t="s">
        <v>52</v>
      </c>
      <c r="F2822">
        <v>2015</v>
      </c>
      <c r="G2822" t="str">
        <f>"            25241035"</f>
        <v xml:space="preserve">            25241035</v>
      </c>
      <c r="H2822" s="3">
        <v>42114</v>
      </c>
      <c r="I2822" s="3">
        <v>42122</v>
      </c>
      <c r="J2822" s="3">
        <v>42121</v>
      </c>
      <c r="K2822" s="3">
        <v>42181</v>
      </c>
      <c r="L2822"/>
      <c r="N2822"/>
      <c r="O2822">
        <v>243</v>
      </c>
      <c r="P2822">
        <v>249</v>
      </c>
      <c r="Q2822" s="4">
        <v>60507</v>
      </c>
      <c r="R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 s="3">
        <v>42562</v>
      </c>
      <c r="AC2822" t="s">
        <v>53</v>
      </c>
      <c r="AD2822" t="s">
        <v>53</v>
      </c>
      <c r="AK2822">
        <v>0</v>
      </c>
      <c r="AU2822" s="3">
        <v>42430</v>
      </c>
      <c r="AV2822" s="3">
        <v>42430</v>
      </c>
      <c r="AW2822" t="s">
        <v>54</v>
      </c>
      <c r="AX2822" t="str">
        <f t="shared" si="338"/>
        <v>FOR</v>
      </c>
      <c r="AY2822" t="s">
        <v>55</v>
      </c>
    </row>
    <row r="2823" spans="1:51" hidden="1">
      <c r="A2823">
        <v>104093</v>
      </c>
      <c r="B2823" t="s">
        <v>360</v>
      </c>
      <c r="C2823" t="str">
        <f t="shared" si="336"/>
        <v>06032681006</v>
      </c>
      <c r="D2823" t="str">
        <f t="shared" si="337"/>
        <v>12572900152</v>
      </c>
      <c r="E2823" t="s">
        <v>52</v>
      </c>
      <c r="F2823">
        <v>2015</v>
      </c>
      <c r="G2823" t="str">
        <f>"            25241036"</f>
        <v xml:space="preserve">            25241036</v>
      </c>
      <c r="H2823" s="3">
        <v>42114</v>
      </c>
      <c r="I2823" s="3">
        <v>42142</v>
      </c>
      <c r="J2823" s="3">
        <v>42137</v>
      </c>
      <c r="K2823" s="3">
        <v>42197</v>
      </c>
      <c r="L2823"/>
      <c r="N2823"/>
      <c r="O2823">
        <v>720</v>
      </c>
      <c r="P2823">
        <v>233</v>
      </c>
      <c r="Q2823" s="4">
        <v>167760</v>
      </c>
      <c r="R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 s="3">
        <v>42562</v>
      </c>
      <c r="AC2823" t="s">
        <v>53</v>
      </c>
      <c r="AD2823" t="s">
        <v>53</v>
      </c>
      <c r="AK2823">
        <v>0</v>
      </c>
      <c r="AU2823" s="3">
        <v>42430</v>
      </c>
      <c r="AV2823" s="3">
        <v>42430</v>
      </c>
      <c r="AW2823" t="s">
        <v>54</v>
      </c>
      <c r="AX2823" t="str">
        <f t="shared" si="338"/>
        <v>FOR</v>
      </c>
      <c r="AY2823" t="s">
        <v>55</v>
      </c>
    </row>
    <row r="2824" spans="1:51" hidden="1">
      <c r="A2824">
        <v>104093</v>
      </c>
      <c r="B2824" t="s">
        <v>360</v>
      </c>
      <c r="C2824" t="str">
        <f t="shared" si="336"/>
        <v>06032681006</v>
      </c>
      <c r="D2824" t="str">
        <f t="shared" si="337"/>
        <v>12572900152</v>
      </c>
      <c r="E2824" t="s">
        <v>52</v>
      </c>
      <c r="F2824">
        <v>2015</v>
      </c>
      <c r="G2824" t="str">
        <f>"            25241038"</f>
        <v xml:space="preserve">            25241038</v>
      </c>
      <c r="H2824" s="3">
        <v>42114</v>
      </c>
      <c r="I2824" s="3">
        <v>42165</v>
      </c>
      <c r="J2824" s="3">
        <v>42164</v>
      </c>
      <c r="K2824" s="3">
        <v>42224</v>
      </c>
      <c r="L2824"/>
      <c r="N2824"/>
      <c r="O2824">
        <v>72</v>
      </c>
      <c r="P2824">
        <v>206</v>
      </c>
      <c r="Q2824" s="4">
        <v>14832</v>
      </c>
      <c r="R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 s="3">
        <v>42562</v>
      </c>
      <c r="AC2824" t="s">
        <v>53</v>
      </c>
      <c r="AD2824" t="s">
        <v>53</v>
      </c>
      <c r="AK2824">
        <v>0</v>
      </c>
      <c r="AU2824" s="3">
        <v>42430</v>
      </c>
      <c r="AV2824" s="3">
        <v>42430</v>
      </c>
      <c r="AW2824" t="s">
        <v>54</v>
      </c>
      <c r="AX2824" t="str">
        <f t="shared" si="338"/>
        <v>FOR</v>
      </c>
      <c r="AY2824" t="s">
        <v>55</v>
      </c>
    </row>
    <row r="2825" spans="1:51" hidden="1">
      <c r="A2825">
        <v>104093</v>
      </c>
      <c r="B2825" t="s">
        <v>360</v>
      </c>
      <c r="C2825" t="str">
        <f t="shared" si="336"/>
        <v>06032681006</v>
      </c>
      <c r="D2825" t="str">
        <f t="shared" si="337"/>
        <v>12572900152</v>
      </c>
      <c r="E2825" t="s">
        <v>52</v>
      </c>
      <c r="F2825">
        <v>2015</v>
      </c>
      <c r="G2825" t="str">
        <f>"            25241040"</f>
        <v xml:space="preserve">            25241040</v>
      </c>
      <c r="H2825" s="3">
        <v>42114</v>
      </c>
      <c r="I2825" s="3">
        <v>42165</v>
      </c>
      <c r="J2825" s="3">
        <v>42164</v>
      </c>
      <c r="K2825" s="3">
        <v>42224</v>
      </c>
      <c r="L2825"/>
      <c r="N2825"/>
      <c r="O2825">
        <v>72</v>
      </c>
      <c r="P2825">
        <v>206</v>
      </c>
      <c r="Q2825" s="4">
        <v>14832</v>
      </c>
      <c r="R2825">
        <v>0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 s="3">
        <v>42562</v>
      </c>
      <c r="AC2825" t="s">
        <v>53</v>
      </c>
      <c r="AD2825" t="s">
        <v>53</v>
      </c>
      <c r="AK2825">
        <v>0</v>
      </c>
      <c r="AU2825" s="3">
        <v>42430</v>
      </c>
      <c r="AV2825" s="3">
        <v>42430</v>
      </c>
      <c r="AW2825" t="s">
        <v>54</v>
      </c>
      <c r="AX2825" t="str">
        <f t="shared" si="338"/>
        <v>FOR</v>
      </c>
      <c r="AY2825" t="s">
        <v>55</v>
      </c>
    </row>
    <row r="2826" spans="1:51" hidden="1">
      <c r="A2826">
        <v>104093</v>
      </c>
      <c r="B2826" t="s">
        <v>360</v>
      </c>
      <c r="C2826" t="str">
        <f t="shared" si="336"/>
        <v>06032681006</v>
      </c>
      <c r="D2826" t="str">
        <f t="shared" si="337"/>
        <v>12572900152</v>
      </c>
      <c r="E2826" t="s">
        <v>52</v>
      </c>
      <c r="F2826">
        <v>2015</v>
      </c>
      <c r="G2826" t="str">
        <f>"            25241041"</f>
        <v xml:space="preserve">            25241041</v>
      </c>
      <c r="H2826" s="3">
        <v>42114</v>
      </c>
      <c r="I2826" s="3">
        <v>42122</v>
      </c>
      <c r="J2826" s="3">
        <v>42121</v>
      </c>
      <c r="K2826" s="3">
        <v>42181</v>
      </c>
      <c r="L2826"/>
      <c r="N2826"/>
      <c r="O2826">
        <v>72</v>
      </c>
      <c r="P2826">
        <v>249</v>
      </c>
      <c r="Q2826" s="4">
        <v>17928</v>
      </c>
      <c r="R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 s="3">
        <v>42562</v>
      </c>
      <c r="AC2826" t="s">
        <v>53</v>
      </c>
      <c r="AD2826" t="s">
        <v>53</v>
      </c>
      <c r="AK2826">
        <v>0</v>
      </c>
      <c r="AU2826" s="3">
        <v>42430</v>
      </c>
      <c r="AV2826" s="3">
        <v>42430</v>
      </c>
      <c r="AW2826" t="s">
        <v>54</v>
      </c>
      <c r="AX2826" t="str">
        <f t="shared" si="338"/>
        <v>FOR</v>
      </c>
      <c r="AY2826" t="s">
        <v>55</v>
      </c>
    </row>
    <row r="2827" spans="1:51" hidden="1">
      <c r="A2827">
        <v>104093</v>
      </c>
      <c r="B2827" t="s">
        <v>360</v>
      </c>
      <c r="C2827" t="str">
        <f t="shared" si="336"/>
        <v>06032681006</v>
      </c>
      <c r="D2827" t="str">
        <f t="shared" si="337"/>
        <v>12572900152</v>
      </c>
      <c r="E2827" t="s">
        <v>52</v>
      </c>
      <c r="F2827">
        <v>2015</v>
      </c>
      <c r="G2827" t="str">
        <f>"            25241042"</f>
        <v xml:space="preserve">            25241042</v>
      </c>
      <c r="H2827" s="3">
        <v>42114</v>
      </c>
      <c r="I2827" s="3">
        <v>42122</v>
      </c>
      <c r="J2827" s="3">
        <v>42121</v>
      </c>
      <c r="K2827" s="3">
        <v>42181</v>
      </c>
      <c r="L2827"/>
      <c r="N2827"/>
      <c r="O2827">
        <v>72</v>
      </c>
      <c r="P2827">
        <v>249</v>
      </c>
      <c r="Q2827" s="4">
        <v>17928</v>
      </c>
      <c r="R2827">
        <v>0</v>
      </c>
      <c r="V2827">
        <v>0</v>
      </c>
      <c r="W2827">
        <v>0</v>
      </c>
      <c r="X2827">
        <v>0</v>
      </c>
      <c r="Y2827">
        <v>0</v>
      </c>
      <c r="Z2827">
        <v>0</v>
      </c>
      <c r="AA2827">
        <v>0</v>
      </c>
      <c r="AB2827" s="3">
        <v>42562</v>
      </c>
      <c r="AC2827" t="s">
        <v>53</v>
      </c>
      <c r="AD2827" t="s">
        <v>53</v>
      </c>
      <c r="AK2827">
        <v>0</v>
      </c>
      <c r="AU2827" s="3">
        <v>42430</v>
      </c>
      <c r="AV2827" s="3">
        <v>42430</v>
      </c>
      <c r="AW2827" t="s">
        <v>54</v>
      </c>
      <c r="AX2827" t="str">
        <f t="shared" si="338"/>
        <v>FOR</v>
      </c>
      <c r="AY2827" t="s">
        <v>55</v>
      </c>
    </row>
    <row r="2828" spans="1:51" hidden="1">
      <c r="A2828">
        <v>104093</v>
      </c>
      <c r="B2828" t="s">
        <v>360</v>
      </c>
      <c r="C2828" t="str">
        <f t="shared" si="336"/>
        <v>06032681006</v>
      </c>
      <c r="D2828" t="str">
        <f t="shared" si="337"/>
        <v>12572900152</v>
      </c>
      <c r="E2828" t="s">
        <v>52</v>
      </c>
      <c r="F2828">
        <v>2015</v>
      </c>
      <c r="G2828" t="str">
        <f>"            25241602"</f>
        <v xml:space="preserve">            25241602</v>
      </c>
      <c r="H2828" s="3">
        <v>42116</v>
      </c>
      <c r="I2828" s="3">
        <v>42122</v>
      </c>
      <c r="J2828" s="3">
        <v>42121</v>
      </c>
      <c r="K2828" s="3">
        <v>42181</v>
      </c>
      <c r="L2828"/>
      <c r="N2828"/>
      <c r="O2828">
        <v>891</v>
      </c>
      <c r="P2828">
        <v>249</v>
      </c>
      <c r="Q2828" s="4">
        <v>221859</v>
      </c>
      <c r="R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 s="3">
        <v>42562</v>
      </c>
      <c r="AC2828" t="s">
        <v>53</v>
      </c>
      <c r="AD2828" t="s">
        <v>53</v>
      </c>
      <c r="AK2828">
        <v>0</v>
      </c>
      <c r="AU2828" s="3">
        <v>42430</v>
      </c>
      <c r="AV2828" s="3">
        <v>42430</v>
      </c>
      <c r="AW2828" t="s">
        <v>54</v>
      </c>
      <c r="AX2828" t="str">
        <f t="shared" si="338"/>
        <v>FOR</v>
      </c>
      <c r="AY2828" t="s">
        <v>55</v>
      </c>
    </row>
    <row r="2829" spans="1:51" hidden="1">
      <c r="A2829">
        <v>104093</v>
      </c>
      <c r="B2829" t="s">
        <v>360</v>
      </c>
      <c r="C2829" t="str">
        <f t="shared" si="336"/>
        <v>06032681006</v>
      </c>
      <c r="D2829" t="str">
        <f t="shared" si="337"/>
        <v>12572900152</v>
      </c>
      <c r="E2829" t="s">
        <v>52</v>
      </c>
      <c r="F2829">
        <v>2015</v>
      </c>
      <c r="G2829" t="str">
        <f>"            25241604"</f>
        <v xml:space="preserve">            25241604</v>
      </c>
      <c r="H2829" s="3">
        <v>42116</v>
      </c>
      <c r="I2829" s="3">
        <v>42122</v>
      </c>
      <c r="J2829" s="3">
        <v>42121</v>
      </c>
      <c r="K2829" s="3">
        <v>42181</v>
      </c>
      <c r="L2829"/>
      <c r="N2829"/>
      <c r="O2829">
        <v>243</v>
      </c>
      <c r="P2829">
        <v>249</v>
      </c>
      <c r="Q2829" s="4">
        <v>60507</v>
      </c>
      <c r="R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 s="3">
        <v>42562</v>
      </c>
      <c r="AC2829" t="s">
        <v>53</v>
      </c>
      <c r="AD2829" t="s">
        <v>53</v>
      </c>
      <c r="AK2829">
        <v>0</v>
      </c>
      <c r="AU2829" s="3">
        <v>42430</v>
      </c>
      <c r="AV2829" s="3">
        <v>42430</v>
      </c>
      <c r="AW2829" t="s">
        <v>54</v>
      </c>
      <c r="AX2829" t="str">
        <f t="shared" si="338"/>
        <v>FOR</v>
      </c>
      <c r="AY2829" t="s">
        <v>55</v>
      </c>
    </row>
    <row r="2830" spans="1:51" hidden="1">
      <c r="A2830">
        <v>104093</v>
      </c>
      <c r="B2830" t="s">
        <v>360</v>
      </c>
      <c r="C2830" t="str">
        <f t="shared" si="336"/>
        <v>06032681006</v>
      </c>
      <c r="D2830" t="str">
        <f t="shared" si="337"/>
        <v>12572900152</v>
      </c>
      <c r="E2830" t="s">
        <v>52</v>
      </c>
      <c r="F2830">
        <v>2015</v>
      </c>
      <c r="G2830" t="str">
        <f>"            25241605"</f>
        <v xml:space="preserve">            25241605</v>
      </c>
      <c r="H2830" s="3">
        <v>42116</v>
      </c>
      <c r="I2830" s="3">
        <v>42122</v>
      </c>
      <c r="J2830" s="3">
        <v>42121</v>
      </c>
      <c r="K2830" s="3">
        <v>42181</v>
      </c>
      <c r="L2830"/>
      <c r="N2830"/>
      <c r="O2830">
        <v>72</v>
      </c>
      <c r="P2830">
        <v>249</v>
      </c>
      <c r="Q2830" s="4">
        <v>17928</v>
      </c>
      <c r="R2830">
        <v>0</v>
      </c>
      <c r="V2830">
        <v>0</v>
      </c>
      <c r="W2830">
        <v>0</v>
      </c>
      <c r="X2830">
        <v>0</v>
      </c>
      <c r="Y2830">
        <v>0</v>
      </c>
      <c r="Z2830">
        <v>0</v>
      </c>
      <c r="AA2830">
        <v>0</v>
      </c>
      <c r="AB2830" s="3">
        <v>42562</v>
      </c>
      <c r="AC2830" t="s">
        <v>53</v>
      </c>
      <c r="AD2830" t="s">
        <v>53</v>
      </c>
      <c r="AK2830">
        <v>0</v>
      </c>
      <c r="AU2830" s="3">
        <v>42430</v>
      </c>
      <c r="AV2830" s="3">
        <v>42430</v>
      </c>
      <c r="AW2830" t="s">
        <v>54</v>
      </c>
      <c r="AX2830" t="str">
        <f t="shared" si="338"/>
        <v>FOR</v>
      </c>
      <c r="AY2830" t="s">
        <v>55</v>
      </c>
    </row>
    <row r="2831" spans="1:51" hidden="1">
      <c r="A2831">
        <v>104093</v>
      </c>
      <c r="B2831" t="s">
        <v>360</v>
      </c>
      <c r="C2831" t="str">
        <f t="shared" si="336"/>
        <v>06032681006</v>
      </c>
      <c r="D2831" t="str">
        <f t="shared" si="337"/>
        <v>12572900152</v>
      </c>
      <c r="E2831" t="s">
        <v>52</v>
      </c>
      <c r="F2831">
        <v>2015</v>
      </c>
      <c r="G2831" t="str">
        <f>"            25241773"</f>
        <v xml:space="preserve">            25241773</v>
      </c>
      <c r="H2831" s="3">
        <v>42117</v>
      </c>
      <c r="I2831" s="3">
        <v>42121</v>
      </c>
      <c r="J2831" s="3">
        <v>42120</v>
      </c>
      <c r="K2831" s="3">
        <v>42180</v>
      </c>
      <c r="L2831"/>
      <c r="N2831"/>
      <c r="O2831">
        <v>72</v>
      </c>
      <c r="P2831">
        <v>250</v>
      </c>
      <c r="Q2831" s="4">
        <v>18000</v>
      </c>
      <c r="R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 s="3">
        <v>42562</v>
      </c>
      <c r="AC2831" t="s">
        <v>53</v>
      </c>
      <c r="AD2831" t="s">
        <v>53</v>
      </c>
      <c r="AK2831">
        <v>0</v>
      </c>
      <c r="AU2831" s="3">
        <v>42430</v>
      </c>
      <c r="AV2831" s="3">
        <v>42430</v>
      </c>
      <c r="AW2831" t="s">
        <v>54</v>
      </c>
      <c r="AX2831" t="str">
        <f t="shared" si="338"/>
        <v>FOR</v>
      </c>
      <c r="AY2831" t="s">
        <v>55</v>
      </c>
    </row>
    <row r="2832" spans="1:51" hidden="1">
      <c r="A2832">
        <v>104093</v>
      </c>
      <c r="B2832" t="s">
        <v>360</v>
      </c>
      <c r="C2832" t="str">
        <f t="shared" si="336"/>
        <v>06032681006</v>
      </c>
      <c r="D2832" t="str">
        <f t="shared" si="337"/>
        <v>12572900152</v>
      </c>
      <c r="E2832" t="s">
        <v>52</v>
      </c>
      <c r="F2832">
        <v>2015</v>
      </c>
      <c r="G2832" t="str">
        <f>"            25242121"</f>
        <v xml:space="preserve">            25242121</v>
      </c>
      <c r="H2832" s="3">
        <v>42118</v>
      </c>
      <c r="I2832" s="3">
        <v>42128</v>
      </c>
      <c r="J2832" s="3">
        <v>42128</v>
      </c>
      <c r="K2832" s="3">
        <v>42188</v>
      </c>
      <c r="L2832"/>
      <c r="N2832"/>
      <c r="O2832" s="4">
        <v>3604</v>
      </c>
      <c r="P2832">
        <v>242</v>
      </c>
      <c r="Q2832" s="4">
        <v>872168</v>
      </c>
      <c r="R2832">
        <v>0</v>
      </c>
      <c r="V2832">
        <v>0</v>
      </c>
      <c r="W2832">
        <v>0</v>
      </c>
      <c r="X2832">
        <v>0</v>
      </c>
      <c r="Y2832">
        <v>0</v>
      </c>
      <c r="Z2832">
        <v>0</v>
      </c>
      <c r="AA2832">
        <v>0</v>
      </c>
      <c r="AB2832" s="3">
        <v>42562</v>
      </c>
      <c r="AC2832" t="s">
        <v>53</v>
      </c>
      <c r="AD2832" t="s">
        <v>53</v>
      </c>
      <c r="AK2832">
        <v>0</v>
      </c>
      <c r="AU2832" s="3">
        <v>42430</v>
      </c>
      <c r="AV2832" s="3">
        <v>42430</v>
      </c>
      <c r="AW2832" t="s">
        <v>54</v>
      </c>
      <c r="AX2832" t="str">
        <f t="shared" si="338"/>
        <v>FOR</v>
      </c>
      <c r="AY2832" t="s">
        <v>55</v>
      </c>
    </row>
    <row r="2833" spans="1:51" hidden="1">
      <c r="A2833">
        <v>104093</v>
      </c>
      <c r="B2833" t="s">
        <v>360</v>
      </c>
      <c r="C2833" t="str">
        <f t="shared" si="336"/>
        <v>06032681006</v>
      </c>
      <c r="D2833" t="str">
        <f t="shared" si="337"/>
        <v>12572900152</v>
      </c>
      <c r="E2833" t="s">
        <v>52</v>
      </c>
      <c r="F2833">
        <v>2015</v>
      </c>
      <c r="G2833" t="str">
        <f>"            25242122"</f>
        <v xml:space="preserve">            25242122</v>
      </c>
      <c r="H2833" s="3">
        <v>42118</v>
      </c>
      <c r="I2833" s="3">
        <v>42128</v>
      </c>
      <c r="J2833" s="3">
        <v>42128</v>
      </c>
      <c r="K2833" s="3">
        <v>42188</v>
      </c>
      <c r="L2833"/>
      <c r="N2833"/>
      <c r="O2833">
        <v>243</v>
      </c>
      <c r="P2833">
        <v>242</v>
      </c>
      <c r="Q2833" s="4">
        <v>58806</v>
      </c>
      <c r="R2833">
        <v>0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 s="3">
        <v>42562</v>
      </c>
      <c r="AC2833" t="s">
        <v>53</v>
      </c>
      <c r="AD2833" t="s">
        <v>53</v>
      </c>
      <c r="AK2833">
        <v>0</v>
      </c>
      <c r="AU2833" s="3">
        <v>42430</v>
      </c>
      <c r="AV2833" s="3">
        <v>42430</v>
      </c>
      <c r="AW2833" t="s">
        <v>54</v>
      </c>
      <c r="AX2833" t="str">
        <f t="shared" si="338"/>
        <v>FOR</v>
      </c>
      <c r="AY2833" t="s">
        <v>55</v>
      </c>
    </row>
    <row r="2834" spans="1:51" hidden="1">
      <c r="A2834">
        <v>104093</v>
      </c>
      <c r="B2834" t="s">
        <v>360</v>
      </c>
      <c r="C2834" t="str">
        <f t="shared" si="336"/>
        <v>06032681006</v>
      </c>
      <c r="D2834" t="str">
        <f t="shared" si="337"/>
        <v>12572900152</v>
      </c>
      <c r="E2834" t="s">
        <v>52</v>
      </c>
      <c r="F2834">
        <v>2015</v>
      </c>
      <c r="G2834" t="str">
        <f>"            25242123"</f>
        <v xml:space="preserve">            25242123</v>
      </c>
      <c r="H2834" s="3">
        <v>42118</v>
      </c>
      <c r="I2834" s="3">
        <v>42128</v>
      </c>
      <c r="J2834" s="3">
        <v>42128</v>
      </c>
      <c r="K2834" s="3">
        <v>42188</v>
      </c>
      <c r="L2834"/>
      <c r="N2834"/>
      <c r="O2834">
        <v>891</v>
      </c>
      <c r="P2834">
        <v>242</v>
      </c>
      <c r="Q2834" s="4">
        <v>215622</v>
      </c>
      <c r="R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 s="3">
        <v>42562</v>
      </c>
      <c r="AC2834" t="s">
        <v>53</v>
      </c>
      <c r="AD2834" t="s">
        <v>53</v>
      </c>
      <c r="AK2834">
        <v>0</v>
      </c>
      <c r="AU2834" s="3">
        <v>42430</v>
      </c>
      <c r="AV2834" s="3">
        <v>42430</v>
      </c>
      <c r="AW2834" t="s">
        <v>54</v>
      </c>
      <c r="AX2834" t="str">
        <f t="shared" si="338"/>
        <v>FOR</v>
      </c>
      <c r="AY2834" t="s">
        <v>55</v>
      </c>
    </row>
    <row r="2835" spans="1:51" hidden="1">
      <c r="A2835">
        <v>104093</v>
      </c>
      <c r="B2835" t="s">
        <v>360</v>
      </c>
      <c r="C2835" t="str">
        <f t="shared" ref="C2835:C2898" si="339">"06032681006"</f>
        <v>06032681006</v>
      </c>
      <c r="D2835" t="str">
        <f t="shared" ref="D2835:D2898" si="340">"12572900152"</f>
        <v>12572900152</v>
      </c>
      <c r="E2835" t="s">
        <v>52</v>
      </c>
      <c r="F2835">
        <v>2015</v>
      </c>
      <c r="G2835" t="str">
        <f>"            25242124"</f>
        <v xml:space="preserve">            25242124</v>
      </c>
      <c r="H2835" s="3">
        <v>42118</v>
      </c>
      <c r="I2835" s="3">
        <v>42128</v>
      </c>
      <c r="J2835" s="3">
        <v>42128</v>
      </c>
      <c r="K2835" s="3">
        <v>42188</v>
      </c>
      <c r="L2835"/>
      <c r="N2835"/>
      <c r="O2835">
        <v>72</v>
      </c>
      <c r="P2835">
        <v>242</v>
      </c>
      <c r="Q2835" s="4">
        <v>17424</v>
      </c>
      <c r="R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 s="3">
        <v>42562</v>
      </c>
      <c r="AC2835" t="s">
        <v>53</v>
      </c>
      <c r="AD2835" t="s">
        <v>53</v>
      </c>
      <c r="AK2835">
        <v>0</v>
      </c>
      <c r="AU2835" s="3">
        <v>42430</v>
      </c>
      <c r="AV2835" s="3">
        <v>42430</v>
      </c>
      <c r="AW2835" t="s">
        <v>54</v>
      </c>
      <c r="AX2835" t="str">
        <f t="shared" si="338"/>
        <v>FOR</v>
      </c>
      <c r="AY2835" t="s">
        <v>55</v>
      </c>
    </row>
    <row r="2836" spans="1:51" hidden="1">
      <c r="A2836">
        <v>104093</v>
      </c>
      <c r="B2836" t="s">
        <v>360</v>
      </c>
      <c r="C2836" t="str">
        <f t="shared" si="339"/>
        <v>06032681006</v>
      </c>
      <c r="D2836" t="str">
        <f t="shared" si="340"/>
        <v>12572900152</v>
      </c>
      <c r="E2836" t="s">
        <v>52</v>
      </c>
      <c r="F2836">
        <v>2015</v>
      </c>
      <c r="G2836" t="str">
        <f>"            25242125"</f>
        <v xml:space="preserve">            25242125</v>
      </c>
      <c r="H2836" s="3">
        <v>42118</v>
      </c>
      <c r="I2836" s="3">
        <v>42128</v>
      </c>
      <c r="J2836" s="3">
        <v>42128</v>
      </c>
      <c r="K2836" s="3">
        <v>42188</v>
      </c>
      <c r="L2836"/>
      <c r="N2836"/>
      <c r="O2836">
        <v>72</v>
      </c>
      <c r="P2836">
        <v>242</v>
      </c>
      <c r="Q2836" s="4">
        <v>17424</v>
      </c>
      <c r="R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 s="3">
        <v>42562</v>
      </c>
      <c r="AC2836" t="s">
        <v>53</v>
      </c>
      <c r="AD2836" t="s">
        <v>53</v>
      </c>
      <c r="AK2836">
        <v>0</v>
      </c>
      <c r="AU2836" s="3">
        <v>42430</v>
      </c>
      <c r="AV2836" s="3">
        <v>42430</v>
      </c>
      <c r="AW2836" t="s">
        <v>54</v>
      </c>
      <c r="AX2836" t="str">
        <f t="shared" si="338"/>
        <v>FOR</v>
      </c>
      <c r="AY2836" t="s">
        <v>55</v>
      </c>
    </row>
    <row r="2837" spans="1:51" hidden="1">
      <c r="A2837">
        <v>104093</v>
      </c>
      <c r="B2837" t="s">
        <v>360</v>
      </c>
      <c r="C2837" t="str">
        <f t="shared" si="339"/>
        <v>06032681006</v>
      </c>
      <c r="D2837" t="str">
        <f t="shared" si="340"/>
        <v>12572900152</v>
      </c>
      <c r="E2837" t="s">
        <v>52</v>
      </c>
      <c r="F2837">
        <v>2015</v>
      </c>
      <c r="G2837" t="str">
        <f>"            25242126"</f>
        <v xml:space="preserve">            25242126</v>
      </c>
      <c r="H2837" s="3">
        <v>42118</v>
      </c>
      <c r="I2837" s="3">
        <v>42128</v>
      </c>
      <c r="J2837" s="3">
        <v>42128</v>
      </c>
      <c r="K2837" s="3">
        <v>42188</v>
      </c>
      <c r="L2837"/>
      <c r="N2837"/>
      <c r="O2837">
        <v>72</v>
      </c>
      <c r="P2837">
        <v>242</v>
      </c>
      <c r="Q2837" s="4">
        <v>17424</v>
      </c>
      <c r="R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 s="3">
        <v>42562</v>
      </c>
      <c r="AC2837" t="s">
        <v>53</v>
      </c>
      <c r="AD2837" t="s">
        <v>53</v>
      </c>
      <c r="AK2837">
        <v>0</v>
      </c>
      <c r="AU2837" s="3">
        <v>42430</v>
      </c>
      <c r="AV2837" s="3">
        <v>42430</v>
      </c>
      <c r="AW2837" t="s">
        <v>54</v>
      </c>
      <c r="AX2837" t="str">
        <f t="shared" si="338"/>
        <v>FOR</v>
      </c>
      <c r="AY2837" t="s">
        <v>55</v>
      </c>
    </row>
    <row r="2838" spans="1:51" hidden="1">
      <c r="A2838">
        <v>104093</v>
      </c>
      <c r="B2838" t="s">
        <v>360</v>
      </c>
      <c r="C2838" t="str">
        <f t="shared" si="339"/>
        <v>06032681006</v>
      </c>
      <c r="D2838" t="str">
        <f t="shared" si="340"/>
        <v>12572900152</v>
      </c>
      <c r="E2838" t="s">
        <v>52</v>
      </c>
      <c r="F2838">
        <v>2015</v>
      </c>
      <c r="G2838" t="str">
        <f>"            25242127"</f>
        <v xml:space="preserve">            25242127</v>
      </c>
      <c r="H2838" s="3">
        <v>42118</v>
      </c>
      <c r="I2838" s="3">
        <v>42128</v>
      </c>
      <c r="J2838" s="3">
        <v>42128</v>
      </c>
      <c r="K2838" s="3">
        <v>42188</v>
      </c>
      <c r="L2838"/>
      <c r="N2838"/>
      <c r="O2838">
        <v>243</v>
      </c>
      <c r="P2838">
        <v>242</v>
      </c>
      <c r="Q2838" s="4">
        <v>58806</v>
      </c>
      <c r="R2838">
        <v>0</v>
      </c>
      <c r="V2838">
        <v>0</v>
      </c>
      <c r="W2838">
        <v>0</v>
      </c>
      <c r="X2838">
        <v>0</v>
      </c>
      <c r="Y2838">
        <v>0</v>
      </c>
      <c r="Z2838">
        <v>0</v>
      </c>
      <c r="AA2838">
        <v>0</v>
      </c>
      <c r="AB2838" s="3">
        <v>42562</v>
      </c>
      <c r="AC2838" t="s">
        <v>53</v>
      </c>
      <c r="AD2838" t="s">
        <v>53</v>
      </c>
      <c r="AK2838">
        <v>0</v>
      </c>
      <c r="AU2838" s="3">
        <v>42430</v>
      </c>
      <c r="AV2838" s="3">
        <v>42430</v>
      </c>
      <c r="AW2838" t="s">
        <v>54</v>
      </c>
      <c r="AX2838" t="str">
        <f t="shared" si="338"/>
        <v>FOR</v>
      </c>
      <c r="AY2838" t="s">
        <v>55</v>
      </c>
    </row>
    <row r="2839" spans="1:51" hidden="1">
      <c r="A2839">
        <v>104093</v>
      </c>
      <c r="B2839" t="s">
        <v>360</v>
      </c>
      <c r="C2839" t="str">
        <f t="shared" si="339"/>
        <v>06032681006</v>
      </c>
      <c r="D2839" t="str">
        <f t="shared" si="340"/>
        <v>12572900152</v>
      </c>
      <c r="E2839" t="s">
        <v>52</v>
      </c>
      <c r="F2839">
        <v>2015</v>
      </c>
      <c r="G2839" t="str">
        <f>"            25242130"</f>
        <v xml:space="preserve">            25242130</v>
      </c>
      <c r="H2839" s="3">
        <v>42118</v>
      </c>
      <c r="I2839" s="3">
        <v>42128</v>
      </c>
      <c r="J2839" s="3">
        <v>42128</v>
      </c>
      <c r="K2839" s="3">
        <v>42188</v>
      </c>
      <c r="L2839"/>
      <c r="N2839"/>
      <c r="O2839">
        <v>72</v>
      </c>
      <c r="P2839">
        <v>242</v>
      </c>
      <c r="Q2839" s="4">
        <v>17424</v>
      </c>
      <c r="R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 s="3">
        <v>42562</v>
      </c>
      <c r="AC2839" t="s">
        <v>53</v>
      </c>
      <c r="AD2839" t="s">
        <v>53</v>
      </c>
      <c r="AK2839">
        <v>0</v>
      </c>
      <c r="AU2839" s="3">
        <v>42430</v>
      </c>
      <c r="AV2839" s="3">
        <v>42430</v>
      </c>
      <c r="AW2839" t="s">
        <v>54</v>
      </c>
      <c r="AX2839" t="str">
        <f t="shared" si="338"/>
        <v>FOR</v>
      </c>
      <c r="AY2839" t="s">
        <v>55</v>
      </c>
    </row>
    <row r="2840" spans="1:51" hidden="1">
      <c r="A2840">
        <v>104093</v>
      </c>
      <c r="B2840" t="s">
        <v>360</v>
      </c>
      <c r="C2840" t="str">
        <f t="shared" si="339"/>
        <v>06032681006</v>
      </c>
      <c r="D2840" t="str">
        <f t="shared" si="340"/>
        <v>12572900152</v>
      </c>
      <c r="E2840" t="s">
        <v>52</v>
      </c>
      <c r="F2840">
        <v>2015</v>
      </c>
      <c r="G2840" t="str">
        <f>"            25242131"</f>
        <v xml:space="preserve">            25242131</v>
      </c>
      <c r="H2840" s="3">
        <v>42118</v>
      </c>
      <c r="I2840" s="3">
        <v>42128</v>
      </c>
      <c r="J2840" s="3">
        <v>42128</v>
      </c>
      <c r="K2840" s="3">
        <v>42188</v>
      </c>
      <c r="L2840"/>
      <c r="N2840"/>
      <c r="O2840">
        <v>72</v>
      </c>
      <c r="P2840">
        <v>242</v>
      </c>
      <c r="Q2840" s="4">
        <v>17424</v>
      </c>
      <c r="R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 s="3">
        <v>42562</v>
      </c>
      <c r="AC2840" t="s">
        <v>53</v>
      </c>
      <c r="AD2840" t="s">
        <v>53</v>
      </c>
      <c r="AK2840">
        <v>0</v>
      </c>
      <c r="AU2840" s="3">
        <v>42430</v>
      </c>
      <c r="AV2840" s="3">
        <v>42430</v>
      </c>
      <c r="AW2840" t="s">
        <v>54</v>
      </c>
      <c r="AX2840" t="str">
        <f t="shared" si="338"/>
        <v>FOR</v>
      </c>
      <c r="AY2840" t="s">
        <v>55</v>
      </c>
    </row>
    <row r="2841" spans="1:51" hidden="1">
      <c r="A2841">
        <v>104093</v>
      </c>
      <c r="B2841" t="s">
        <v>360</v>
      </c>
      <c r="C2841" t="str">
        <f t="shared" si="339"/>
        <v>06032681006</v>
      </c>
      <c r="D2841" t="str">
        <f t="shared" si="340"/>
        <v>12572900152</v>
      </c>
      <c r="E2841" t="s">
        <v>52</v>
      </c>
      <c r="F2841">
        <v>2015</v>
      </c>
      <c r="G2841" t="str">
        <f>"            25242132"</f>
        <v xml:space="preserve">            25242132</v>
      </c>
      <c r="H2841" s="3">
        <v>42118</v>
      </c>
      <c r="I2841" s="3">
        <v>42128</v>
      </c>
      <c r="J2841" s="3">
        <v>42128</v>
      </c>
      <c r="K2841" s="3">
        <v>42188</v>
      </c>
      <c r="L2841"/>
      <c r="N2841"/>
      <c r="O2841">
        <v>72</v>
      </c>
      <c r="P2841">
        <v>242</v>
      </c>
      <c r="Q2841" s="4">
        <v>17424</v>
      </c>
      <c r="R2841">
        <v>0</v>
      </c>
      <c r="V2841">
        <v>0</v>
      </c>
      <c r="W2841">
        <v>0</v>
      </c>
      <c r="X2841">
        <v>0</v>
      </c>
      <c r="Y2841">
        <v>0</v>
      </c>
      <c r="Z2841">
        <v>0</v>
      </c>
      <c r="AA2841">
        <v>0</v>
      </c>
      <c r="AB2841" s="3">
        <v>42562</v>
      </c>
      <c r="AC2841" t="s">
        <v>53</v>
      </c>
      <c r="AD2841" t="s">
        <v>53</v>
      </c>
      <c r="AK2841">
        <v>0</v>
      </c>
      <c r="AU2841" s="3">
        <v>42430</v>
      </c>
      <c r="AV2841" s="3">
        <v>42430</v>
      </c>
      <c r="AW2841" t="s">
        <v>54</v>
      </c>
      <c r="AX2841" t="str">
        <f t="shared" si="338"/>
        <v>FOR</v>
      </c>
      <c r="AY2841" t="s">
        <v>55</v>
      </c>
    </row>
    <row r="2842" spans="1:51" hidden="1">
      <c r="A2842">
        <v>104093</v>
      </c>
      <c r="B2842" t="s">
        <v>360</v>
      </c>
      <c r="C2842" t="str">
        <f t="shared" si="339"/>
        <v>06032681006</v>
      </c>
      <c r="D2842" t="str">
        <f t="shared" si="340"/>
        <v>12572900152</v>
      </c>
      <c r="E2842" t="s">
        <v>52</v>
      </c>
      <c r="F2842">
        <v>2015</v>
      </c>
      <c r="G2842" t="str">
        <f>"            25242134"</f>
        <v xml:space="preserve">            25242134</v>
      </c>
      <c r="H2842" s="3">
        <v>42118</v>
      </c>
      <c r="I2842" s="3">
        <v>42128</v>
      </c>
      <c r="J2842" s="3">
        <v>42128</v>
      </c>
      <c r="K2842" s="3">
        <v>42188</v>
      </c>
      <c r="L2842"/>
      <c r="N2842"/>
      <c r="O2842">
        <v>680.4</v>
      </c>
      <c r="P2842">
        <v>242</v>
      </c>
      <c r="Q2842" s="4">
        <v>164656.79999999999</v>
      </c>
      <c r="R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 s="3">
        <v>42562</v>
      </c>
      <c r="AC2842" t="s">
        <v>53</v>
      </c>
      <c r="AD2842" t="s">
        <v>53</v>
      </c>
      <c r="AK2842">
        <v>0</v>
      </c>
      <c r="AU2842" s="3">
        <v>42430</v>
      </c>
      <c r="AV2842" s="3">
        <v>42430</v>
      </c>
      <c r="AW2842" t="s">
        <v>54</v>
      </c>
      <c r="AX2842" t="str">
        <f t="shared" si="338"/>
        <v>FOR</v>
      </c>
      <c r="AY2842" t="s">
        <v>55</v>
      </c>
    </row>
    <row r="2843" spans="1:51" hidden="1">
      <c r="A2843">
        <v>104093</v>
      </c>
      <c r="B2843" t="s">
        <v>360</v>
      </c>
      <c r="C2843" t="str">
        <f t="shared" si="339"/>
        <v>06032681006</v>
      </c>
      <c r="D2843" t="str">
        <f t="shared" si="340"/>
        <v>12572900152</v>
      </c>
      <c r="E2843" t="s">
        <v>52</v>
      </c>
      <c r="F2843">
        <v>2015</v>
      </c>
      <c r="G2843" t="str">
        <f>"            25242135"</f>
        <v xml:space="preserve">            25242135</v>
      </c>
      <c r="H2843" s="3">
        <v>42118</v>
      </c>
      <c r="I2843" s="3">
        <v>42128</v>
      </c>
      <c r="J2843" s="3">
        <v>42128</v>
      </c>
      <c r="K2843" s="3">
        <v>42188</v>
      </c>
      <c r="L2843"/>
      <c r="N2843"/>
      <c r="O2843">
        <v>680.4</v>
      </c>
      <c r="P2843">
        <v>242</v>
      </c>
      <c r="Q2843" s="4">
        <v>164656.79999999999</v>
      </c>
      <c r="R2843">
        <v>0</v>
      </c>
      <c r="V2843">
        <v>0</v>
      </c>
      <c r="W2843">
        <v>0</v>
      </c>
      <c r="X2843">
        <v>0</v>
      </c>
      <c r="Y2843">
        <v>0</v>
      </c>
      <c r="Z2843">
        <v>0</v>
      </c>
      <c r="AA2843">
        <v>0</v>
      </c>
      <c r="AB2843" s="3">
        <v>42562</v>
      </c>
      <c r="AC2843" t="s">
        <v>53</v>
      </c>
      <c r="AD2843" t="s">
        <v>53</v>
      </c>
      <c r="AK2843">
        <v>0</v>
      </c>
      <c r="AU2843" s="3">
        <v>42430</v>
      </c>
      <c r="AV2843" s="3">
        <v>42430</v>
      </c>
      <c r="AW2843" t="s">
        <v>54</v>
      </c>
      <c r="AX2843" t="str">
        <f t="shared" si="338"/>
        <v>FOR</v>
      </c>
      <c r="AY2843" t="s">
        <v>55</v>
      </c>
    </row>
    <row r="2844" spans="1:51" hidden="1">
      <c r="A2844">
        <v>104093</v>
      </c>
      <c r="B2844" t="s">
        <v>360</v>
      </c>
      <c r="C2844" t="str">
        <f t="shared" si="339"/>
        <v>06032681006</v>
      </c>
      <c r="D2844" t="str">
        <f t="shared" si="340"/>
        <v>12572900152</v>
      </c>
      <c r="E2844" t="s">
        <v>52</v>
      </c>
      <c r="F2844">
        <v>2015</v>
      </c>
      <c r="G2844" t="str">
        <f>"            25242136"</f>
        <v xml:space="preserve">            25242136</v>
      </c>
      <c r="H2844" s="3">
        <v>42118</v>
      </c>
      <c r="I2844" s="3">
        <v>42128</v>
      </c>
      <c r="J2844" s="3">
        <v>42128</v>
      </c>
      <c r="K2844" s="3">
        <v>42188</v>
      </c>
      <c r="L2844"/>
      <c r="N2844"/>
      <c r="O2844">
        <v>243</v>
      </c>
      <c r="P2844">
        <v>242</v>
      </c>
      <c r="Q2844" s="4">
        <v>58806</v>
      </c>
      <c r="R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 s="3">
        <v>42562</v>
      </c>
      <c r="AC2844" t="s">
        <v>53</v>
      </c>
      <c r="AD2844" t="s">
        <v>53</v>
      </c>
      <c r="AK2844">
        <v>0</v>
      </c>
      <c r="AU2844" s="3">
        <v>42430</v>
      </c>
      <c r="AV2844" s="3">
        <v>42430</v>
      </c>
      <c r="AW2844" t="s">
        <v>54</v>
      </c>
      <c r="AX2844" t="str">
        <f t="shared" si="338"/>
        <v>FOR</v>
      </c>
      <c r="AY2844" t="s">
        <v>55</v>
      </c>
    </row>
    <row r="2845" spans="1:51" hidden="1">
      <c r="A2845">
        <v>104093</v>
      </c>
      <c r="B2845" t="s">
        <v>360</v>
      </c>
      <c r="C2845" t="str">
        <f t="shared" si="339"/>
        <v>06032681006</v>
      </c>
      <c r="D2845" t="str">
        <f t="shared" si="340"/>
        <v>12572900152</v>
      </c>
      <c r="E2845" t="s">
        <v>52</v>
      </c>
      <c r="F2845">
        <v>2015</v>
      </c>
      <c r="G2845" t="str">
        <f>"            25242137"</f>
        <v xml:space="preserve">            25242137</v>
      </c>
      <c r="H2845" s="3">
        <v>42118</v>
      </c>
      <c r="I2845" s="3">
        <v>42128</v>
      </c>
      <c r="J2845" s="3">
        <v>42128</v>
      </c>
      <c r="K2845" s="3">
        <v>42188</v>
      </c>
      <c r="L2845"/>
      <c r="N2845"/>
      <c r="O2845">
        <v>680.4</v>
      </c>
      <c r="P2845">
        <v>242</v>
      </c>
      <c r="Q2845" s="4">
        <v>164656.79999999999</v>
      </c>
      <c r="R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 s="3">
        <v>42562</v>
      </c>
      <c r="AC2845" t="s">
        <v>53</v>
      </c>
      <c r="AD2845" t="s">
        <v>53</v>
      </c>
      <c r="AK2845">
        <v>0</v>
      </c>
      <c r="AU2845" s="3">
        <v>42430</v>
      </c>
      <c r="AV2845" s="3">
        <v>42430</v>
      </c>
      <c r="AW2845" t="s">
        <v>54</v>
      </c>
      <c r="AX2845" t="str">
        <f t="shared" si="338"/>
        <v>FOR</v>
      </c>
      <c r="AY2845" t="s">
        <v>55</v>
      </c>
    </row>
    <row r="2846" spans="1:51" hidden="1">
      <c r="A2846">
        <v>104093</v>
      </c>
      <c r="B2846" t="s">
        <v>360</v>
      </c>
      <c r="C2846" t="str">
        <f t="shared" si="339"/>
        <v>06032681006</v>
      </c>
      <c r="D2846" t="str">
        <f t="shared" si="340"/>
        <v>12572900152</v>
      </c>
      <c r="E2846" t="s">
        <v>52</v>
      </c>
      <c r="F2846">
        <v>2015</v>
      </c>
      <c r="G2846" t="str">
        <f>"            25242356"</f>
        <v xml:space="preserve">            25242356</v>
      </c>
      <c r="H2846" s="3">
        <v>42118</v>
      </c>
      <c r="I2846" s="3">
        <v>42128</v>
      </c>
      <c r="J2846" s="3">
        <v>42128</v>
      </c>
      <c r="K2846" s="3">
        <v>42188</v>
      </c>
      <c r="L2846"/>
      <c r="N2846"/>
      <c r="O2846" s="4">
        <v>4500</v>
      </c>
      <c r="P2846">
        <v>242</v>
      </c>
      <c r="Q2846" s="4">
        <v>1089000</v>
      </c>
      <c r="R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 s="3">
        <v>42562</v>
      </c>
      <c r="AC2846" t="s">
        <v>53</v>
      </c>
      <c r="AD2846" t="s">
        <v>53</v>
      </c>
      <c r="AK2846">
        <v>0</v>
      </c>
      <c r="AU2846" s="3">
        <v>42430</v>
      </c>
      <c r="AV2846" s="3">
        <v>42430</v>
      </c>
      <c r="AW2846" t="s">
        <v>54</v>
      </c>
      <c r="AX2846" t="str">
        <f t="shared" si="338"/>
        <v>FOR</v>
      </c>
      <c r="AY2846" t="s">
        <v>55</v>
      </c>
    </row>
    <row r="2847" spans="1:51" hidden="1">
      <c r="A2847">
        <v>104093</v>
      </c>
      <c r="B2847" t="s">
        <v>360</v>
      </c>
      <c r="C2847" t="str">
        <f t="shared" si="339"/>
        <v>06032681006</v>
      </c>
      <c r="D2847" t="str">
        <f t="shared" si="340"/>
        <v>12572900152</v>
      </c>
      <c r="E2847" t="s">
        <v>52</v>
      </c>
      <c r="F2847">
        <v>2015</v>
      </c>
      <c r="G2847" t="str">
        <f>"            25242819"</f>
        <v xml:space="preserve">            25242819</v>
      </c>
      <c r="H2847" s="3">
        <v>42122</v>
      </c>
      <c r="I2847" s="3">
        <v>42131</v>
      </c>
      <c r="J2847" s="3">
        <v>42130</v>
      </c>
      <c r="K2847" s="3">
        <v>42190</v>
      </c>
      <c r="L2847"/>
      <c r="N2847"/>
      <c r="O2847">
        <v>72</v>
      </c>
      <c r="P2847">
        <v>240</v>
      </c>
      <c r="Q2847" s="4">
        <v>17280</v>
      </c>
      <c r="R2847">
        <v>0</v>
      </c>
      <c r="V2847">
        <v>0</v>
      </c>
      <c r="W2847">
        <v>0</v>
      </c>
      <c r="X2847">
        <v>0</v>
      </c>
      <c r="Y2847">
        <v>0</v>
      </c>
      <c r="Z2847">
        <v>0</v>
      </c>
      <c r="AA2847">
        <v>0</v>
      </c>
      <c r="AB2847" s="3">
        <v>42562</v>
      </c>
      <c r="AC2847" t="s">
        <v>53</v>
      </c>
      <c r="AD2847" t="s">
        <v>53</v>
      </c>
      <c r="AK2847">
        <v>0</v>
      </c>
      <c r="AU2847" s="3">
        <v>42430</v>
      </c>
      <c r="AV2847" s="3">
        <v>42430</v>
      </c>
      <c r="AW2847" t="s">
        <v>54</v>
      </c>
      <c r="AX2847" t="str">
        <f t="shared" si="338"/>
        <v>FOR</v>
      </c>
      <c r="AY2847" t="s">
        <v>55</v>
      </c>
    </row>
    <row r="2848" spans="1:51" hidden="1">
      <c r="A2848">
        <v>104093</v>
      </c>
      <c r="B2848" t="s">
        <v>360</v>
      </c>
      <c r="C2848" t="str">
        <f t="shared" si="339"/>
        <v>06032681006</v>
      </c>
      <c r="D2848" t="str">
        <f t="shared" si="340"/>
        <v>12572900152</v>
      </c>
      <c r="E2848" t="s">
        <v>52</v>
      </c>
      <c r="F2848">
        <v>2015</v>
      </c>
      <c r="G2848" t="str">
        <f>"            25242823"</f>
        <v xml:space="preserve">            25242823</v>
      </c>
      <c r="H2848" s="3">
        <v>42122</v>
      </c>
      <c r="I2848" s="3">
        <v>42131</v>
      </c>
      <c r="J2848" s="3">
        <v>42130</v>
      </c>
      <c r="K2848" s="3">
        <v>42190</v>
      </c>
      <c r="L2848"/>
      <c r="N2848"/>
      <c r="O2848">
        <v>72</v>
      </c>
      <c r="P2848">
        <v>240</v>
      </c>
      <c r="Q2848" s="4">
        <v>17280</v>
      </c>
      <c r="R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 s="3">
        <v>42562</v>
      </c>
      <c r="AC2848" t="s">
        <v>53</v>
      </c>
      <c r="AD2848" t="s">
        <v>53</v>
      </c>
      <c r="AK2848">
        <v>0</v>
      </c>
      <c r="AU2848" s="3">
        <v>42430</v>
      </c>
      <c r="AV2848" s="3">
        <v>42430</v>
      </c>
      <c r="AW2848" t="s">
        <v>54</v>
      </c>
      <c r="AX2848" t="str">
        <f t="shared" si="338"/>
        <v>FOR</v>
      </c>
      <c r="AY2848" t="s">
        <v>55</v>
      </c>
    </row>
    <row r="2849" spans="1:51" hidden="1">
      <c r="A2849">
        <v>104093</v>
      </c>
      <c r="B2849" t="s">
        <v>360</v>
      </c>
      <c r="C2849" t="str">
        <f t="shared" si="339"/>
        <v>06032681006</v>
      </c>
      <c r="D2849" t="str">
        <f t="shared" si="340"/>
        <v>12572900152</v>
      </c>
      <c r="E2849" t="s">
        <v>52</v>
      </c>
      <c r="F2849">
        <v>2015</v>
      </c>
      <c r="G2849" t="str">
        <f>"            25242824"</f>
        <v xml:space="preserve">            25242824</v>
      </c>
      <c r="H2849" s="3">
        <v>42122</v>
      </c>
      <c r="I2849" s="3">
        <v>42131</v>
      </c>
      <c r="J2849" s="3">
        <v>42130</v>
      </c>
      <c r="K2849" s="3">
        <v>42190</v>
      </c>
      <c r="L2849"/>
      <c r="N2849"/>
      <c r="O2849">
        <v>72</v>
      </c>
      <c r="P2849">
        <v>240</v>
      </c>
      <c r="Q2849" s="4">
        <v>17280</v>
      </c>
      <c r="R2849">
        <v>0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 s="3">
        <v>42562</v>
      </c>
      <c r="AC2849" t="s">
        <v>53</v>
      </c>
      <c r="AD2849" t="s">
        <v>53</v>
      </c>
      <c r="AK2849">
        <v>0</v>
      </c>
      <c r="AU2849" s="3">
        <v>42430</v>
      </c>
      <c r="AV2849" s="3">
        <v>42430</v>
      </c>
      <c r="AW2849" t="s">
        <v>54</v>
      </c>
      <c r="AX2849" t="str">
        <f t="shared" si="338"/>
        <v>FOR</v>
      </c>
      <c r="AY2849" t="s">
        <v>55</v>
      </c>
    </row>
    <row r="2850" spans="1:51" hidden="1">
      <c r="A2850">
        <v>104093</v>
      </c>
      <c r="B2850" t="s">
        <v>360</v>
      </c>
      <c r="C2850" t="str">
        <f t="shared" si="339"/>
        <v>06032681006</v>
      </c>
      <c r="D2850" t="str">
        <f t="shared" si="340"/>
        <v>12572900152</v>
      </c>
      <c r="E2850" t="s">
        <v>52</v>
      </c>
      <c r="F2850">
        <v>2015</v>
      </c>
      <c r="G2850" t="str">
        <f>"            25242829"</f>
        <v xml:space="preserve">            25242829</v>
      </c>
      <c r="H2850" s="3">
        <v>42122</v>
      </c>
      <c r="I2850" s="3">
        <v>42131</v>
      </c>
      <c r="J2850" s="3">
        <v>42130</v>
      </c>
      <c r="K2850" s="3">
        <v>42190</v>
      </c>
      <c r="L2850"/>
      <c r="N2850"/>
      <c r="O2850">
        <v>243</v>
      </c>
      <c r="P2850">
        <v>240</v>
      </c>
      <c r="Q2850" s="4">
        <v>58320</v>
      </c>
      <c r="R2850">
        <v>0</v>
      </c>
      <c r="V2850">
        <v>0</v>
      </c>
      <c r="W2850">
        <v>0</v>
      </c>
      <c r="X2850">
        <v>0</v>
      </c>
      <c r="Y2850">
        <v>0</v>
      </c>
      <c r="Z2850">
        <v>0</v>
      </c>
      <c r="AA2850">
        <v>0</v>
      </c>
      <c r="AB2850" s="3">
        <v>42562</v>
      </c>
      <c r="AC2850" t="s">
        <v>53</v>
      </c>
      <c r="AD2850" t="s">
        <v>53</v>
      </c>
      <c r="AK2850">
        <v>0</v>
      </c>
      <c r="AU2850" s="3">
        <v>42430</v>
      </c>
      <c r="AV2850" s="3">
        <v>42430</v>
      </c>
      <c r="AW2850" t="s">
        <v>54</v>
      </c>
      <c r="AX2850" t="str">
        <f t="shared" si="338"/>
        <v>FOR</v>
      </c>
      <c r="AY2850" t="s">
        <v>55</v>
      </c>
    </row>
    <row r="2851" spans="1:51" hidden="1">
      <c r="A2851">
        <v>104093</v>
      </c>
      <c r="B2851" t="s">
        <v>360</v>
      </c>
      <c r="C2851" t="str">
        <f t="shared" si="339"/>
        <v>06032681006</v>
      </c>
      <c r="D2851" t="str">
        <f t="shared" si="340"/>
        <v>12572900152</v>
      </c>
      <c r="E2851" t="s">
        <v>52</v>
      </c>
      <c r="F2851">
        <v>2015</v>
      </c>
      <c r="G2851" t="str">
        <f>"            25242972"</f>
        <v xml:space="preserve">            25242972</v>
      </c>
      <c r="H2851" s="3">
        <v>42122</v>
      </c>
      <c r="I2851" s="3">
        <v>42132</v>
      </c>
      <c r="J2851" s="3">
        <v>42130</v>
      </c>
      <c r="K2851" s="3">
        <v>42190</v>
      </c>
      <c r="L2851"/>
      <c r="N2851"/>
      <c r="O2851" s="4">
        <v>14107</v>
      </c>
      <c r="P2851">
        <v>226</v>
      </c>
      <c r="Q2851" s="4">
        <v>3188182</v>
      </c>
      <c r="R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 s="3">
        <v>42562</v>
      </c>
      <c r="AC2851" t="s">
        <v>53</v>
      </c>
      <c r="AD2851" t="s">
        <v>53</v>
      </c>
      <c r="AK2851">
        <v>0</v>
      </c>
      <c r="AU2851" s="3">
        <v>42416</v>
      </c>
      <c r="AV2851" s="3">
        <v>42416</v>
      </c>
      <c r="AW2851" t="s">
        <v>54</v>
      </c>
      <c r="AX2851" t="str">
        <f t="shared" si="338"/>
        <v>FOR</v>
      </c>
      <c r="AY2851" t="s">
        <v>55</v>
      </c>
    </row>
    <row r="2852" spans="1:51" hidden="1">
      <c r="A2852">
        <v>104093</v>
      </c>
      <c r="B2852" t="s">
        <v>360</v>
      </c>
      <c r="C2852" t="str">
        <f t="shared" si="339"/>
        <v>06032681006</v>
      </c>
      <c r="D2852" t="str">
        <f t="shared" si="340"/>
        <v>12572900152</v>
      </c>
      <c r="E2852" t="s">
        <v>52</v>
      </c>
      <c r="F2852">
        <v>2015</v>
      </c>
      <c r="G2852" t="str">
        <f>"            25244404"</f>
        <v xml:space="preserve">            25244404</v>
      </c>
      <c r="H2852" s="3">
        <v>42130</v>
      </c>
      <c r="I2852" s="3">
        <v>42135</v>
      </c>
      <c r="J2852" s="3">
        <v>42133</v>
      </c>
      <c r="K2852" s="3">
        <v>42193</v>
      </c>
      <c r="L2852"/>
      <c r="N2852"/>
      <c r="O2852" s="4">
        <v>3655</v>
      </c>
      <c r="P2852">
        <v>260</v>
      </c>
      <c r="Q2852" s="4">
        <v>950300</v>
      </c>
      <c r="R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 s="3">
        <v>42562</v>
      </c>
      <c r="AC2852" t="s">
        <v>53</v>
      </c>
      <c r="AD2852" t="s">
        <v>53</v>
      </c>
      <c r="AK2852">
        <v>0</v>
      </c>
      <c r="AU2852" s="3">
        <v>42453</v>
      </c>
      <c r="AV2852" s="3">
        <v>42453</v>
      </c>
      <c r="AW2852" t="s">
        <v>54</v>
      </c>
      <c r="AX2852" t="str">
        <f t="shared" si="338"/>
        <v>FOR</v>
      </c>
      <c r="AY2852" t="s">
        <v>55</v>
      </c>
    </row>
    <row r="2853" spans="1:51" hidden="1">
      <c r="A2853">
        <v>104093</v>
      </c>
      <c r="B2853" t="s">
        <v>360</v>
      </c>
      <c r="C2853" t="str">
        <f t="shared" si="339"/>
        <v>06032681006</v>
      </c>
      <c r="D2853" t="str">
        <f t="shared" si="340"/>
        <v>12572900152</v>
      </c>
      <c r="E2853" t="s">
        <v>52</v>
      </c>
      <c r="F2853">
        <v>2015</v>
      </c>
      <c r="G2853" t="str">
        <f>"            25244598"</f>
        <v xml:space="preserve">            25244598</v>
      </c>
      <c r="H2853" s="3">
        <v>42131</v>
      </c>
      <c r="I2853" s="3">
        <v>42135</v>
      </c>
      <c r="J2853" s="3">
        <v>42133</v>
      </c>
      <c r="K2853" s="3">
        <v>42193</v>
      </c>
      <c r="L2853"/>
      <c r="N2853"/>
      <c r="O2853">
        <v>72</v>
      </c>
      <c r="P2853">
        <v>260</v>
      </c>
      <c r="Q2853" s="4">
        <v>18720</v>
      </c>
      <c r="R2853">
        <v>0</v>
      </c>
      <c r="V2853">
        <v>0</v>
      </c>
      <c r="W2853">
        <v>0</v>
      </c>
      <c r="X2853">
        <v>0</v>
      </c>
      <c r="Y2853">
        <v>0</v>
      </c>
      <c r="Z2853">
        <v>0</v>
      </c>
      <c r="AA2853">
        <v>0</v>
      </c>
      <c r="AB2853" s="3">
        <v>42562</v>
      </c>
      <c r="AC2853" t="s">
        <v>53</v>
      </c>
      <c r="AD2853" t="s">
        <v>53</v>
      </c>
      <c r="AK2853">
        <v>0</v>
      </c>
      <c r="AU2853" s="3">
        <v>42453</v>
      </c>
      <c r="AV2853" s="3">
        <v>42453</v>
      </c>
      <c r="AW2853" t="s">
        <v>54</v>
      </c>
      <c r="AX2853" t="str">
        <f t="shared" si="338"/>
        <v>FOR</v>
      </c>
      <c r="AY2853" t="s">
        <v>55</v>
      </c>
    </row>
    <row r="2854" spans="1:51" hidden="1">
      <c r="A2854">
        <v>104093</v>
      </c>
      <c r="B2854" t="s">
        <v>360</v>
      </c>
      <c r="C2854" t="str">
        <f t="shared" si="339"/>
        <v>06032681006</v>
      </c>
      <c r="D2854" t="str">
        <f t="shared" si="340"/>
        <v>12572900152</v>
      </c>
      <c r="E2854" t="s">
        <v>52</v>
      </c>
      <c r="F2854">
        <v>2015</v>
      </c>
      <c r="G2854" t="str">
        <f>"            25244600"</f>
        <v xml:space="preserve">            25244600</v>
      </c>
      <c r="H2854" s="3">
        <v>42131</v>
      </c>
      <c r="I2854" s="3">
        <v>42135</v>
      </c>
      <c r="J2854" s="3">
        <v>42133</v>
      </c>
      <c r="K2854" s="3">
        <v>42193</v>
      </c>
      <c r="L2854"/>
      <c r="N2854"/>
      <c r="O2854">
        <v>72</v>
      </c>
      <c r="P2854">
        <v>260</v>
      </c>
      <c r="Q2854" s="4">
        <v>18720</v>
      </c>
      <c r="R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 s="3">
        <v>42562</v>
      </c>
      <c r="AC2854" t="s">
        <v>53</v>
      </c>
      <c r="AD2854" t="s">
        <v>53</v>
      </c>
      <c r="AK2854">
        <v>0</v>
      </c>
      <c r="AU2854" s="3">
        <v>42453</v>
      </c>
      <c r="AV2854" s="3">
        <v>42453</v>
      </c>
      <c r="AW2854" t="s">
        <v>54</v>
      </c>
      <c r="AX2854" t="str">
        <f t="shared" si="338"/>
        <v>FOR</v>
      </c>
      <c r="AY2854" t="s">
        <v>55</v>
      </c>
    </row>
    <row r="2855" spans="1:51" hidden="1">
      <c r="A2855">
        <v>104093</v>
      </c>
      <c r="B2855" t="s">
        <v>360</v>
      </c>
      <c r="C2855" t="str">
        <f t="shared" si="339"/>
        <v>06032681006</v>
      </c>
      <c r="D2855" t="str">
        <f t="shared" si="340"/>
        <v>12572900152</v>
      </c>
      <c r="E2855" t="s">
        <v>52</v>
      </c>
      <c r="F2855">
        <v>2015</v>
      </c>
      <c r="G2855" t="str">
        <f>"            25244603"</f>
        <v xml:space="preserve">            25244603</v>
      </c>
      <c r="H2855" s="3">
        <v>42131</v>
      </c>
      <c r="I2855" s="3">
        <v>42135</v>
      </c>
      <c r="J2855" s="3">
        <v>42133</v>
      </c>
      <c r="K2855" s="3">
        <v>42193</v>
      </c>
      <c r="L2855"/>
      <c r="N2855"/>
      <c r="O2855">
        <v>891</v>
      </c>
      <c r="P2855">
        <v>260</v>
      </c>
      <c r="Q2855" s="4">
        <v>231660</v>
      </c>
      <c r="R2855">
        <v>0</v>
      </c>
      <c r="V2855">
        <v>0</v>
      </c>
      <c r="W2855">
        <v>0</v>
      </c>
      <c r="X2855">
        <v>0</v>
      </c>
      <c r="Y2855">
        <v>0</v>
      </c>
      <c r="Z2855">
        <v>0</v>
      </c>
      <c r="AA2855">
        <v>0</v>
      </c>
      <c r="AB2855" s="3">
        <v>42562</v>
      </c>
      <c r="AC2855" t="s">
        <v>53</v>
      </c>
      <c r="AD2855" t="s">
        <v>53</v>
      </c>
      <c r="AK2855">
        <v>0</v>
      </c>
      <c r="AU2855" s="3">
        <v>42453</v>
      </c>
      <c r="AV2855" s="3">
        <v>42453</v>
      </c>
      <c r="AW2855" t="s">
        <v>54</v>
      </c>
      <c r="AX2855" t="str">
        <f t="shared" si="338"/>
        <v>FOR</v>
      </c>
      <c r="AY2855" t="s">
        <v>55</v>
      </c>
    </row>
    <row r="2856" spans="1:51" hidden="1">
      <c r="A2856">
        <v>104093</v>
      </c>
      <c r="B2856" t="s">
        <v>360</v>
      </c>
      <c r="C2856" t="str">
        <f t="shared" si="339"/>
        <v>06032681006</v>
      </c>
      <c r="D2856" t="str">
        <f t="shared" si="340"/>
        <v>12572900152</v>
      </c>
      <c r="E2856" t="s">
        <v>52</v>
      </c>
      <c r="F2856">
        <v>2015</v>
      </c>
      <c r="G2856" t="str">
        <f>"            25244605"</f>
        <v xml:space="preserve">            25244605</v>
      </c>
      <c r="H2856" s="3">
        <v>42131</v>
      </c>
      <c r="I2856" s="3">
        <v>42135</v>
      </c>
      <c r="J2856" s="3">
        <v>42133</v>
      </c>
      <c r="K2856" s="3">
        <v>42193</v>
      </c>
      <c r="L2856"/>
      <c r="N2856"/>
      <c r="O2856">
        <v>243</v>
      </c>
      <c r="P2856">
        <v>260</v>
      </c>
      <c r="Q2856" s="4">
        <v>63180</v>
      </c>
      <c r="R2856">
        <v>0</v>
      </c>
      <c r="V2856">
        <v>0</v>
      </c>
      <c r="W2856">
        <v>0</v>
      </c>
      <c r="X2856">
        <v>0</v>
      </c>
      <c r="Y2856">
        <v>0</v>
      </c>
      <c r="Z2856">
        <v>0</v>
      </c>
      <c r="AA2856">
        <v>0</v>
      </c>
      <c r="AB2856" s="3">
        <v>42562</v>
      </c>
      <c r="AC2856" t="s">
        <v>53</v>
      </c>
      <c r="AD2856" t="s">
        <v>53</v>
      </c>
      <c r="AK2856">
        <v>0</v>
      </c>
      <c r="AU2856" s="3">
        <v>42453</v>
      </c>
      <c r="AV2856" s="3">
        <v>42453</v>
      </c>
      <c r="AW2856" t="s">
        <v>54</v>
      </c>
      <c r="AX2856" t="str">
        <f t="shared" si="338"/>
        <v>FOR</v>
      </c>
      <c r="AY2856" t="s">
        <v>55</v>
      </c>
    </row>
    <row r="2857" spans="1:51" hidden="1">
      <c r="A2857">
        <v>104093</v>
      </c>
      <c r="B2857" t="s">
        <v>360</v>
      </c>
      <c r="C2857" t="str">
        <f t="shared" si="339"/>
        <v>06032681006</v>
      </c>
      <c r="D2857" t="str">
        <f t="shared" si="340"/>
        <v>12572900152</v>
      </c>
      <c r="E2857" t="s">
        <v>52</v>
      </c>
      <c r="F2857">
        <v>2015</v>
      </c>
      <c r="G2857" t="str">
        <f>"            25244608"</f>
        <v xml:space="preserve">            25244608</v>
      </c>
      <c r="H2857" s="3">
        <v>42131</v>
      </c>
      <c r="I2857" s="3">
        <v>42135</v>
      </c>
      <c r="J2857" s="3">
        <v>42133</v>
      </c>
      <c r="K2857" s="3">
        <v>42193</v>
      </c>
      <c r="L2857"/>
      <c r="N2857"/>
      <c r="O2857">
        <v>72</v>
      </c>
      <c r="P2857">
        <v>260</v>
      </c>
      <c r="Q2857" s="4">
        <v>18720</v>
      </c>
      <c r="R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 s="3">
        <v>42562</v>
      </c>
      <c r="AC2857" t="s">
        <v>53</v>
      </c>
      <c r="AD2857" t="s">
        <v>53</v>
      </c>
      <c r="AK2857">
        <v>0</v>
      </c>
      <c r="AU2857" s="3">
        <v>42453</v>
      </c>
      <c r="AV2857" s="3">
        <v>42453</v>
      </c>
      <c r="AW2857" t="s">
        <v>54</v>
      </c>
      <c r="AX2857" t="str">
        <f t="shared" si="338"/>
        <v>FOR</v>
      </c>
      <c r="AY2857" t="s">
        <v>55</v>
      </c>
    </row>
    <row r="2858" spans="1:51" hidden="1">
      <c r="A2858">
        <v>104093</v>
      </c>
      <c r="B2858" t="s">
        <v>360</v>
      </c>
      <c r="C2858" t="str">
        <f t="shared" si="339"/>
        <v>06032681006</v>
      </c>
      <c r="D2858" t="str">
        <f t="shared" si="340"/>
        <v>12572900152</v>
      </c>
      <c r="E2858" t="s">
        <v>52</v>
      </c>
      <c r="F2858">
        <v>2015</v>
      </c>
      <c r="G2858" t="str">
        <f>"            25245014"</f>
        <v xml:space="preserve">            25245014</v>
      </c>
      <c r="H2858" s="3">
        <v>42132</v>
      </c>
      <c r="I2858" s="3">
        <v>42158</v>
      </c>
      <c r="J2858" s="3">
        <v>42138</v>
      </c>
      <c r="K2858" s="3">
        <v>42198</v>
      </c>
      <c r="L2858"/>
      <c r="N2858"/>
      <c r="O2858">
        <v>408</v>
      </c>
      <c r="P2858">
        <v>255</v>
      </c>
      <c r="Q2858" s="4">
        <v>104040</v>
      </c>
      <c r="R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 s="3">
        <v>42562</v>
      </c>
      <c r="AC2858" t="s">
        <v>53</v>
      </c>
      <c r="AD2858" t="s">
        <v>53</v>
      </c>
      <c r="AK2858">
        <v>0</v>
      </c>
      <c r="AU2858" s="3">
        <v>42453</v>
      </c>
      <c r="AV2858" s="3">
        <v>42453</v>
      </c>
      <c r="AW2858" t="s">
        <v>54</v>
      </c>
      <c r="AX2858" t="str">
        <f t="shared" si="338"/>
        <v>FOR</v>
      </c>
      <c r="AY2858" t="s">
        <v>55</v>
      </c>
    </row>
    <row r="2859" spans="1:51" hidden="1">
      <c r="A2859">
        <v>104093</v>
      </c>
      <c r="B2859" t="s">
        <v>360</v>
      </c>
      <c r="C2859" t="str">
        <f t="shared" si="339"/>
        <v>06032681006</v>
      </c>
      <c r="D2859" t="str">
        <f t="shared" si="340"/>
        <v>12572900152</v>
      </c>
      <c r="E2859" t="s">
        <v>52</v>
      </c>
      <c r="F2859">
        <v>2015</v>
      </c>
      <c r="G2859" t="str">
        <f>"            25245125"</f>
        <v xml:space="preserve">            25245125</v>
      </c>
      <c r="H2859" s="3">
        <v>42132</v>
      </c>
      <c r="I2859" s="3">
        <v>42158</v>
      </c>
      <c r="J2859" s="3">
        <v>42138</v>
      </c>
      <c r="K2859" s="3">
        <v>42198</v>
      </c>
      <c r="L2859"/>
      <c r="N2859"/>
      <c r="O2859">
        <v>960</v>
      </c>
      <c r="P2859">
        <v>255</v>
      </c>
      <c r="Q2859" s="4">
        <v>244800</v>
      </c>
      <c r="R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>
        <v>0</v>
      </c>
      <c r="AB2859" s="3">
        <v>42562</v>
      </c>
      <c r="AC2859" t="s">
        <v>53</v>
      </c>
      <c r="AD2859" t="s">
        <v>53</v>
      </c>
      <c r="AK2859">
        <v>0</v>
      </c>
      <c r="AU2859" s="3">
        <v>42453</v>
      </c>
      <c r="AV2859" s="3">
        <v>42453</v>
      </c>
      <c r="AW2859" t="s">
        <v>54</v>
      </c>
      <c r="AX2859" t="str">
        <f t="shared" si="338"/>
        <v>FOR</v>
      </c>
      <c r="AY2859" t="s">
        <v>55</v>
      </c>
    </row>
    <row r="2860" spans="1:51" hidden="1">
      <c r="A2860">
        <v>104093</v>
      </c>
      <c r="B2860" t="s">
        <v>360</v>
      </c>
      <c r="C2860" t="str">
        <f t="shared" si="339"/>
        <v>06032681006</v>
      </c>
      <c r="D2860" t="str">
        <f t="shared" si="340"/>
        <v>12572900152</v>
      </c>
      <c r="E2860" t="s">
        <v>52</v>
      </c>
      <c r="F2860">
        <v>2015</v>
      </c>
      <c r="G2860" t="str">
        <f>"            25245129"</f>
        <v xml:space="preserve">            25245129</v>
      </c>
      <c r="H2860" s="3">
        <v>42132</v>
      </c>
      <c r="I2860" s="3">
        <v>42158</v>
      </c>
      <c r="J2860" s="3">
        <v>42138</v>
      </c>
      <c r="K2860" s="3">
        <v>42198</v>
      </c>
      <c r="L2860"/>
      <c r="N2860"/>
      <c r="O2860" s="4">
        <v>4230</v>
      </c>
      <c r="P2860">
        <v>255</v>
      </c>
      <c r="Q2860" s="4">
        <v>1078650</v>
      </c>
      <c r="R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 s="3">
        <v>42562</v>
      </c>
      <c r="AC2860" t="s">
        <v>53</v>
      </c>
      <c r="AD2860" t="s">
        <v>53</v>
      </c>
      <c r="AK2860">
        <v>0</v>
      </c>
      <c r="AU2860" s="3">
        <v>42453</v>
      </c>
      <c r="AV2860" s="3">
        <v>42453</v>
      </c>
      <c r="AW2860" t="s">
        <v>54</v>
      </c>
      <c r="AX2860" t="str">
        <f t="shared" si="338"/>
        <v>FOR</v>
      </c>
      <c r="AY2860" t="s">
        <v>55</v>
      </c>
    </row>
    <row r="2861" spans="1:51" hidden="1">
      <c r="A2861">
        <v>104093</v>
      </c>
      <c r="B2861" t="s">
        <v>360</v>
      </c>
      <c r="C2861" t="str">
        <f t="shared" si="339"/>
        <v>06032681006</v>
      </c>
      <c r="D2861" t="str">
        <f t="shared" si="340"/>
        <v>12572900152</v>
      </c>
      <c r="E2861" t="s">
        <v>52</v>
      </c>
      <c r="F2861">
        <v>2015</v>
      </c>
      <c r="G2861" t="str">
        <f>"            25245189"</f>
        <v xml:space="preserve">            25245189</v>
      </c>
      <c r="H2861" s="3">
        <v>42135</v>
      </c>
      <c r="I2861" s="3">
        <v>42139</v>
      </c>
      <c r="J2861" s="3">
        <v>42137</v>
      </c>
      <c r="K2861" s="3">
        <v>42197</v>
      </c>
      <c r="L2861"/>
      <c r="N2861"/>
      <c r="O2861">
        <v>680.4</v>
      </c>
      <c r="P2861">
        <v>256</v>
      </c>
      <c r="Q2861" s="4">
        <v>174182.39999999999</v>
      </c>
      <c r="R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 s="3">
        <v>42562</v>
      </c>
      <c r="AC2861" t="s">
        <v>53</v>
      </c>
      <c r="AD2861" t="s">
        <v>53</v>
      </c>
      <c r="AK2861">
        <v>0</v>
      </c>
      <c r="AU2861" s="3">
        <v>42453</v>
      </c>
      <c r="AV2861" s="3">
        <v>42453</v>
      </c>
      <c r="AW2861" t="s">
        <v>54</v>
      </c>
      <c r="AX2861" t="str">
        <f t="shared" si="338"/>
        <v>FOR</v>
      </c>
      <c r="AY2861" t="s">
        <v>55</v>
      </c>
    </row>
    <row r="2862" spans="1:51" hidden="1">
      <c r="A2862">
        <v>104093</v>
      </c>
      <c r="B2862" t="s">
        <v>360</v>
      </c>
      <c r="C2862" t="str">
        <f t="shared" si="339"/>
        <v>06032681006</v>
      </c>
      <c r="D2862" t="str">
        <f t="shared" si="340"/>
        <v>12572900152</v>
      </c>
      <c r="E2862" t="s">
        <v>52</v>
      </c>
      <c r="F2862">
        <v>2015</v>
      </c>
      <c r="G2862" t="str">
        <f>"            25245190"</f>
        <v xml:space="preserve">            25245190</v>
      </c>
      <c r="H2862" s="3">
        <v>42135</v>
      </c>
      <c r="I2862" s="3">
        <v>42139</v>
      </c>
      <c r="J2862" s="3">
        <v>42137</v>
      </c>
      <c r="K2862" s="3">
        <v>42197</v>
      </c>
      <c r="L2862"/>
      <c r="N2862"/>
      <c r="O2862">
        <v>243</v>
      </c>
      <c r="P2862">
        <v>256</v>
      </c>
      <c r="Q2862" s="4">
        <v>62208</v>
      </c>
      <c r="R2862">
        <v>0</v>
      </c>
      <c r="V2862">
        <v>0</v>
      </c>
      <c r="W2862">
        <v>0</v>
      </c>
      <c r="X2862">
        <v>0</v>
      </c>
      <c r="Y2862">
        <v>0</v>
      </c>
      <c r="Z2862">
        <v>0</v>
      </c>
      <c r="AA2862">
        <v>0</v>
      </c>
      <c r="AB2862" s="3">
        <v>42562</v>
      </c>
      <c r="AC2862" t="s">
        <v>53</v>
      </c>
      <c r="AD2862" t="s">
        <v>53</v>
      </c>
      <c r="AK2862">
        <v>0</v>
      </c>
      <c r="AU2862" s="3">
        <v>42453</v>
      </c>
      <c r="AV2862" s="3">
        <v>42453</v>
      </c>
      <c r="AW2862" t="s">
        <v>54</v>
      </c>
      <c r="AX2862" t="str">
        <f t="shared" si="338"/>
        <v>FOR</v>
      </c>
      <c r="AY2862" t="s">
        <v>55</v>
      </c>
    </row>
    <row r="2863" spans="1:51" hidden="1">
      <c r="A2863">
        <v>104093</v>
      </c>
      <c r="B2863" t="s">
        <v>360</v>
      </c>
      <c r="C2863" t="str">
        <f t="shared" si="339"/>
        <v>06032681006</v>
      </c>
      <c r="D2863" t="str">
        <f t="shared" si="340"/>
        <v>12572900152</v>
      </c>
      <c r="E2863" t="s">
        <v>52</v>
      </c>
      <c r="F2863">
        <v>2015</v>
      </c>
      <c r="G2863" t="str">
        <f>"            25245191"</f>
        <v xml:space="preserve">            25245191</v>
      </c>
      <c r="H2863" s="3">
        <v>42135</v>
      </c>
      <c r="I2863" s="3">
        <v>42139</v>
      </c>
      <c r="J2863" s="3">
        <v>42137</v>
      </c>
      <c r="K2863" s="3">
        <v>42197</v>
      </c>
      <c r="L2863"/>
      <c r="N2863"/>
      <c r="O2863">
        <v>72</v>
      </c>
      <c r="P2863">
        <v>256</v>
      </c>
      <c r="Q2863" s="4">
        <v>18432</v>
      </c>
      <c r="R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 s="3">
        <v>42562</v>
      </c>
      <c r="AC2863" t="s">
        <v>53</v>
      </c>
      <c r="AD2863" t="s">
        <v>53</v>
      </c>
      <c r="AK2863">
        <v>0</v>
      </c>
      <c r="AU2863" s="3">
        <v>42453</v>
      </c>
      <c r="AV2863" s="3">
        <v>42453</v>
      </c>
      <c r="AW2863" t="s">
        <v>54</v>
      </c>
      <c r="AX2863" t="str">
        <f t="shared" si="338"/>
        <v>FOR</v>
      </c>
      <c r="AY2863" t="s">
        <v>55</v>
      </c>
    </row>
    <row r="2864" spans="1:51" hidden="1">
      <c r="A2864">
        <v>104093</v>
      </c>
      <c r="B2864" t="s">
        <v>360</v>
      </c>
      <c r="C2864" t="str">
        <f t="shared" si="339"/>
        <v>06032681006</v>
      </c>
      <c r="D2864" t="str">
        <f t="shared" si="340"/>
        <v>12572900152</v>
      </c>
      <c r="E2864" t="s">
        <v>52</v>
      </c>
      <c r="F2864">
        <v>2015</v>
      </c>
      <c r="G2864" t="str">
        <f>"            25245216"</f>
        <v xml:space="preserve">            25245216</v>
      </c>
      <c r="H2864" s="3">
        <v>42135</v>
      </c>
      <c r="I2864" s="3">
        <v>42139</v>
      </c>
      <c r="J2864" s="3">
        <v>42137</v>
      </c>
      <c r="K2864" s="3">
        <v>42197</v>
      </c>
      <c r="L2864"/>
      <c r="N2864"/>
      <c r="O2864">
        <v>680.4</v>
      </c>
      <c r="P2864">
        <v>256</v>
      </c>
      <c r="Q2864" s="4">
        <v>174182.39999999999</v>
      </c>
      <c r="R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 s="3">
        <v>42562</v>
      </c>
      <c r="AC2864" t="s">
        <v>53</v>
      </c>
      <c r="AD2864" t="s">
        <v>53</v>
      </c>
      <c r="AK2864">
        <v>0</v>
      </c>
      <c r="AU2864" s="3">
        <v>42453</v>
      </c>
      <c r="AV2864" s="3">
        <v>42453</v>
      </c>
      <c r="AW2864" t="s">
        <v>54</v>
      </c>
      <c r="AX2864" t="str">
        <f t="shared" si="338"/>
        <v>FOR</v>
      </c>
      <c r="AY2864" t="s">
        <v>55</v>
      </c>
    </row>
    <row r="2865" spans="1:51" hidden="1">
      <c r="A2865">
        <v>104093</v>
      </c>
      <c r="B2865" t="s">
        <v>360</v>
      </c>
      <c r="C2865" t="str">
        <f t="shared" si="339"/>
        <v>06032681006</v>
      </c>
      <c r="D2865" t="str">
        <f t="shared" si="340"/>
        <v>12572900152</v>
      </c>
      <c r="E2865" t="s">
        <v>52</v>
      </c>
      <c r="F2865">
        <v>2015</v>
      </c>
      <c r="G2865" t="str">
        <f>"            25247666"</f>
        <v xml:space="preserve">            25247666</v>
      </c>
      <c r="H2865" s="3">
        <v>42146</v>
      </c>
      <c r="I2865" s="3">
        <v>42163</v>
      </c>
      <c r="J2865" s="3">
        <v>42149</v>
      </c>
      <c r="K2865" s="3">
        <v>42209</v>
      </c>
      <c r="L2865"/>
      <c r="N2865"/>
      <c r="O2865" s="4">
        <v>8701</v>
      </c>
      <c r="P2865">
        <v>244</v>
      </c>
      <c r="Q2865" s="4">
        <v>2123044</v>
      </c>
      <c r="R2865">
        <v>0</v>
      </c>
      <c r="V2865">
        <v>0</v>
      </c>
      <c r="W2865">
        <v>0</v>
      </c>
      <c r="X2865">
        <v>0</v>
      </c>
      <c r="Y2865">
        <v>0</v>
      </c>
      <c r="Z2865">
        <v>0</v>
      </c>
      <c r="AA2865">
        <v>0</v>
      </c>
      <c r="AB2865" s="3">
        <v>42562</v>
      </c>
      <c r="AC2865" t="s">
        <v>53</v>
      </c>
      <c r="AD2865" t="s">
        <v>53</v>
      </c>
      <c r="AK2865">
        <v>0</v>
      </c>
      <c r="AU2865" s="3">
        <v>42453</v>
      </c>
      <c r="AV2865" s="3">
        <v>42453</v>
      </c>
      <c r="AW2865" t="s">
        <v>54</v>
      </c>
      <c r="AX2865" t="str">
        <f t="shared" si="338"/>
        <v>FOR</v>
      </c>
      <c r="AY2865" t="s">
        <v>55</v>
      </c>
    </row>
    <row r="2866" spans="1:51" hidden="1">
      <c r="A2866">
        <v>104093</v>
      </c>
      <c r="B2866" t="s">
        <v>360</v>
      </c>
      <c r="C2866" t="str">
        <f t="shared" si="339"/>
        <v>06032681006</v>
      </c>
      <c r="D2866" t="str">
        <f t="shared" si="340"/>
        <v>12572900152</v>
      </c>
      <c r="E2866" t="s">
        <v>52</v>
      </c>
      <c r="F2866">
        <v>2015</v>
      </c>
      <c r="G2866" t="str">
        <f>"            25248984"</f>
        <v xml:space="preserve">            25248984</v>
      </c>
      <c r="H2866" s="3">
        <v>42152</v>
      </c>
      <c r="I2866" s="3">
        <v>42158</v>
      </c>
      <c r="J2866" s="3">
        <v>42154</v>
      </c>
      <c r="K2866" s="3">
        <v>42214</v>
      </c>
      <c r="L2866"/>
      <c r="N2866"/>
      <c r="O2866">
        <v>680.4</v>
      </c>
      <c r="P2866">
        <v>239</v>
      </c>
      <c r="Q2866" s="4">
        <v>162615.6</v>
      </c>
      <c r="R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 s="3">
        <v>42562</v>
      </c>
      <c r="AC2866" t="s">
        <v>53</v>
      </c>
      <c r="AD2866" t="s">
        <v>53</v>
      </c>
      <c r="AK2866">
        <v>0</v>
      </c>
      <c r="AU2866" s="3">
        <v>42453</v>
      </c>
      <c r="AV2866" s="3">
        <v>42453</v>
      </c>
      <c r="AW2866" t="s">
        <v>54</v>
      </c>
      <c r="AX2866" t="str">
        <f t="shared" si="338"/>
        <v>FOR</v>
      </c>
      <c r="AY2866" t="s">
        <v>55</v>
      </c>
    </row>
    <row r="2867" spans="1:51" hidden="1">
      <c r="A2867">
        <v>104093</v>
      </c>
      <c r="B2867" t="s">
        <v>360</v>
      </c>
      <c r="C2867" t="str">
        <f t="shared" si="339"/>
        <v>06032681006</v>
      </c>
      <c r="D2867" t="str">
        <f t="shared" si="340"/>
        <v>12572900152</v>
      </c>
      <c r="E2867" t="s">
        <v>52</v>
      </c>
      <c r="F2867">
        <v>2015</v>
      </c>
      <c r="G2867" t="str">
        <f>"            25248986"</f>
        <v xml:space="preserve">            25248986</v>
      </c>
      <c r="H2867" s="3">
        <v>42152</v>
      </c>
      <c r="I2867" s="3">
        <v>42158</v>
      </c>
      <c r="J2867" s="3">
        <v>42154</v>
      </c>
      <c r="K2867" s="3">
        <v>42214</v>
      </c>
      <c r="L2867"/>
      <c r="N2867"/>
      <c r="O2867">
        <v>243</v>
      </c>
      <c r="P2867">
        <v>239</v>
      </c>
      <c r="Q2867" s="4">
        <v>58077</v>
      </c>
      <c r="R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 s="3">
        <v>42562</v>
      </c>
      <c r="AC2867" t="s">
        <v>53</v>
      </c>
      <c r="AD2867" t="s">
        <v>53</v>
      </c>
      <c r="AK2867">
        <v>0</v>
      </c>
      <c r="AU2867" s="3">
        <v>42453</v>
      </c>
      <c r="AV2867" s="3">
        <v>42453</v>
      </c>
      <c r="AW2867" t="s">
        <v>54</v>
      </c>
      <c r="AX2867" t="str">
        <f t="shared" si="338"/>
        <v>FOR</v>
      </c>
      <c r="AY2867" t="s">
        <v>55</v>
      </c>
    </row>
    <row r="2868" spans="1:51" hidden="1">
      <c r="A2868">
        <v>104093</v>
      </c>
      <c r="B2868" t="s">
        <v>360</v>
      </c>
      <c r="C2868" t="str">
        <f t="shared" si="339"/>
        <v>06032681006</v>
      </c>
      <c r="D2868" t="str">
        <f t="shared" si="340"/>
        <v>12572900152</v>
      </c>
      <c r="E2868" t="s">
        <v>52</v>
      </c>
      <c r="F2868">
        <v>2015</v>
      </c>
      <c r="G2868" t="str">
        <f>"            25248988"</f>
        <v xml:space="preserve">            25248988</v>
      </c>
      <c r="H2868" s="3">
        <v>42152</v>
      </c>
      <c r="I2868" s="3">
        <v>42158</v>
      </c>
      <c r="J2868" s="3">
        <v>42154</v>
      </c>
      <c r="K2868" s="3">
        <v>42214</v>
      </c>
      <c r="L2868"/>
      <c r="N2868"/>
      <c r="O2868">
        <v>243</v>
      </c>
      <c r="P2868">
        <v>239</v>
      </c>
      <c r="Q2868" s="4">
        <v>58077</v>
      </c>
      <c r="R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 s="3">
        <v>42562</v>
      </c>
      <c r="AC2868" t="s">
        <v>53</v>
      </c>
      <c r="AD2868" t="s">
        <v>53</v>
      </c>
      <c r="AK2868">
        <v>0</v>
      </c>
      <c r="AU2868" s="3">
        <v>42453</v>
      </c>
      <c r="AV2868" s="3">
        <v>42453</v>
      </c>
      <c r="AW2868" t="s">
        <v>54</v>
      </c>
      <c r="AX2868" t="str">
        <f t="shared" si="338"/>
        <v>FOR</v>
      </c>
      <c r="AY2868" t="s">
        <v>55</v>
      </c>
    </row>
    <row r="2869" spans="1:51" hidden="1">
      <c r="A2869">
        <v>104093</v>
      </c>
      <c r="B2869" t="s">
        <v>360</v>
      </c>
      <c r="C2869" t="str">
        <f t="shared" si="339"/>
        <v>06032681006</v>
      </c>
      <c r="D2869" t="str">
        <f t="shared" si="340"/>
        <v>12572900152</v>
      </c>
      <c r="E2869" t="s">
        <v>52</v>
      </c>
      <c r="F2869">
        <v>2015</v>
      </c>
      <c r="G2869" t="str">
        <f>"            25248989"</f>
        <v xml:space="preserve">            25248989</v>
      </c>
      <c r="H2869" s="3">
        <v>42152</v>
      </c>
      <c r="I2869" s="3">
        <v>42158</v>
      </c>
      <c r="J2869" s="3">
        <v>42154</v>
      </c>
      <c r="K2869" s="3">
        <v>42214</v>
      </c>
      <c r="L2869"/>
      <c r="N2869"/>
      <c r="O2869">
        <v>72</v>
      </c>
      <c r="P2869">
        <v>239</v>
      </c>
      <c r="Q2869" s="4">
        <v>17208</v>
      </c>
      <c r="R2869">
        <v>0</v>
      </c>
      <c r="V2869">
        <v>0</v>
      </c>
      <c r="W2869">
        <v>0</v>
      </c>
      <c r="X2869">
        <v>0</v>
      </c>
      <c r="Y2869">
        <v>0</v>
      </c>
      <c r="Z2869">
        <v>0</v>
      </c>
      <c r="AA2869">
        <v>0</v>
      </c>
      <c r="AB2869" s="3">
        <v>42562</v>
      </c>
      <c r="AC2869" t="s">
        <v>53</v>
      </c>
      <c r="AD2869" t="s">
        <v>53</v>
      </c>
      <c r="AK2869">
        <v>0</v>
      </c>
      <c r="AU2869" s="3">
        <v>42453</v>
      </c>
      <c r="AV2869" s="3">
        <v>42453</v>
      </c>
      <c r="AW2869" t="s">
        <v>54</v>
      </c>
      <c r="AX2869" t="str">
        <f t="shared" si="338"/>
        <v>FOR</v>
      </c>
      <c r="AY2869" t="s">
        <v>55</v>
      </c>
    </row>
    <row r="2870" spans="1:51" hidden="1">
      <c r="A2870">
        <v>104093</v>
      </c>
      <c r="B2870" t="s">
        <v>360</v>
      </c>
      <c r="C2870" t="str">
        <f t="shared" si="339"/>
        <v>06032681006</v>
      </c>
      <c r="D2870" t="str">
        <f t="shared" si="340"/>
        <v>12572900152</v>
      </c>
      <c r="E2870" t="s">
        <v>52</v>
      </c>
      <c r="F2870">
        <v>2015</v>
      </c>
      <c r="G2870" t="str">
        <f>"            25248993"</f>
        <v xml:space="preserve">            25248993</v>
      </c>
      <c r="H2870" s="3">
        <v>42152</v>
      </c>
      <c r="I2870" s="3">
        <v>42158</v>
      </c>
      <c r="J2870" s="3">
        <v>42154</v>
      </c>
      <c r="K2870" s="3">
        <v>42214</v>
      </c>
      <c r="L2870"/>
      <c r="N2870"/>
      <c r="O2870">
        <v>243</v>
      </c>
      <c r="P2870">
        <v>239</v>
      </c>
      <c r="Q2870" s="4">
        <v>58077</v>
      </c>
      <c r="R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 s="3">
        <v>42562</v>
      </c>
      <c r="AC2870" t="s">
        <v>53</v>
      </c>
      <c r="AD2870" t="s">
        <v>53</v>
      </c>
      <c r="AK2870">
        <v>0</v>
      </c>
      <c r="AU2870" s="3">
        <v>42453</v>
      </c>
      <c r="AV2870" s="3">
        <v>42453</v>
      </c>
      <c r="AW2870" t="s">
        <v>54</v>
      </c>
      <c r="AX2870" t="str">
        <f t="shared" si="338"/>
        <v>FOR</v>
      </c>
      <c r="AY2870" t="s">
        <v>55</v>
      </c>
    </row>
    <row r="2871" spans="1:51" hidden="1">
      <c r="A2871">
        <v>104093</v>
      </c>
      <c r="B2871" t="s">
        <v>360</v>
      </c>
      <c r="C2871" t="str">
        <f t="shared" si="339"/>
        <v>06032681006</v>
      </c>
      <c r="D2871" t="str">
        <f t="shared" si="340"/>
        <v>12572900152</v>
      </c>
      <c r="E2871" t="s">
        <v>52</v>
      </c>
      <c r="F2871">
        <v>2015</v>
      </c>
      <c r="G2871" t="str">
        <f>"            25248995"</f>
        <v xml:space="preserve">            25248995</v>
      </c>
      <c r="H2871" s="3">
        <v>42152</v>
      </c>
      <c r="I2871" s="3">
        <v>42158</v>
      </c>
      <c r="J2871" s="3">
        <v>42154</v>
      </c>
      <c r="K2871" s="3">
        <v>42214</v>
      </c>
      <c r="L2871"/>
      <c r="N2871"/>
      <c r="O2871">
        <v>680.4</v>
      </c>
      <c r="P2871">
        <v>239</v>
      </c>
      <c r="Q2871" s="4">
        <v>162615.6</v>
      </c>
      <c r="R2871">
        <v>0</v>
      </c>
      <c r="V2871">
        <v>0</v>
      </c>
      <c r="W2871">
        <v>0</v>
      </c>
      <c r="X2871">
        <v>0</v>
      </c>
      <c r="Y2871">
        <v>0</v>
      </c>
      <c r="Z2871">
        <v>0</v>
      </c>
      <c r="AA2871">
        <v>0</v>
      </c>
      <c r="AB2871" s="3">
        <v>42562</v>
      </c>
      <c r="AC2871" t="s">
        <v>53</v>
      </c>
      <c r="AD2871" t="s">
        <v>53</v>
      </c>
      <c r="AK2871">
        <v>0</v>
      </c>
      <c r="AU2871" s="3">
        <v>42453</v>
      </c>
      <c r="AV2871" s="3">
        <v>42453</v>
      </c>
      <c r="AW2871" t="s">
        <v>54</v>
      </c>
      <c r="AX2871" t="str">
        <f t="shared" si="338"/>
        <v>FOR</v>
      </c>
      <c r="AY2871" t="s">
        <v>55</v>
      </c>
    </row>
    <row r="2872" spans="1:51" hidden="1">
      <c r="A2872">
        <v>104093</v>
      </c>
      <c r="B2872" t="s">
        <v>360</v>
      </c>
      <c r="C2872" t="str">
        <f t="shared" si="339"/>
        <v>06032681006</v>
      </c>
      <c r="D2872" t="str">
        <f t="shared" si="340"/>
        <v>12572900152</v>
      </c>
      <c r="E2872" t="s">
        <v>52</v>
      </c>
      <c r="F2872">
        <v>2015</v>
      </c>
      <c r="G2872" t="str">
        <f>"            25248997"</f>
        <v xml:space="preserve">            25248997</v>
      </c>
      <c r="H2872" s="3">
        <v>42152</v>
      </c>
      <c r="I2872" s="3">
        <v>42158</v>
      </c>
      <c r="J2872" s="3">
        <v>42154</v>
      </c>
      <c r="K2872" s="3">
        <v>42214</v>
      </c>
      <c r="L2872"/>
      <c r="N2872"/>
      <c r="O2872">
        <v>72</v>
      </c>
      <c r="P2872">
        <v>239</v>
      </c>
      <c r="Q2872" s="4">
        <v>17208</v>
      </c>
      <c r="R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 s="3">
        <v>42562</v>
      </c>
      <c r="AC2872" t="s">
        <v>53</v>
      </c>
      <c r="AD2872" t="s">
        <v>53</v>
      </c>
      <c r="AK2872">
        <v>0</v>
      </c>
      <c r="AU2872" s="3">
        <v>42453</v>
      </c>
      <c r="AV2872" s="3">
        <v>42453</v>
      </c>
      <c r="AW2872" t="s">
        <v>54</v>
      </c>
      <c r="AX2872" t="str">
        <f t="shared" ref="AX2872:AX2935" si="341">"FOR"</f>
        <v>FOR</v>
      </c>
      <c r="AY2872" t="s">
        <v>55</v>
      </c>
    </row>
    <row r="2873" spans="1:51" hidden="1">
      <c r="A2873">
        <v>104093</v>
      </c>
      <c r="B2873" t="s">
        <v>360</v>
      </c>
      <c r="C2873" t="str">
        <f t="shared" si="339"/>
        <v>06032681006</v>
      </c>
      <c r="D2873" t="str">
        <f t="shared" si="340"/>
        <v>12572900152</v>
      </c>
      <c r="E2873" t="s">
        <v>52</v>
      </c>
      <c r="F2873">
        <v>2015</v>
      </c>
      <c r="G2873" t="str">
        <f>"            25248998"</f>
        <v xml:space="preserve">            25248998</v>
      </c>
      <c r="H2873" s="3">
        <v>42152</v>
      </c>
      <c r="I2873" s="3">
        <v>42158</v>
      </c>
      <c r="J2873" s="3">
        <v>42154</v>
      </c>
      <c r="K2873" s="3">
        <v>42214</v>
      </c>
      <c r="L2873"/>
      <c r="N2873"/>
      <c r="O2873">
        <v>680.4</v>
      </c>
      <c r="P2873">
        <v>239</v>
      </c>
      <c r="Q2873" s="4">
        <v>162615.6</v>
      </c>
      <c r="R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 s="3">
        <v>42562</v>
      </c>
      <c r="AC2873" t="s">
        <v>53</v>
      </c>
      <c r="AD2873" t="s">
        <v>53</v>
      </c>
      <c r="AK2873">
        <v>0</v>
      </c>
      <c r="AU2873" s="3">
        <v>42453</v>
      </c>
      <c r="AV2873" s="3">
        <v>42453</v>
      </c>
      <c r="AW2873" t="s">
        <v>54</v>
      </c>
      <c r="AX2873" t="str">
        <f t="shared" si="341"/>
        <v>FOR</v>
      </c>
      <c r="AY2873" t="s">
        <v>55</v>
      </c>
    </row>
    <row r="2874" spans="1:51" hidden="1">
      <c r="A2874">
        <v>104093</v>
      </c>
      <c r="B2874" t="s">
        <v>360</v>
      </c>
      <c r="C2874" t="str">
        <f t="shared" si="339"/>
        <v>06032681006</v>
      </c>
      <c r="D2874" t="str">
        <f t="shared" si="340"/>
        <v>12572900152</v>
      </c>
      <c r="E2874" t="s">
        <v>52</v>
      </c>
      <c r="F2874">
        <v>2015</v>
      </c>
      <c r="G2874" t="str">
        <f>"            25249002"</f>
        <v xml:space="preserve">            25249002</v>
      </c>
      <c r="H2874" s="3">
        <v>42152</v>
      </c>
      <c r="I2874" s="3">
        <v>42158</v>
      </c>
      <c r="J2874" s="3">
        <v>42154</v>
      </c>
      <c r="K2874" s="3">
        <v>42214</v>
      </c>
      <c r="L2874"/>
      <c r="N2874"/>
      <c r="O2874">
        <v>243</v>
      </c>
      <c r="P2874">
        <v>239</v>
      </c>
      <c r="Q2874" s="4">
        <v>58077</v>
      </c>
      <c r="R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 s="3">
        <v>42562</v>
      </c>
      <c r="AC2874" t="s">
        <v>53</v>
      </c>
      <c r="AD2874" t="s">
        <v>53</v>
      </c>
      <c r="AK2874">
        <v>0</v>
      </c>
      <c r="AU2874" s="3">
        <v>42453</v>
      </c>
      <c r="AV2874" s="3">
        <v>42453</v>
      </c>
      <c r="AW2874" t="s">
        <v>54</v>
      </c>
      <c r="AX2874" t="str">
        <f t="shared" si="341"/>
        <v>FOR</v>
      </c>
      <c r="AY2874" t="s">
        <v>55</v>
      </c>
    </row>
    <row r="2875" spans="1:51" hidden="1">
      <c r="A2875">
        <v>104093</v>
      </c>
      <c r="B2875" t="s">
        <v>360</v>
      </c>
      <c r="C2875" t="str">
        <f t="shared" si="339"/>
        <v>06032681006</v>
      </c>
      <c r="D2875" t="str">
        <f t="shared" si="340"/>
        <v>12572900152</v>
      </c>
      <c r="E2875" t="s">
        <v>52</v>
      </c>
      <c r="F2875">
        <v>2015</v>
      </c>
      <c r="G2875" t="str">
        <f>"            25249006"</f>
        <v xml:space="preserve">            25249006</v>
      </c>
      <c r="H2875" s="3">
        <v>42152</v>
      </c>
      <c r="I2875" s="3">
        <v>42158</v>
      </c>
      <c r="J2875" s="3">
        <v>42154</v>
      </c>
      <c r="K2875" s="3">
        <v>42214</v>
      </c>
      <c r="L2875"/>
      <c r="N2875"/>
      <c r="O2875">
        <v>72</v>
      </c>
      <c r="P2875">
        <v>239</v>
      </c>
      <c r="Q2875" s="4">
        <v>17208</v>
      </c>
      <c r="R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 s="3">
        <v>42562</v>
      </c>
      <c r="AC2875" t="s">
        <v>53</v>
      </c>
      <c r="AD2875" t="s">
        <v>53</v>
      </c>
      <c r="AK2875">
        <v>0</v>
      </c>
      <c r="AU2875" s="3">
        <v>42453</v>
      </c>
      <c r="AV2875" s="3">
        <v>42453</v>
      </c>
      <c r="AW2875" t="s">
        <v>54</v>
      </c>
      <c r="AX2875" t="str">
        <f t="shared" si="341"/>
        <v>FOR</v>
      </c>
      <c r="AY2875" t="s">
        <v>55</v>
      </c>
    </row>
    <row r="2876" spans="1:51" hidden="1">
      <c r="A2876">
        <v>104093</v>
      </c>
      <c r="B2876" t="s">
        <v>360</v>
      </c>
      <c r="C2876" t="str">
        <f t="shared" si="339"/>
        <v>06032681006</v>
      </c>
      <c r="D2876" t="str">
        <f t="shared" si="340"/>
        <v>12572900152</v>
      </c>
      <c r="E2876" t="s">
        <v>52</v>
      </c>
      <c r="F2876">
        <v>2015</v>
      </c>
      <c r="G2876" t="str">
        <f>"            25249008"</f>
        <v xml:space="preserve">            25249008</v>
      </c>
      <c r="H2876" s="3">
        <v>42152</v>
      </c>
      <c r="I2876" s="3">
        <v>42158</v>
      </c>
      <c r="J2876" s="3">
        <v>42154</v>
      </c>
      <c r="K2876" s="3">
        <v>42214</v>
      </c>
      <c r="L2876"/>
      <c r="N2876"/>
      <c r="O2876">
        <v>72</v>
      </c>
      <c r="P2876">
        <v>239</v>
      </c>
      <c r="Q2876" s="4">
        <v>17208</v>
      </c>
      <c r="R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 s="3">
        <v>42562</v>
      </c>
      <c r="AC2876" t="s">
        <v>53</v>
      </c>
      <c r="AD2876" t="s">
        <v>53</v>
      </c>
      <c r="AK2876">
        <v>0</v>
      </c>
      <c r="AU2876" s="3">
        <v>42453</v>
      </c>
      <c r="AV2876" s="3">
        <v>42453</v>
      </c>
      <c r="AW2876" t="s">
        <v>54</v>
      </c>
      <c r="AX2876" t="str">
        <f t="shared" si="341"/>
        <v>FOR</v>
      </c>
      <c r="AY2876" t="s">
        <v>55</v>
      </c>
    </row>
    <row r="2877" spans="1:51" hidden="1">
      <c r="A2877">
        <v>104093</v>
      </c>
      <c r="B2877" t="s">
        <v>360</v>
      </c>
      <c r="C2877" t="str">
        <f t="shared" si="339"/>
        <v>06032681006</v>
      </c>
      <c r="D2877" t="str">
        <f t="shared" si="340"/>
        <v>12572900152</v>
      </c>
      <c r="E2877" t="s">
        <v>52</v>
      </c>
      <c r="F2877">
        <v>2015</v>
      </c>
      <c r="G2877" t="str">
        <f>"            25249011"</f>
        <v xml:space="preserve">            25249011</v>
      </c>
      <c r="H2877" s="3">
        <v>42152</v>
      </c>
      <c r="I2877" s="3">
        <v>42158</v>
      </c>
      <c r="J2877" s="3">
        <v>42154</v>
      </c>
      <c r="K2877" s="3">
        <v>42214</v>
      </c>
      <c r="L2877"/>
      <c r="N2877"/>
      <c r="O2877">
        <v>72</v>
      </c>
      <c r="P2877">
        <v>239</v>
      </c>
      <c r="Q2877" s="4">
        <v>17208</v>
      </c>
      <c r="R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 s="3">
        <v>42562</v>
      </c>
      <c r="AC2877" t="s">
        <v>53</v>
      </c>
      <c r="AD2877" t="s">
        <v>53</v>
      </c>
      <c r="AK2877">
        <v>0</v>
      </c>
      <c r="AU2877" s="3">
        <v>42453</v>
      </c>
      <c r="AV2877" s="3">
        <v>42453</v>
      </c>
      <c r="AW2877" t="s">
        <v>54</v>
      </c>
      <c r="AX2877" t="str">
        <f t="shared" si="341"/>
        <v>FOR</v>
      </c>
      <c r="AY2877" t="s">
        <v>55</v>
      </c>
    </row>
    <row r="2878" spans="1:51" hidden="1">
      <c r="A2878">
        <v>104093</v>
      </c>
      <c r="B2878" t="s">
        <v>360</v>
      </c>
      <c r="C2878" t="str">
        <f t="shared" si="339"/>
        <v>06032681006</v>
      </c>
      <c r="D2878" t="str">
        <f t="shared" si="340"/>
        <v>12572900152</v>
      </c>
      <c r="E2878" t="s">
        <v>52</v>
      </c>
      <c r="F2878">
        <v>2015</v>
      </c>
      <c r="G2878" t="str">
        <f>"            25249013"</f>
        <v xml:space="preserve">            25249013</v>
      </c>
      <c r="H2878" s="3">
        <v>42152</v>
      </c>
      <c r="I2878" s="3">
        <v>42158</v>
      </c>
      <c r="J2878" s="3">
        <v>42154</v>
      </c>
      <c r="K2878" s="3">
        <v>42214</v>
      </c>
      <c r="L2878"/>
      <c r="N2878"/>
      <c r="O2878">
        <v>72</v>
      </c>
      <c r="P2878">
        <v>239</v>
      </c>
      <c r="Q2878" s="4">
        <v>17208</v>
      </c>
      <c r="R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 s="3">
        <v>42562</v>
      </c>
      <c r="AC2878" t="s">
        <v>53</v>
      </c>
      <c r="AD2878" t="s">
        <v>53</v>
      </c>
      <c r="AK2878">
        <v>0</v>
      </c>
      <c r="AU2878" s="3">
        <v>42453</v>
      </c>
      <c r="AV2878" s="3">
        <v>42453</v>
      </c>
      <c r="AW2878" t="s">
        <v>54</v>
      </c>
      <c r="AX2878" t="str">
        <f t="shared" si="341"/>
        <v>FOR</v>
      </c>
      <c r="AY2878" t="s">
        <v>55</v>
      </c>
    </row>
    <row r="2879" spans="1:51" hidden="1">
      <c r="A2879">
        <v>104093</v>
      </c>
      <c r="B2879" t="s">
        <v>360</v>
      </c>
      <c r="C2879" t="str">
        <f t="shared" si="339"/>
        <v>06032681006</v>
      </c>
      <c r="D2879" t="str">
        <f t="shared" si="340"/>
        <v>12572900152</v>
      </c>
      <c r="E2879" t="s">
        <v>52</v>
      </c>
      <c r="F2879">
        <v>2015</v>
      </c>
      <c r="G2879" t="str">
        <f>"            25249017"</f>
        <v xml:space="preserve">            25249017</v>
      </c>
      <c r="H2879" s="3">
        <v>42152</v>
      </c>
      <c r="I2879" s="3">
        <v>42158</v>
      </c>
      <c r="J2879" s="3">
        <v>42154</v>
      </c>
      <c r="K2879" s="3">
        <v>42214</v>
      </c>
      <c r="L2879"/>
      <c r="N2879"/>
      <c r="O2879">
        <v>72</v>
      </c>
      <c r="P2879">
        <v>239</v>
      </c>
      <c r="Q2879" s="4">
        <v>17208</v>
      </c>
      <c r="R2879">
        <v>0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 s="3">
        <v>42562</v>
      </c>
      <c r="AC2879" t="s">
        <v>53</v>
      </c>
      <c r="AD2879" t="s">
        <v>53</v>
      </c>
      <c r="AK2879">
        <v>0</v>
      </c>
      <c r="AU2879" s="3">
        <v>42453</v>
      </c>
      <c r="AV2879" s="3">
        <v>42453</v>
      </c>
      <c r="AW2879" t="s">
        <v>54</v>
      </c>
      <c r="AX2879" t="str">
        <f t="shared" si="341"/>
        <v>FOR</v>
      </c>
      <c r="AY2879" t="s">
        <v>55</v>
      </c>
    </row>
    <row r="2880" spans="1:51" hidden="1">
      <c r="A2880">
        <v>104093</v>
      </c>
      <c r="B2880" t="s">
        <v>360</v>
      </c>
      <c r="C2880" t="str">
        <f t="shared" si="339"/>
        <v>06032681006</v>
      </c>
      <c r="D2880" t="str">
        <f t="shared" si="340"/>
        <v>12572900152</v>
      </c>
      <c r="E2880" t="s">
        <v>52</v>
      </c>
      <c r="F2880">
        <v>2015</v>
      </c>
      <c r="G2880" t="str">
        <f>"            25249020"</f>
        <v xml:space="preserve">            25249020</v>
      </c>
      <c r="H2880" s="3">
        <v>42152</v>
      </c>
      <c r="I2880" s="3">
        <v>42158</v>
      </c>
      <c r="J2880" s="3">
        <v>42154</v>
      </c>
      <c r="K2880" s="3">
        <v>42214</v>
      </c>
      <c r="L2880"/>
      <c r="N2880"/>
      <c r="O2880">
        <v>680.4</v>
      </c>
      <c r="P2880">
        <v>239</v>
      </c>
      <c r="Q2880" s="4">
        <v>162615.6</v>
      </c>
      <c r="R2880">
        <v>0</v>
      </c>
      <c r="V2880">
        <v>0</v>
      </c>
      <c r="W2880">
        <v>0</v>
      </c>
      <c r="X2880">
        <v>0</v>
      </c>
      <c r="Y2880">
        <v>0</v>
      </c>
      <c r="Z2880">
        <v>0</v>
      </c>
      <c r="AA2880">
        <v>0</v>
      </c>
      <c r="AB2880" s="3">
        <v>42562</v>
      </c>
      <c r="AC2880" t="s">
        <v>53</v>
      </c>
      <c r="AD2880" t="s">
        <v>53</v>
      </c>
      <c r="AK2880">
        <v>0</v>
      </c>
      <c r="AU2880" s="3">
        <v>42453</v>
      </c>
      <c r="AV2880" s="3">
        <v>42453</v>
      </c>
      <c r="AW2880" t="s">
        <v>54</v>
      </c>
      <c r="AX2880" t="str">
        <f t="shared" si="341"/>
        <v>FOR</v>
      </c>
      <c r="AY2880" t="s">
        <v>55</v>
      </c>
    </row>
    <row r="2881" spans="1:51" hidden="1">
      <c r="A2881">
        <v>104093</v>
      </c>
      <c r="B2881" t="s">
        <v>360</v>
      </c>
      <c r="C2881" t="str">
        <f t="shared" si="339"/>
        <v>06032681006</v>
      </c>
      <c r="D2881" t="str">
        <f t="shared" si="340"/>
        <v>12572900152</v>
      </c>
      <c r="E2881" t="s">
        <v>52</v>
      </c>
      <c r="F2881">
        <v>2015</v>
      </c>
      <c r="G2881" t="str">
        <f>"            25249023"</f>
        <v xml:space="preserve">            25249023</v>
      </c>
      <c r="H2881" s="3">
        <v>42152</v>
      </c>
      <c r="I2881" s="3">
        <v>42158</v>
      </c>
      <c r="J2881" s="3">
        <v>42154</v>
      </c>
      <c r="K2881" s="3">
        <v>42214</v>
      </c>
      <c r="L2881"/>
      <c r="N2881"/>
      <c r="O2881">
        <v>243</v>
      </c>
      <c r="P2881">
        <v>239</v>
      </c>
      <c r="Q2881" s="4">
        <v>58077</v>
      </c>
      <c r="R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 s="3">
        <v>42562</v>
      </c>
      <c r="AC2881" t="s">
        <v>53</v>
      </c>
      <c r="AD2881" t="s">
        <v>53</v>
      </c>
      <c r="AK2881">
        <v>0</v>
      </c>
      <c r="AU2881" s="3">
        <v>42453</v>
      </c>
      <c r="AV2881" s="3">
        <v>42453</v>
      </c>
      <c r="AW2881" t="s">
        <v>54</v>
      </c>
      <c r="AX2881" t="str">
        <f t="shared" si="341"/>
        <v>FOR</v>
      </c>
      <c r="AY2881" t="s">
        <v>55</v>
      </c>
    </row>
    <row r="2882" spans="1:51" hidden="1">
      <c r="A2882">
        <v>104093</v>
      </c>
      <c r="B2882" t="s">
        <v>360</v>
      </c>
      <c r="C2882" t="str">
        <f t="shared" si="339"/>
        <v>06032681006</v>
      </c>
      <c r="D2882" t="str">
        <f t="shared" si="340"/>
        <v>12572900152</v>
      </c>
      <c r="E2882" t="s">
        <v>52</v>
      </c>
      <c r="F2882">
        <v>2015</v>
      </c>
      <c r="G2882" t="str">
        <f>"            25249100"</f>
        <v xml:space="preserve">            25249100</v>
      </c>
      <c r="H2882" s="3">
        <v>42152</v>
      </c>
      <c r="I2882" s="3">
        <v>42158</v>
      </c>
      <c r="J2882" s="3">
        <v>42154</v>
      </c>
      <c r="K2882" s="3">
        <v>42214</v>
      </c>
      <c r="L2882"/>
      <c r="N2882"/>
      <c r="O2882" s="4">
        <v>5610</v>
      </c>
      <c r="P2882">
        <v>239</v>
      </c>
      <c r="Q2882" s="4">
        <v>1340790</v>
      </c>
      <c r="R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 s="3">
        <v>42562</v>
      </c>
      <c r="AC2882" t="s">
        <v>53</v>
      </c>
      <c r="AD2882" t="s">
        <v>53</v>
      </c>
      <c r="AK2882">
        <v>0</v>
      </c>
      <c r="AU2882" s="3">
        <v>42453</v>
      </c>
      <c r="AV2882" s="3">
        <v>42453</v>
      </c>
      <c r="AW2882" t="s">
        <v>54</v>
      </c>
      <c r="AX2882" t="str">
        <f t="shared" si="341"/>
        <v>FOR</v>
      </c>
      <c r="AY2882" t="s">
        <v>55</v>
      </c>
    </row>
    <row r="2883" spans="1:51">
      <c r="A2883">
        <v>104093</v>
      </c>
      <c r="B2883" t="s">
        <v>360</v>
      </c>
      <c r="C2883" t="str">
        <f t="shared" si="339"/>
        <v>06032681006</v>
      </c>
      <c r="D2883" t="str">
        <f t="shared" si="340"/>
        <v>12572900152</v>
      </c>
      <c r="E2883" t="s">
        <v>52</v>
      </c>
      <c r="F2883">
        <v>2015</v>
      </c>
      <c r="G2883" t="str">
        <f>"            25250509"</f>
        <v xml:space="preserve">            25250509</v>
      </c>
      <c r="H2883" s="3">
        <v>42160</v>
      </c>
      <c r="I2883" s="3">
        <v>42164</v>
      </c>
      <c r="J2883" s="3">
        <v>42163</v>
      </c>
      <c r="K2883" s="3">
        <v>42223</v>
      </c>
      <c r="L2883" s="1">
        <v>72</v>
      </c>
      <c r="M2883">
        <v>269</v>
      </c>
      <c r="N2883" s="5">
        <v>19368</v>
      </c>
      <c r="O2883">
        <v>72</v>
      </c>
      <c r="P2883">
        <v>269</v>
      </c>
      <c r="Q2883" s="4">
        <v>19368</v>
      </c>
      <c r="R2883">
        <v>0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 s="3">
        <v>42562</v>
      </c>
      <c r="AC2883" t="s">
        <v>53</v>
      </c>
      <c r="AD2883" t="s">
        <v>53</v>
      </c>
      <c r="AK2883">
        <v>0</v>
      </c>
      <c r="AU2883" s="3">
        <v>42492</v>
      </c>
      <c r="AV2883" s="3">
        <v>42492</v>
      </c>
      <c r="AW2883" t="s">
        <v>54</v>
      </c>
      <c r="AX2883" t="str">
        <f t="shared" si="341"/>
        <v>FOR</v>
      </c>
      <c r="AY2883" t="s">
        <v>55</v>
      </c>
    </row>
    <row r="2884" spans="1:51">
      <c r="A2884">
        <v>104093</v>
      </c>
      <c r="B2884" t="s">
        <v>360</v>
      </c>
      <c r="C2884" t="str">
        <f t="shared" si="339"/>
        <v>06032681006</v>
      </c>
      <c r="D2884" t="str">
        <f t="shared" si="340"/>
        <v>12572900152</v>
      </c>
      <c r="E2884" t="s">
        <v>52</v>
      </c>
      <c r="F2884">
        <v>2015</v>
      </c>
      <c r="G2884" t="str">
        <f>"            25250512"</f>
        <v xml:space="preserve">            25250512</v>
      </c>
      <c r="H2884" s="3">
        <v>42160</v>
      </c>
      <c r="I2884" s="3">
        <v>42164</v>
      </c>
      <c r="J2884" s="3">
        <v>42163</v>
      </c>
      <c r="K2884" s="3">
        <v>42223</v>
      </c>
      <c r="L2884" s="1">
        <v>72</v>
      </c>
      <c r="M2884">
        <v>269</v>
      </c>
      <c r="N2884" s="5">
        <v>19368</v>
      </c>
      <c r="O2884">
        <v>72</v>
      </c>
      <c r="P2884">
        <v>269</v>
      </c>
      <c r="Q2884" s="4">
        <v>19368</v>
      </c>
      <c r="R2884">
        <v>0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 s="3">
        <v>42562</v>
      </c>
      <c r="AC2884" t="s">
        <v>53</v>
      </c>
      <c r="AD2884" t="s">
        <v>53</v>
      </c>
      <c r="AK2884">
        <v>0</v>
      </c>
      <c r="AU2884" s="3">
        <v>42492</v>
      </c>
      <c r="AV2884" s="3">
        <v>42492</v>
      </c>
      <c r="AW2884" t="s">
        <v>54</v>
      </c>
      <c r="AX2884" t="str">
        <f t="shared" si="341"/>
        <v>FOR</v>
      </c>
      <c r="AY2884" t="s">
        <v>55</v>
      </c>
    </row>
    <row r="2885" spans="1:51">
      <c r="A2885">
        <v>104093</v>
      </c>
      <c r="B2885" t="s">
        <v>360</v>
      </c>
      <c r="C2885" t="str">
        <f t="shared" si="339"/>
        <v>06032681006</v>
      </c>
      <c r="D2885" t="str">
        <f t="shared" si="340"/>
        <v>12572900152</v>
      </c>
      <c r="E2885" t="s">
        <v>52</v>
      </c>
      <c r="F2885">
        <v>2015</v>
      </c>
      <c r="G2885" t="str">
        <f>"            25250514"</f>
        <v xml:space="preserve">            25250514</v>
      </c>
      <c r="H2885" s="3">
        <v>42160</v>
      </c>
      <c r="I2885" s="3">
        <v>42164</v>
      </c>
      <c r="J2885" s="3">
        <v>42163</v>
      </c>
      <c r="K2885" s="3">
        <v>42223</v>
      </c>
      <c r="L2885" s="1">
        <v>72</v>
      </c>
      <c r="M2885">
        <v>269</v>
      </c>
      <c r="N2885" s="5">
        <v>19368</v>
      </c>
      <c r="O2885">
        <v>72</v>
      </c>
      <c r="P2885">
        <v>269</v>
      </c>
      <c r="Q2885" s="4">
        <v>19368</v>
      </c>
      <c r="R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 s="3">
        <v>42562</v>
      </c>
      <c r="AC2885" t="s">
        <v>53</v>
      </c>
      <c r="AD2885" t="s">
        <v>53</v>
      </c>
      <c r="AK2885">
        <v>0</v>
      </c>
      <c r="AU2885" s="3">
        <v>42492</v>
      </c>
      <c r="AV2885" s="3">
        <v>42492</v>
      </c>
      <c r="AW2885" t="s">
        <v>54</v>
      </c>
      <c r="AX2885" t="str">
        <f t="shared" si="341"/>
        <v>FOR</v>
      </c>
      <c r="AY2885" t="s">
        <v>55</v>
      </c>
    </row>
    <row r="2886" spans="1:51">
      <c r="A2886">
        <v>104093</v>
      </c>
      <c r="B2886" t="s">
        <v>360</v>
      </c>
      <c r="C2886" t="str">
        <f t="shared" si="339"/>
        <v>06032681006</v>
      </c>
      <c r="D2886" t="str">
        <f t="shared" si="340"/>
        <v>12572900152</v>
      </c>
      <c r="E2886" t="s">
        <v>52</v>
      </c>
      <c r="F2886">
        <v>2015</v>
      </c>
      <c r="G2886" t="str">
        <f>"            25250516"</f>
        <v xml:space="preserve">            25250516</v>
      </c>
      <c r="H2886" s="3">
        <v>42160</v>
      </c>
      <c r="I2886" s="3">
        <v>42164</v>
      </c>
      <c r="J2886" s="3">
        <v>42163</v>
      </c>
      <c r="K2886" s="3">
        <v>42223</v>
      </c>
      <c r="L2886" s="1">
        <v>72</v>
      </c>
      <c r="M2886">
        <v>269</v>
      </c>
      <c r="N2886" s="5">
        <v>19368</v>
      </c>
      <c r="O2886">
        <v>72</v>
      </c>
      <c r="P2886">
        <v>269</v>
      </c>
      <c r="Q2886" s="4">
        <v>19368</v>
      </c>
      <c r="R2886">
        <v>0</v>
      </c>
      <c r="V2886">
        <v>0</v>
      </c>
      <c r="W2886">
        <v>0</v>
      </c>
      <c r="X2886">
        <v>0</v>
      </c>
      <c r="Y2886">
        <v>0</v>
      </c>
      <c r="Z2886">
        <v>0</v>
      </c>
      <c r="AA2886">
        <v>0</v>
      </c>
      <c r="AB2886" s="3">
        <v>42562</v>
      </c>
      <c r="AC2886" t="s">
        <v>53</v>
      </c>
      <c r="AD2886" t="s">
        <v>53</v>
      </c>
      <c r="AK2886">
        <v>0</v>
      </c>
      <c r="AU2886" s="3">
        <v>42492</v>
      </c>
      <c r="AV2886" s="3">
        <v>42492</v>
      </c>
      <c r="AW2886" t="s">
        <v>54</v>
      </c>
      <c r="AX2886" t="str">
        <f t="shared" si="341"/>
        <v>FOR</v>
      </c>
      <c r="AY2886" t="s">
        <v>55</v>
      </c>
    </row>
    <row r="2887" spans="1:51">
      <c r="A2887">
        <v>104093</v>
      </c>
      <c r="B2887" t="s">
        <v>360</v>
      </c>
      <c r="C2887" t="str">
        <f t="shared" si="339"/>
        <v>06032681006</v>
      </c>
      <c r="D2887" t="str">
        <f t="shared" si="340"/>
        <v>12572900152</v>
      </c>
      <c r="E2887" t="s">
        <v>52</v>
      </c>
      <c r="F2887">
        <v>2015</v>
      </c>
      <c r="G2887" t="str">
        <f>"            25250517"</f>
        <v xml:space="preserve">            25250517</v>
      </c>
      <c r="H2887" s="3">
        <v>42160</v>
      </c>
      <c r="I2887" s="3">
        <v>42164</v>
      </c>
      <c r="J2887" s="3">
        <v>42163</v>
      </c>
      <c r="K2887" s="3">
        <v>42223</v>
      </c>
      <c r="L2887" s="1">
        <v>387.9</v>
      </c>
      <c r="M2887">
        <v>269</v>
      </c>
      <c r="N2887" s="5">
        <v>104345.1</v>
      </c>
      <c r="O2887">
        <v>387.9</v>
      </c>
      <c r="P2887">
        <v>269</v>
      </c>
      <c r="Q2887" s="4">
        <v>104345.1</v>
      </c>
      <c r="R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>
        <v>0</v>
      </c>
      <c r="AB2887" s="3">
        <v>42562</v>
      </c>
      <c r="AC2887" t="s">
        <v>53</v>
      </c>
      <c r="AD2887" t="s">
        <v>53</v>
      </c>
      <c r="AK2887">
        <v>0</v>
      </c>
      <c r="AU2887" s="3">
        <v>42492</v>
      </c>
      <c r="AV2887" s="3">
        <v>42492</v>
      </c>
      <c r="AW2887" t="s">
        <v>54</v>
      </c>
      <c r="AX2887" t="str">
        <f t="shared" si="341"/>
        <v>FOR</v>
      </c>
      <c r="AY2887" t="s">
        <v>55</v>
      </c>
    </row>
    <row r="2888" spans="1:51">
      <c r="A2888">
        <v>104093</v>
      </c>
      <c r="B2888" t="s">
        <v>360</v>
      </c>
      <c r="C2888" t="str">
        <f t="shared" si="339"/>
        <v>06032681006</v>
      </c>
      <c r="D2888" t="str">
        <f t="shared" si="340"/>
        <v>12572900152</v>
      </c>
      <c r="E2888" t="s">
        <v>52</v>
      </c>
      <c r="F2888">
        <v>2015</v>
      </c>
      <c r="G2888" t="str">
        <f>"            25250518"</f>
        <v xml:space="preserve">            25250518</v>
      </c>
      <c r="H2888" s="3">
        <v>42160</v>
      </c>
      <c r="I2888" s="3">
        <v>42164</v>
      </c>
      <c r="J2888" s="3">
        <v>42163</v>
      </c>
      <c r="K2888" s="3">
        <v>42223</v>
      </c>
      <c r="L2888" s="1">
        <v>72</v>
      </c>
      <c r="M2888">
        <v>269</v>
      </c>
      <c r="N2888" s="5">
        <v>19368</v>
      </c>
      <c r="O2888">
        <v>72</v>
      </c>
      <c r="P2888">
        <v>269</v>
      </c>
      <c r="Q2888" s="4">
        <v>19368</v>
      </c>
      <c r="R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 s="3">
        <v>42562</v>
      </c>
      <c r="AC2888" t="s">
        <v>53</v>
      </c>
      <c r="AD2888" t="s">
        <v>53</v>
      </c>
      <c r="AK2888">
        <v>0</v>
      </c>
      <c r="AU2888" s="3">
        <v>42492</v>
      </c>
      <c r="AV2888" s="3">
        <v>42492</v>
      </c>
      <c r="AW2888" t="s">
        <v>54</v>
      </c>
      <c r="AX2888" t="str">
        <f t="shared" si="341"/>
        <v>FOR</v>
      </c>
      <c r="AY2888" t="s">
        <v>55</v>
      </c>
    </row>
    <row r="2889" spans="1:51">
      <c r="A2889">
        <v>104093</v>
      </c>
      <c r="B2889" t="s">
        <v>360</v>
      </c>
      <c r="C2889" t="str">
        <f t="shared" si="339"/>
        <v>06032681006</v>
      </c>
      <c r="D2889" t="str">
        <f t="shared" si="340"/>
        <v>12572900152</v>
      </c>
      <c r="E2889" t="s">
        <v>52</v>
      </c>
      <c r="F2889">
        <v>2015</v>
      </c>
      <c r="G2889" t="str">
        <f>"            25250519"</f>
        <v xml:space="preserve">            25250519</v>
      </c>
      <c r="H2889" s="3">
        <v>42160</v>
      </c>
      <c r="I2889" s="3">
        <v>42164</v>
      </c>
      <c r="J2889" s="3">
        <v>42163</v>
      </c>
      <c r="K2889" s="3">
        <v>42223</v>
      </c>
      <c r="L2889" s="1">
        <v>243</v>
      </c>
      <c r="M2889">
        <v>269</v>
      </c>
      <c r="N2889" s="5">
        <v>65367</v>
      </c>
      <c r="O2889">
        <v>243</v>
      </c>
      <c r="P2889">
        <v>269</v>
      </c>
      <c r="Q2889" s="4">
        <v>65367</v>
      </c>
      <c r="R2889">
        <v>0</v>
      </c>
      <c r="V2889">
        <v>0</v>
      </c>
      <c r="W2889">
        <v>0</v>
      </c>
      <c r="X2889">
        <v>0</v>
      </c>
      <c r="Y2889">
        <v>0</v>
      </c>
      <c r="Z2889">
        <v>0</v>
      </c>
      <c r="AA2889">
        <v>0</v>
      </c>
      <c r="AB2889" s="3">
        <v>42562</v>
      </c>
      <c r="AC2889" t="s">
        <v>53</v>
      </c>
      <c r="AD2889" t="s">
        <v>53</v>
      </c>
      <c r="AK2889">
        <v>0</v>
      </c>
      <c r="AU2889" s="3">
        <v>42492</v>
      </c>
      <c r="AV2889" s="3">
        <v>42492</v>
      </c>
      <c r="AW2889" t="s">
        <v>54</v>
      </c>
      <c r="AX2889" t="str">
        <f t="shared" si="341"/>
        <v>FOR</v>
      </c>
      <c r="AY2889" t="s">
        <v>55</v>
      </c>
    </row>
    <row r="2890" spans="1:51">
      <c r="A2890">
        <v>104093</v>
      </c>
      <c r="B2890" t="s">
        <v>360</v>
      </c>
      <c r="C2890" t="str">
        <f t="shared" si="339"/>
        <v>06032681006</v>
      </c>
      <c r="D2890" t="str">
        <f t="shared" si="340"/>
        <v>12572900152</v>
      </c>
      <c r="E2890" t="s">
        <v>52</v>
      </c>
      <c r="F2890">
        <v>2015</v>
      </c>
      <c r="G2890" t="str">
        <f>"            25250520"</f>
        <v xml:space="preserve">            25250520</v>
      </c>
      <c r="H2890" s="3">
        <v>42160</v>
      </c>
      <c r="I2890" s="3">
        <v>42164</v>
      </c>
      <c r="J2890" s="3">
        <v>42163</v>
      </c>
      <c r="K2890" s="3">
        <v>42223</v>
      </c>
      <c r="L2890" s="1">
        <v>72</v>
      </c>
      <c r="M2890">
        <v>269</v>
      </c>
      <c r="N2890" s="5">
        <v>19368</v>
      </c>
      <c r="O2890">
        <v>72</v>
      </c>
      <c r="P2890">
        <v>269</v>
      </c>
      <c r="Q2890" s="4">
        <v>19368</v>
      </c>
      <c r="R2890">
        <v>0</v>
      </c>
      <c r="V2890">
        <v>0</v>
      </c>
      <c r="W2890">
        <v>0</v>
      </c>
      <c r="X2890">
        <v>0</v>
      </c>
      <c r="Y2890">
        <v>0</v>
      </c>
      <c r="Z2890">
        <v>0</v>
      </c>
      <c r="AA2890">
        <v>0</v>
      </c>
      <c r="AB2890" s="3">
        <v>42562</v>
      </c>
      <c r="AC2890" t="s">
        <v>53</v>
      </c>
      <c r="AD2890" t="s">
        <v>53</v>
      </c>
      <c r="AK2890">
        <v>0</v>
      </c>
      <c r="AU2890" s="3">
        <v>42492</v>
      </c>
      <c r="AV2890" s="3">
        <v>42492</v>
      </c>
      <c r="AW2890" t="s">
        <v>54</v>
      </c>
      <c r="AX2890" t="str">
        <f t="shared" si="341"/>
        <v>FOR</v>
      </c>
      <c r="AY2890" t="s">
        <v>55</v>
      </c>
    </row>
    <row r="2891" spans="1:51">
      <c r="A2891">
        <v>104093</v>
      </c>
      <c r="B2891" t="s">
        <v>360</v>
      </c>
      <c r="C2891" t="str">
        <f t="shared" si="339"/>
        <v>06032681006</v>
      </c>
      <c r="D2891" t="str">
        <f t="shared" si="340"/>
        <v>12572900152</v>
      </c>
      <c r="E2891" t="s">
        <v>52</v>
      </c>
      <c r="F2891">
        <v>2015</v>
      </c>
      <c r="G2891" t="str">
        <f>"            25250544"</f>
        <v xml:space="preserve">            25250544</v>
      </c>
      <c r="H2891" s="3">
        <v>42160</v>
      </c>
      <c r="I2891" s="3">
        <v>42164</v>
      </c>
      <c r="J2891" s="3">
        <v>42163</v>
      </c>
      <c r="K2891" s="3">
        <v>42223</v>
      </c>
      <c r="L2891" s="1">
        <v>680.4</v>
      </c>
      <c r="M2891">
        <v>269</v>
      </c>
      <c r="N2891" s="5">
        <v>183027.6</v>
      </c>
      <c r="O2891">
        <v>680.4</v>
      </c>
      <c r="P2891">
        <v>269</v>
      </c>
      <c r="Q2891" s="4">
        <v>183027.6</v>
      </c>
      <c r="R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 s="3">
        <v>42562</v>
      </c>
      <c r="AC2891" t="s">
        <v>53</v>
      </c>
      <c r="AD2891" t="s">
        <v>53</v>
      </c>
      <c r="AK2891">
        <v>0</v>
      </c>
      <c r="AU2891" s="3">
        <v>42492</v>
      </c>
      <c r="AV2891" s="3">
        <v>42492</v>
      </c>
      <c r="AW2891" t="s">
        <v>54</v>
      </c>
      <c r="AX2891" t="str">
        <f t="shared" si="341"/>
        <v>FOR</v>
      </c>
      <c r="AY2891" t="s">
        <v>55</v>
      </c>
    </row>
    <row r="2892" spans="1:51">
      <c r="A2892">
        <v>104093</v>
      </c>
      <c r="B2892" t="s">
        <v>360</v>
      </c>
      <c r="C2892" t="str">
        <f t="shared" si="339"/>
        <v>06032681006</v>
      </c>
      <c r="D2892" t="str">
        <f t="shared" si="340"/>
        <v>12572900152</v>
      </c>
      <c r="E2892" t="s">
        <v>52</v>
      </c>
      <c r="F2892">
        <v>2015</v>
      </c>
      <c r="G2892" t="str">
        <f>"            25250545"</f>
        <v xml:space="preserve">            25250545</v>
      </c>
      <c r="H2892" s="3">
        <v>42160</v>
      </c>
      <c r="I2892" s="3">
        <v>42164</v>
      </c>
      <c r="J2892" s="3">
        <v>42163</v>
      </c>
      <c r="K2892" s="3">
        <v>42223</v>
      </c>
      <c r="L2892" s="1">
        <v>243</v>
      </c>
      <c r="M2892">
        <v>269</v>
      </c>
      <c r="N2892" s="5">
        <v>65367</v>
      </c>
      <c r="O2892">
        <v>243</v>
      </c>
      <c r="P2892">
        <v>269</v>
      </c>
      <c r="Q2892" s="4">
        <v>65367</v>
      </c>
      <c r="R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 s="3">
        <v>42562</v>
      </c>
      <c r="AC2892" t="s">
        <v>53</v>
      </c>
      <c r="AD2892" t="s">
        <v>53</v>
      </c>
      <c r="AK2892">
        <v>0</v>
      </c>
      <c r="AU2892" s="3">
        <v>42492</v>
      </c>
      <c r="AV2892" s="3">
        <v>42492</v>
      </c>
      <c r="AW2892" t="s">
        <v>54</v>
      </c>
      <c r="AX2892" t="str">
        <f t="shared" si="341"/>
        <v>FOR</v>
      </c>
      <c r="AY2892" t="s">
        <v>55</v>
      </c>
    </row>
    <row r="2893" spans="1:51">
      <c r="A2893">
        <v>104093</v>
      </c>
      <c r="B2893" t="s">
        <v>360</v>
      </c>
      <c r="C2893" t="str">
        <f t="shared" si="339"/>
        <v>06032681006</v>
      </c>
      <c r="D2893" t="str">
        <f t="shared" si="340"/>
        <v>12572900152</v>
      </c>
      <c r="E2893" t="s">
        <v>52</v>
      </c>
      <c r="F2893">
        <v>2015</v>
      </c>
      <c r="G2893" t="str">
        <f>"            25250546"</f>
        <v xml:space="preserve">            25250546</v>
      </c>
      <c r="H2893" s="3">
        <v>42160</v>
      </c>
      <c r="I2893" s="3">
        <v>42164</v>
      </c>
      <c r="J2893" s="3">
        <v>42163</v>
      </c>
      <c r="K2893" s="3">
        <v>42223</v>
      </c>
      <c r="L2893" s="1">
        <v>72</v>
      </c>
      <c r="M2893">
        <v>269</v>
      </c>
      <c r="N2893" s="5">
        <v>19368</v>
      </c>
      <c r="O2893">
        <v>72</v>
      </c>
      <c r="P2893">
        <v>269</v>
      </c>
      <c r="Q2893" s="4">
        <v>19368</v>
      </c>
      <c r="R2893">
        <v>0</v>
      </c>
      <c r="V2893">
        <v>0</v>
      </c>
      <c r="W2893">
        <v>0</v>
      </c>
      <c r="X2893">
        <v>0</v>
      </c>
      <c r="Y2893">
        <v>0</v>
      </c>
      <c r="Z2893">
        <v>0</v>
      </c>
      <c r="AA2893">
        <v>0</v>
      </c>
      <c r="AB2893" s="3">
        <v>42562</v>
      </c>
      <c r="AC2893" t="s">
        <v>53</v>
      </c>
      <c r="AD2893" t="s">
        <v>53</v>
      </c>
      <c r="AK2893">
        <v>0</v>
      </c>
      <c r="AU2893" s="3">
        <v>42492</v>
      </c>
      <c r="AV2893" s="3">
        <v>42492</v>
      </c>
      <c r="AW2893" t="s">
        <v>54</v>
      </c>
      <c r="AX2893" t="str">
        <f t="shared" si="341"/>
        <v>FOR</v>
      </c>
      <c r="AY2893" t="s">
        <v>55</v>
      </c>
    </row>
    <row r="2894" spans="1:51">
      <c r="A2894">
        <v>104093</v>
      </c>
      <c r="B2894" t="s">
        <v>360</v>
      </c>
      <c r="C2894" t="str">
        <f t="shared" si="339"/>
        <v>06032681006</v>
      </c>
      <c r="D2894" t="str">
        <f t="shared" si="340"/>
        <v>12572900152</v>
      </c>
      <c r="E2894" t="s">
        <v>52</v>
      </c>
      <c r="F2894">
        <v>2015</v>
      </c>
      <c r="G2894" t="str">
        <f>"            25250547"</f>
        <v xml:space="preserve">            25250547</v>
      </c>
      <c r="H2894" s="3">
        <v>42160</v>
      </c>
      <c r="I2894" s="3">
        <v>42164</v>
      </c>
      <c r="J2894" s="3">
        <v>42163</v>
      </c>
      <c r="K2894" s="3">
        <v>42223</v>
      </c>
      <c r="L2894" s="1">
        <v>680.4</v>
      </c>
      <c r="M2894">
        <v>269</v>
      </c>
      <c r="N2894" s="5">
        <v>183027.6</v>
      </c>
      <c r="O2894">
        <v>680.4</v>
      </c>
      <c r="P2894">
        <v>269</v>
      </c>
      <c r="Q2894" s="4">
        <v>183027.6</v>
      </c>
      <c r="R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 s="3">
        <v>42562</v>
      </c>
      <c r="AC2894" t="s">
        <v>53</v>
      </c>
      <c r="AD2894" t="s">
        <v>53</v>
      </c>
      <c r="AK2894">
        <v>0</v>
      </c>
      <c r="AU2894" s="3">
        <v>42492</v>
      </c>
      <c r="AV2894" s="3">
        <v>42492</v>
      </c>
      <c r="AW2894" t="s">
        <v>54</v>
      </c>
      <c r="AX2894" t="str">
        <f t="shared" si="341"/>
        <v>FOR</v>
      </c>
      <c r="AY2894" t="s">
        <v>55</v>
      </c>
    </row>
    <row r="2895" spans="1:51">
      <c r="A2895">
        <v>104093</v>
      </c>
      <c r="B2895" t="s">
        <v>360</v>
      </c>
      <c r="C2895" t="str">
        <f t="shared" si="339"/>
        <v>06032681006</v>
      </c>
      <c r="D2895" t="str">
        <f t="shared" si="340"/>
        <v>12572900152</v>
      </c>
      <c r="E2895" t="s">
        <v>52</v>
      </c>
      <c r="F2895">
        <v>2015</v>
      </c>
      <c r="G2895" t="str">
        <f>"            25250587"</f>
        <v xml:space="preserve">            25250587</v>
      </c>
      <c r="H2895" s="3">
        <v>42160</v>
      </c>
      <c r="I2895" s="3">
        <v>42164</v>
      </c>
      <c r="J2895" s="3">
        <v>42163</v>
      </c>
      <c r="K2895" s="3">
        <v>42223</v>
      </c>
      <c r="L2895" s="1">
        <v>496.08</v>
      </c>
      <c r="M2895">
        <v>269</v>
      </c>
      <c r="N2895" s="5">
        <v>133445.51999999999</v>
      </c>
      <c r="O2895">
        <v>496.08</v>
      </c>
      <c r="P2895">
        <v>269</v>
      </c>
      <c r="Q2895" s="4">
        <v>133445.51999999999</v>
      </c>
      <c r="R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 s="3">
        <v>42562</v>
      </c>
      <c r="AC2895" t="s">
        <v>53</v>
      </c>
      <c r="AD2895" t="s">
        <v>53</v>
      </c>
      <c r="AK2895">
        <v>0</v>
      </c>
      <c r="AU2895" s="3">
        <v>42492</v>
      </c>
      <c r="AV2895" s="3">
        <v>42492</v>
      </c>
      <c r="AW2895" t="s">
        <v>54</v>
      </c>
      <c r="AX2895" t="str">
        <f t="shared" si="341"/>
        <v>FOR</v>
      </c>
      <c r="AY2895" t="s">
        <v>55</v>
      </c>
    </row>
    <row r="2896" spans="1:51">
      <c r="A2896">
        <v>104093</v>
      </c>
      <c r="B2896" t="s">
        <v>360</v>
      </c>
      <c r="C2896" t="str">
        <f t="shared" si="339"/>
        <v>06032681006</v>
      </c>
      <c r="D2896" t="str">
        <f t="shared" si="340"/>
        <v>12572900152</v>
      </c>
      <c r="E2896" t="s">
        <v>52</v>
      </c>
      <c r="F2896">
        <v>2015</v>
      </c>
      <c r="G2896" t="str">
        <f>"            25250633"</f>
        <v xml:space="preserve">            25250633</v>
      </c>
      <c r="H2896" s="3">
        <v>42160</v>
      </c>
      <c r="I2896" s="3">
        <v>42164</v>
      </c>
      <c r="J2896" s="3">
        <v>42163</v>
      </c>
      <c r="K2896" s="3">
        <v>42223</v>
      </c>
      <c r="L2896" s="5">
        <v>2842</v>
      </c>
      <c r="M2896">
        <v>269</v>
      </c>
      <c r="N2896" s="5">
        <v>764498</v>
      </c>
      <c r="O2896" s="4">
        <v>2842</v>
      </c>
      <c r="P2896">
        <v>269</v>
      </c>
      <c r="Q2896" s="4">
        <v>764498</v>
      </c>
      <c r="R2896">
        <v>0</v>
      </c>
      <c r="V2896">
        <v>0</v>
      </c>
      <c r="W2896">
        <v>0</v>
      </c>
      <c r="X2896">
        <v>0</v>
      </c>
      <c r="Y2896">
        <v>0</v>
      </c>
      <c r="Z2896">
        <v>0</v>
      </c>
      <c r="AA2896">
        <v>0</v>
      </c>
      <c r="AB2896" s="3">
        <v>42562</v>
      </c>
      <c r="AC2896" t="s">
        <v>53</v>
      </c>
      <c r="AD2896" t="s">
        <v>53</v>
      </c>
      <c r="AK2896">
        <v>0</v>
      </c>
      <c r="AU2896" s="3">
        <v>42492</v>
      </c>
      <c r="AV2896" s="3">
        <v>42492</v>
      </c>
      <c r="AW2896" t="s">
        <v>54</v>
      </c>
      <c r="AX2896" t="str">
        <f t="shared" si="341"/>
        <v>FOR</v>
      </c>
      <c r="AY2896" t="s">
        <v>55</v>
      </c>
    </row>
    <row r="2897" spans="1:51">
      <c r="A2897">
        <v>104093</v>
      </c>
      <c r="B2897" t="s">
        <v>360</v>
      </c>
      <c r="C2897" t="str">
        <f t="shared" si="339"/>
        <v>06032681006</v>
      </c>
      <c r="D2897" t="str">
        <f t="shared" si="340"/>
        <v>12572900152</v>
      </c>
      <c r="E2897" t="s">
        <v>52</v>
      </c>
      <c r="F2897">
        <v>2015</v>
      </c>
      <c r="G2897" t="str">
        <f>"            25250726"</f>
        <v xml:space="preserve">            25250726</v>
      </c>
      <c r="H2897" s="3">
        <v>42163</v>
      </c>
      <c r="I2897" s="3">
        <v>42165</v>
      </c>
      <c r="J2897" s="3">
        <v>42164</v>
      </c>
      <c r="K2897" s="3">
        <v>42224</v>
      </c>
      <c r="L2897" s="1">
        <v>900</v>
      </c>
      <c r="M2897">
        <v>268</v>
      </c>
      <c r="N2897" s="5">
        <v>241200</v>
      </c>
      <c r="O2897">
        <v>900</v>
      </c>
      <c r="P2897">
        <v>268</v>
      </c>
      <c r="Q2897" s="4">
        <v>241200</v>
      </c>
      <c r="R2897">
        <v>0</v>
      </c>
      <c r="V2897">
        <v>0</v>
      </c>
      <c r="W2897">
        <v>0</v>
      </c>
      <c r="X2897">
        <v>0</v>
      </c>
      <c r="Y2897">
        <v>0</v>
      </c>
      <c r="Z2897">
        <v>0</v>
      </c>
      <c r="AA2897">
        <v>0</v>
      </c>
      <c r="AB2897" s="3">
        <v>42562</v>
      </c>
      <c r="AC2897" t="s">
        <v>53</v>
      </c>
      <c r="AD2897" t="s">
        <v>53</v>
      </c>
      <c r="AK2897">
        <v>0</v>
      </c>
      <c r="AU2897" s="3">
        <v>42492</v>
      </c>
      <c r="AV2897" s="3">
        <v>42492</v>
      </c>
      <c r="AW2897" t="s">
        <v>54</v>
      </c>
      <c r="AX2897" t="str">
        <f t="shared" si="341"/>
        <v>FOR</v>
      </c>
      <c r="AY2897" t="s">
        <v>55</v>
      </c>
    </row>
    <row r="2898" spans="1:51">
      <c r="A2898">
        <v>104093</v>
      </c>
      <c r="B2898" t="s">
        <v>360</v>
      </c>
      <c r="C2898" t="str">
        <f t="shared" si="339"/>
        <v>06032681006</v>
      </c>
      <c r="D2898" t="str">
        <f t="shared" si="340"/>
        <v>12572900152</v>
      </c>
      <c r="E2898" t="s">
        <v>52</v>
      </c>
      <c r="F2898">
        <v>2015</v>
      </c>
      <c r="G2898" t="str">
        <f>"            25250752"</f>
        <v xml:space="preserve">            25250752</v>
      </c>
      <c r="H2898" s="3">
        <v>42163</v>
      </c>
      <c r="I2898" s="3">
        <v>42165</v>
      </c>
      <c r="J2898" s="3">
        <v>42164</v>
      </c>
      <c r="K2898" s="3">
        <v>42224</v>
      </c>
      <c r="L2898" s="1">
        <v>72</v>
      </c>
      <c r="M2898">
        <v>268</v>
      </c>
      <c r="N2898" s="5">
        <v>19296</v>
      </c>
      <c r="O2898">
        <v>72</v>
      </c>
      <c r="P2898">
        <v>268</v>
      </c>
      <c r="Q2898" s="4">
        <v>19296</v>
      </c>
      <c r="R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 s="3">
        <v>42562</v>
      </c>
      <c r="AC2898" t="s">
        <v>53</v>
      </c>
      <c r="AD2898" t="s">
        <v>53</v>
      </c>
      <c r="AK2898">
        <v>0</v>
      </c>
      <c r="AU2898" s="3">
        <v>42492</v>
      </c>
      <c r="AV2898" s="3">
        <v>42492</v>
      </c>
      <c r="AW2898" t="s">
        <v>54</v>
      </c>
      <c r="AX2898" t="str">
        <f t="shared" si="341"/>
        <v>FOR</v>
      </c>
      <c r="AY2898" t="s">
        <v>55</v>
      </c>
    </row>
    <row r="2899" spans="1:51">
      <c r="A2899">
        <v>104093</v>
      </c>
      <c r="B2899" t="s">
        <v>360</v>
      </c>
      <c r="C2899" t="str">
        <f t="shared" ref="C2899:C2933" si="342">"06032681006"</f>
        <v>06032681006</v>
      </c>
      <c r="D2899" t="str">
        <f t="shared" ref="D2899:D2933" si="343">"12572900152"</f>
        <v>12572900152</v>
      </c>
      <c r="E2899" t="s">
        <v>52</v>
      </c>
      <c r="F2899">
        <v>2015</v>
      </c>
      <c r="G2899" t="str">
        <f>"            25250760"</f>
        <v xml:space="preserve">            25250760</v>
      </c>
      <c r="H2899" s="3">
        <v>42163</v>
      </c>
      <c r="I2899" s="3">
        <v>42165</v>
      </c>
      <c r="J2899" s="3">
        <v>42164</v>
      </c>
      <c r="K2899" s="3">
        <v>42224</v>
      </c>
      <c r="L2899" s="1">
        <v>243</v>
      </c>
      <c r="M2899">
        <v>268</v>
      </c>
      <c r="N2899" s="5">
        <v>65124</v>
      </c>
      <c r="O2899">
        <v>243</v>
      </c>
      <c r="P2899">
        <v>268</v>
      </c>
      <c r="Q2899" s="4">
        <v>65124</v>
      </c>
      <c r="R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 s="3">
        <v>42562</v>
      </c>
      <c r="AC2899" t="s">
        <v>53</v>
      </c>
      <c r="AD2899" t="s">
        <v>53</v>
      </c>
      <c r="AK2899">
        <v>0</v>
      </c>
      <c r="AU2899" s="3">
        <v>42492</v>
      </c>
      <c r="AV2899" s="3">
        <v>42492</v>
      </c>
      <c r="AW2899" t="s">
        <v>54</v>
      </c>
      <c r="AX2899" t="str">
        <f t="shared" si="341"/>
        <v>FOR</v>
      </c>
      <c r="AY2899" t="s">
        <v>55</v>
      </c>
    </row>
    <row r="2900" spans="1:51">
      <c r="A2900">
        <v>104093</v>
      </c>
      <c r="B2900" t="s">
        <v>360</v>
      </c>
      <c r="C2900" t="str">
        <f t="shared" si="342"/>
        <v>06032681006</v>
      </c>
      <c r="D2900" t="str">
        <f t="shared" si="343"/>
        <v>12572900152</v>
      </c>
      <c r="E2900" t="s">
        <v>52</v>
      </c>
      <c r="F2900">
        <v>2015</v>
      </c>
      <c r="G2900" t="str">
        <f>"            25250784"</f>
        <v xml:space="preserve">            25250784</v>
      </c>
      <c r="H2900" s="3">
        <v>42163</v>
      </c>
      <c r="I2900" s="3">
        <v>42166</v>
      </c>
      <c r="J2900" s="3">
        <v>42164</v>
      </c>
      <c r="K2900" s="3">
        <v>42224</v>
      </c>
      <c r="L2900" s="5">
        <v>4540</v>
      </c>
      <c r="M2900">
        <v>268</v>
      </c>
      <c r="N2900" s="5">
        <v>1216720</v>
      </c>
      <c r="O2900" s="4">
        <v>4540</v>
      </c>
      <c r="P2900">
        <v>268</v>
      </c>
      <c r="Q2900" s="4">
        <v>1216720</v>
      </c>
      <c r="R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 s="3">
        <v>42562</v>
      </c>
      <c r="AC2900" t="s">
        <v>53</v>
      </c>
      <c r="AD2900" t="s">
        <v>53</v>
      </c>
      <c r="AK2900">
        <v>0</v>
      </c>
      <c r="AU2900" s="3">
        <v>42492</v>
      </c>
      <c r="AV2900" s="3">
        <v>42492</v>
      </c>
      <c r="AW2900" t="s">
        <v>54</v>
      </c>
      <c r="AX2900" t="str">
        <f t="shared" si="341"/>
        <v>FOR</v>
      </c>
      <c r="AY2900" t="s">
        <v>55</v>
      </c>
    </row>
    <row r="2901" spans="1:51">
      <c r="A2901">
        <v>104093</v>
      </c>
      <c r="B2901" t="s">
        <v>360</v>
      </c>
      <c r="C2901" t="str">
        <f t="shared" si="342"/>
        <v>06032681006</v>
      </c>
      <c r="D2901" t="str">
        <f t="shared" si="343"/>
        <v>12572900152</v>
      </c>
      <c r="E2901" t="s">
        <v>52</v>
      </c>
      <c r="F2901">
        <v>2015</v>
      </c>
      <c r="G2901" t="str">
        <f>"            25250878"</f>
        <v xml:space="preserve">            25250878</v>
      </c>
      <c r="H2901" s="3">
        <v>42163</v>
      </c>
      <c r="I2901" s="3">
        <v>42165</v>
      </c>
      <c r="J2901" s="3">
        <v>42164</v>
      </c>
      <c r="K2901" s="3">
        <v>42224</v>
      </c>
      <c r="L2901" s="1">
        <v>744.12</v>
      </c>
      <c r="M2901">
        <v>268</v>
      </c>
      <c r="N2901" s="5">
        <v>199424.16</v>
      </c>
      <c r="O2901">
        <v>744.12</v>
      </c>
      <c r="P2901">
        <v>268</v>
      </c>
      <c r="Q2901" s="4">
        <v>199424.16</v>
      </c>
      <c r="R2901">
        <v>0</v>
      </c>
      <c r="V2901">
        <v>0</v>
      </c>
      <c r="W2901">
        <v>0</v>
      </c>
      <c r="X2901">
        <v>0</v>
      </c>
      <c r="Y2901">
        <v>0</v>
      </c>
      <c r="Z2901">
        <v>0</v>
      </c>
      <c r="AA2901">
        <v>0</v>
      </c>
      <c r="AB2901" s="3">
        <v>42562</v>
      </c>
      <c r="AC2901" t="s">
        <v>53</v>
      </c>
      <c r="AD2901" t="s">
        <v>53</v>
      </c>
      <c r="AK2901">
        <v>0</v>
      </c>
      <c r="AU2901" s="3">
        <v>42492</v>
      </c>
      <c r="AV2901" s="3">
        <v>42492</v>
      </c>
      <c r="AW2901" t="s">
        <v>54</v>
      </c>
      <c r="AX2901" t="str">
        <f t="shared" si="341"/>
        <v>FOR</v>
      </c>
      <c r="AY2901" t="s">
        <v>55</v>
      </c>
    </row>
    <row r="2902" spans="1:51">
      <c r="A2902">
        <v>104093</v>
      </c>
      <c r="B2902" t="s">
        <v>360</v>
      </c>
      <c r="C2902" t="str">
        <f t="shared" si="342"/>
        <v>06032681006</v>
      </c>
      <c r="D2902" t="str">
        <f t="shared" si="343"/>
        <v>12572900152</v>
      </c>
      <c r="E2902" t="s">
        <v>52</v>
      </c>
      <c r="F2902">
        <v>2015</v>
      </c>
      <c r="G2902" t="str">
        <f>"            25251447"</f>
        <v xml:space="preserve">            25251447</v>
      </c>
      <c r="H2902" s="3">
        <v>42166</v>
      </c>
      <c r="I2902" s="3">
        <v>42170</v>
      </c>
      <c r="J2902" s="3">
        <v>42168</v>
      </c>
      <c r="K2902" s="3">
        <v>42228</v>
      </c>
      <c r="L2902" s="1">
        <v>72</v>
      </c>
      <c r="M2902">
        <v>264</v>
      </c>
      <c r="N2902" s="5">
        <v>19008</v>
      </c>
      <c r="O2902">
        <v>72</v>
      </c>
      <c r="P2902">
        <v>264</v>
      </c>
      <c r="Q2902" s="4">
        <v>19008</v>
      </c>
      <c r="R2902">
        <v>0</v>
      </c>
      <c r="V2902">
        <v>0</v>
      </c>
      <c r="W2902">
        <v>0</v>
      </c>
      <c r="X2902">
        <v>0</v>
      </c>
      <c r="Y2902">
        <v>0</v>
      </c>
      <c r="Z2902">
        <v>0</v>
      </c>
      <c r="AA2902">
        <v>0</v>
      </c>
      <c r="AB2902" s="3">
        <v>42562</v>
      </c>
      <c r="AC2902" t="s">
        <v>53</v>
      </c>
      <c r="AD2902" t="s">
        <v>53</v>
      </c>
      <c r="AK2902">
        <v>0</v>
      </c>
      <c r="AU2902" s="3">
        <v>42492</v>
      </c>
      <c r="AV2902" s="3">
        <v>42492</v>
      </c>
      <c r="AW2902" t="s">
        <v>54</v>
      </c>
      <c r="AX2902" t="str">
        <f t="shared" si="341"/>
        <v>FOR</v>
      </c>
      <c r="AY2902" t="s">
        <v>55</v>
      </c>
    </row>
    <row r="2903" spans="1:51">
      <c r="A2903">
        <v>104093</v>
      </c>
      <c r="B2903" t="s">
        <v>360</v>
      </c>
      <c r="C2903" t="str">
        <f t="shared" si="342"/>
        <v>06032681006</v>
      </c>
      <c r="D2903" t="str">
        <f t="shared" si="343"/>
        <v>12572900152</v>
      </c>
      <c r="E2903" t="s">
        <v>52</v>
      </c>
      <c r="F2903">
        <v>2015</v>
      </c>
      <c r="G2903" t="str">
        <f>"            25251498"</f>
        <v xml:space="preserve">            25251498</v>
      </c>
      <c r="H2903" s="3">
        <v>42166</v>
      </c>
      <c r="I2903" s="3">
        <v>42170</v>
      </c>
      <c r="J2903" s="3">
        <v>42168</v>
      </c>
      <c r="K2903" s="3">
        <v>42228</v>
      </c>
      <c r="L2903" s="1">
        <v>243</v>
      </c>
      <c r="M2903">
        <v>264</v>
      </c>
      <c r="N2903" s="5">
        <v>64152</v>
      </c>
      <c r="O2903">
        <v>243</v>
      </c>
      <c r="P2903">
        <v>264</v>
      </c>
      <c r="Q2903" s="4">
        <v>64152</v>
      </c>
      <c r="R2903">
        <v>0</v>
      </c>
      <c r="V2903">
        <v>0</v>
      </c>
      <c r="W2903">
        <v>0</v>
      </c>
      <c r="X2903">
        <v>0</v>
      </c>
      <c r="Y2903">
        <v>0</v>
      </c>
      <c r="Z2903">
        <v>0</v>
      </c>
      <c r="AA2903">
        <v>0</v>
      </c>
      <c r="AB2903" s="3">
        <v>42562</v>
      </c>
      <c r="AC2903" t="s">
        <v>53</v>
      </c>
      <c r="AD2903" t="s">
        <v>53</v>
      </c>
      <c r="AK2903">
        <v>0</v>
      </c>
      <c r="AU2903" s="3">
        <v>42492</v>
      </c>
      <c r="AV2903" s="3">
        <v>42492</v>
      </c>
      <c r="AW2903" t="s">
        <v>54</v>
      </c>
      <c r="AX2903" t="str">
        <f t="shared" si="341"/>
        <v>FOR</v>
      </c>
      <c r="AY2903" t="s">
        <v>55</v>
      </c>
    </row>
    <row r="2904" spans="1:51">
      <c r="A2904">
        <v>104093</v>
      </c>
      <c r="B2904" t="s">
        <v>360</v>
      </c>
      <c r="C2904" t="str">
        <f t="shared" si="342"/>
        <v>06032681006</v>
      </c>
      <c r="D2904" t="str">
        <f t="shared" si="343"/>
        <v>12572900152</v>
      </c>
      <c r="E2904" t="s">
        <v>52</v>
      </c>
      <c r="F2904">
        <v>2015</v>
      </c>
      <c r="G2904" t="str">
        <f>"            25251506"</f>
        <v xml:space="preserve">            25251506</v>
      </c>
      <c r="H2904" s="3">
        <v>42166</v>
      </c>
      <c r="I2904" s="3">
        <v>42170</v>
      </c>
      <c r="J2904" s="3">
        <v>42170</v>
      </c>
      <c r="K2904" s="3">
        <v>42230</v>
      </c>
      <c r="L2904" s="1">
        <v>680.4</v>
      </c>
      <c r="M2904">
        <v>262</v>
      </c>
      <c r="N2904" s="5">
        <v>178264.8</v>
      </c>
      <c r="O2904">
        <v>680.4</v>
      </c>
      <c r="P2904">
        <v>262</v>
      </c>
      <c r="Q2904" s="4">
        <v>178264.8</v>
      </c>
      <c r="R2904">
        <v>0</v>
      </c>
      <c r="V2904">
        <v>0</v>
      </c>
      <c r="W2904">
        <v>0</v>
      </c>
      <c r="X2904">
        <v>0</v>
      </c>
      <c r="Y2904">
        <v>0</v>
      </c>
      <c r="Z2904">
        <v>0</v>
      </c>
      <c r="AA2904">
        <v>0</v>
      </c>
      <c r="AB2904" s="3">
        <v>42562</v>
      </c>
      <c r="AC2904" t="s">
        <v>53</v>
      </c>
      <c r="AD2904" t="s">
        <v>53</v>
      </c>
      <c r="AK2904">
        <v>0</v>
      </c>
      <c r="AU2904" s="3">
        <v>42492</v>
      </c>
      <c r="AV2904" s="3">
        <v>42492</v>
      </c>
      <c r="AW2904" t="s">
        <v>54</v>
      </c>
      <c r="AX2904" t="str">
        <f t="shared" si="341"/>
        <v>FOR</v>
      </c>
      <c r="AY2904" t="s">
        <v>55</v>
      </c>
    </row>
    <row r="2905" spans="1:51">
      <c r="A2905">
        <v>104093</v>
      </c>
      <c r="B2905" t="s">
        <v>360</v>
      </c>
      <c r="C2905" t="str">
        <f t="shared" si="342"/>
        <v>06032681006</v>
      </c>
      <c r="D2905" t="str">
        <f t="shared" si="343"/>
        <v>12572900152</v>
      </c>
      <c r="E2905" t="s">
        <v>52</v>
      </c>
      <c r="F2905">
        <v>2015</v>
      </c>
      <c r="G2905" t="str">
        <f>"            25251892"</f>
        <v xml:space="preserve">            25251892</v>
      </c>
      <c r="H2905" s="3">
        <v>42167</v>
      </c>
      <c r="I2905" s="3">
        <v>42171</v>
      </c>
      <c r="J2905" s="3">
        <v>42170</v>
      </c>
      <c r="K2905" s="3">
        <v>42230</v>
      </c>
      <c r="L2905" s="1">
        <v>207</v>
      </c>
      <c r="M2905">
        <v>262</v>
      </c>
      <c r="N2905" s="5">
        <v>54234</v>
      </c>
      <c r="O2905">
        <v>207</v>
      </c>
      <c r="P2905">
        <v>262</v>
      </c>
      <c r="Q2905" s="4">
        <v>54234</v>
      </c>
      <c r="R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 s="3">
        <v>42562</v>
      </c>
      <c r="AC2905" t="s">
        <v>53</v>
      </c>
      <c r="AD2905" t="s">
        <v>53</v>
      </c>
      <c r="AK2905">
        <v>0</v>
      </c>
      <c r="AU2905" s="3">
        <v>42492</v>
      </c>
      <c r="AV2905" s="3">
        <v>42492</v>
      </c>
      <c r="AW2905" t="s">
        <v>54</v>
      </c>
      <c r="AX2905" t="str">
        <f t="shared" si="341"/>
        <v>FOR</v>
      </c>
      <c r="AY2905" t="s">
        <v>55</v>
      </c>
    </row>
    <row r="2906" spans="1:51">
      <c r="A2906">
        <v>104093</v>
      </c>
      <c r="B2906" t="s">
        <v>360</v>
      </c>
      <c r="C2906" t="str">
        <f t="shared" si="342"/>
        <v>06032681006</v>
      </c>
      <c r="D2906" t="str">
        <f t="shared" si="343"/>
        <v>12572900152</v>
      </c>
      <c r="E2906" t="s">
        <v>52</v>
      </c>
      <c r="F2906">
        <v>2015</v>
      </c>
      <c r="G2906" t="str">
        <f>"            25252020"</f>
        <v xml:space="preserve">            25252020</v>
      </c>
      <c r="H2906" s="3">
        <v>42169</v>
      </c>
      <c r="I2906" s="3">
        <v>42171</v>
      </c>
      <c r="J2906" s="3">
        <v>42170</v>
      </c>
      <c r="K2906" s="3">
        <v>42230</v>
      </c>
      <c r="L2906" s="1">
        <v>243</v>
      </c>
      <c r="M2906">
        <v>262</v>
      </c>
      <c r="N2906" s="5">
        <v>63666</v>
      </c>
      <c r="O2906">
        <v>243</v>
      </c>
      <c r="P2906">
        <v>262</v>
      </c>
      <c r="Q2906" s="4">
        <v>63666</v>
      </c>
      <c r="R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 s="3">
        <v>42562</v>
      </c>
      <c r="AC2906" t="s">
        <v>53</v>
      </c>
      <c r="AD2906" t="s">
        <v>53</v>
      </c>
      <c r="AK2906">
        <v>0</v>
      </c>
      <c r="AU2906" s="3">
        <v>42492</v>
      </c>
      <c r="AV2906" s="3">
        <v>42492</v>
      </c>
      <c r="AW2906" t="s">
        <v>54</v>
      </c>
      <c r="AX2906" t="str">
        <f t="shared" si="341"/>
        <v>FOR</v>
      </c>
      <c r="AY2906" t="s">
        <v>55</v>
      </c>
    </row>
    <row r="2907" spans="1:51">
      <c r="A2907">
        <v>104093</v>
      </c>
      <c r="B2907" t="s">
        <v>360</v>
      </c>
      <c r="C2907" t="str">
        <f t="shared" si="342"/>
        <v>06032681006</v>
      </c>
      <c r="D2907" t="str">
        <f t="shared" si="343"/>
        <v>12572900152</v>
      </c>
      <c r="E2907" t="s">
        <v>52</v>
      </c>
      <c r="F2907">
        <v>2015</v>
      </c>
      <c r="G2907" t="str">
        <f>"            25252021"</f>
        <v xml:space="preserve">            25252021</v>
      </c>
      <c r="H2907" s="3">
        <v>42169</v>
      </c>
      <c r="I2907" s="3">
        <v>42171</v>
      </c>
      <c r="J2907" s="3">
        <v>42170</v>
      </c>
      <c r="K2907" s="3">
        <v>42230</v>
      </c>
      <c r="L2907" s="1">
        <v>680.4</v>
      </c>
      <c r="M2907">
        <v>262</v>
      </c>
      <c r="N2907" s="5">
        <v>178264.8</v>
      </c>
      <c r="O2907">
        <v>680.4</v>
      </c>
      <c r="P2907">
        <v>262</v>
      </c>
      <c r="Q2907" s="4">
        <v>178264.8</v>
      </c>
      <c r="R2907">
        <v>0</v>
      </c>
      <c r="V2907">
        <v>0</v>
      </c>
      <c r="W2907">
        <v>0</v>
      </c>
      <c r="X2907">
        <v>0</v>
      </c>
      <c r="Y2907">
        <v>0</v>
      </c>
      <c r="Z2907">
        <v>0</v>
      </c>
      <c r="AA2907">
        <v>0</v>
      </c>
      <c r="AB2907" s="3">
        <v>42562</v>
      </c>
      <c r="AC2907" t="s">
        <v>53</v>
      </c>
      <c r="AD2907" t="s">
        <v>53</v>
      </c>
      <c r="AK2907">
        <v>0</v>
      </c>
      <c r="AU2907" s="3">
        <v>42492</v>
      </c>
      <c r="AV2907" s="3">
        <v>42492</v>
      </c>
      <c r="AW2907" t="s">
        <v>54</v>
      </c>
      <c r="AX2907" t="str">
        <f t="shared" si="341"/>
        <v>FOR</v>
      </c>
      <c r="AY2907" t="s">
        <v>55</v>
      </c>
    </row>
    <row r="2908" spans="1:51">
      <c r="A2908">
        <v>104093</v>
      </c>
      <c r="B2908" t="s">
        <v>360</v>
      </c>
      <c r="C2908" t="str">
        <f t="shared" si="342"/>
        <v>06032681006</v>
      </c>
      <c r="D2908" t="str">
        <f t="shared" si="343"/>
        <v>12572900152</v>
      </c>
      <c r="E2908" t="s">
        <v>52</v>
      </c>
      <c r="F2908">
        <v>2015</v>
      </c>
      <c r="G2908" t="str">
        <f>"            25252493"</f>
        <v xml:space="preserve">            25252493</v>
      </c>
      <c r="H2908" s="3">
        <v>42172</v>
      </c>
      <c r="I2908" s="3">
        <v>42174</v>
      </c>
      <c r="J2908" s="3">
        <v>42173</v>
      </c>
      <c r="K2908" s="3">
        <v>42233</v>
      </c>
      <c r="L2908" s="1">
        <v>900</v>
      </c>
      <c r="M2908">
        <v>259</v>
      </c>
      <c r="N2908" s="5">
        <v>233100</v>
      </c>
      <c r="O2908">
        <v>900</v>
      </c>
      <c r="P2908">
        <v>259</v>
      </c>
      <c r="Q2908" s="4">
        <v>233100</v>
      </c>
      <c r="R2908">
        <v>0</v>
      </c>
      <c r="V2908">
        <v>0</v>
      </c>
      <c r="W2908">
        <v>0</v>
      </c>
      <c r="X2908">
        <v>0</v>
      </c>
      <c r="Y2908">
        <v>0</v>
      </c>
      <c r="Z2908">
        <v>0</v>
      </c>
      <c r="AA2908">
        <v>0</v>
      </c>
      <c r="AB2908" s="3">
        <v>42562</v>
      </c>
      <c r="AC2908" t="s">
        <v>53</v>
      </c>
      <c r="AD2908" t="s">
        <v>53</v>
      </c>
      <c r="AK2908">
        <v>0</v>
      </c>
      <c r="AU2908" s="3">
        <v>42492</v>
      </c>
      <c r="AV2908" s="3">
        <v>42492</v>
      </c>
      <c r="AW2908" t="s">
        <v>54</v>
      </c>
      <c r="AX2908" t="str">
        <f t="shared" si="341"/>
        <v>FOR</v>
      </c>
      <c r="AY2908" t="s">
        <v>55</v>
      </c>
    </row>
    <row r="2909" spans="1:51">
      <c r="A2909">
        <v>104093</v>
      </c>
      <c r="B2909" t="s">
        <v>360</v>
      </c>
      <c r="C2909" t="str">
        <f t="shared" si="342"/>
        <v>06032681006</v>
      </c>
      <c r="D2909" t="str">
        <f t="shared" si="343"/>
        <v>12572900152</v>
      </c>
      <c r="E2909" t="s">
        <v>52</v>
      </c>
      <c r="F2909">
        <v>2015</v>
      </c>
      <c r="G2909" t="str">
        <f>"            25252814"</f>
        <v xml:space="preserve">            25252814</v>
      </c>
      <c r="H2909" s="3">
        <v>42173</v>
      </c>
      <c r="I2909" s="3">
        <v>42177</v>
      </c>
      <c r="J2909" s="3">
        <v>42174</v>
      </c>
      <c r="K2909" s="3">
        <v>42234</v>
      </c>
      <c r="L2909" s="1">
        <v>72</v>
      </c>
      <c r="M2909">
        <v>258</v>
      </c>
      <c r="N2909" s="5">
        <v>18576</v>
      </c>
      <c r="O2909">
        <v>72</v>
      </c>
      <c r="P2909">
        <v>258</v>
      </c>
      <c r="Q2909" s="4">
        <v>18576</v>
      </c>
      <c r="R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 s="3">
        <v>42562</v>
      </c>
      <c r="AC2909" t="s">
        <v>53</v>
      </c>
      <c r="AD2909" t="s">
        <v>53</v>
      </c>
      <c r="AK2909">
        <v>0</v>
      </c>
      <c r="AU2909" s="3">
        <v>42492</v>
      </c>
      <c r="AV2909" s="3">
        <v>42492</v>
      </c>
      <c r="AW2909" t="s">
        <v>54</v>
      </c>
      <c r="AX2909" t="str">
        <f t="shared" si="341"/>
        <v>FOR</v>
      </c>
      <c r="AY2909" t="s">
        <v>55</v>
      </c>
    </row>
    <row r="2910" spans="1:51">
      <c r="A2910">
        <v>104093</v>
      </c>
      <c r="B2910" t="s">
        <v>360</v>
      </c>
      <c r="C2910" t="str">
        <f t="shared" si="342"/>
        <v>06032681006</v>
      </c>
      <c r="D2910" t="str">
        <f t="shared" si="343"/>
        <v>12572900152</v>
      </c>
      <c r="E2910" t="s">
        <v>52</v>
      </c>
      <c r="F2910">
        <v>2015</v>
      </c>
      <c r="G2910" t="str">
        <f>"            25252815"</f>
        <v xml:space="preserve">            25252815</v>
      </c>
      <c r="H2910" s="3">
        <v>42173</v>
      </c>
      <c r="I2910" s="3">
        <v>42177</v>
      </c>
      <c r="J2910" s="3">
        <v>42174</v>
      </c>
      <c r="K2910" s="3">
        <v>42234</v>
      </c>
      <c r="L2910" s="1">
        <v>72</v>
      </c>
      <c r="M2910">
        <v>258</v>
      </c>
      <c r="N2910" s="5">
        <v>18576</v>
      </c>
      <c r="O2910">
        <v>72</v>
      </c>
      <c r="P2910">
        <v>258</v>
      </c>
      <c r="Q2910" s="4">
        <v>18576</v>
      </c>
      <c r="R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 s="3">
        <v>42562</v>
      </c>
      <c r="AC2910" t="s">
        <v>53</v>
      </c>
      <c r="AD2910" t="s">
        <v>53</v>
      </c>
      <c r="AK2910">
        <v>0</v>
      </c>
      <c r="AU2910" s="3">
        <v>42492</v>
      </c>
      <c r="AV2910" s="3">
        <v>42492</v>
      </c>
      <c r="AW2910" t="s">
        <v>54</v>
      </c>
      <c r="AX2910" t="str">
        <f t="shared" si="341"/>
        <v>FOR</v>
      </c>
      <c r="AY2910" t="s">
        <v>55</v>
      </c>
    </row>
    <row r="2911" spans="1:51">
      <c r="A2911">
        <v>104093</v>
      </c>
      <c r="B2911" t="s">
        <v>360</v>
      </c>
      <c r="C2911" t="str">
        <f t="shared" si="342"/>
        <v>06032681006</v>
      </c>
      <c r="D2911" t="str">
        <f t="shared" si="343"/>
        <v>12572900152</v>
      </c>
      <c r="E2911" t="s">
        <v>52</v>
      </c>
      <c r="F2911">
        <v>2015</v>
      </c>
      <c r="G2911" t="str">
        <f>"            25252816"</f>
        <v xml:space="preserve">            25252816</v>
      </c>
      <c r="H2911" s="3">
        <v>42173</v>
      </c>
      <c r="I2911" s="3">
        <v>42177</v>
      </c>
      <c r="J2911" s="3">
        <v>42174</v>
      </c>
      <c r="K2911" s="3">
        <v>42234</v>
      </c>
      <c r="L2911" s="1">
        <v>72</v>
      </c>
      <c r="M2911">
        <v>258</v>
      </c>
      <c r="N2911" s="5">
        <v>18576</v>
      </c>
      <c r="O2911">
        <v>72</v>
      </c>
      <c r="P2911">
        <v>258</v>
      </c>
      <c r="Q2911" s="4">
        <v>18576</v>
      </c>
      <c r="R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 s="3">
        <v>42562</v>
      </c>
      <c r="AC2911" t="s">
        <v>53</v>
      </c>
      <c r="AD2911" t="s">
        <v>53</v>
      </c>
      <c r="AK2911">
        <v>0</v>
      </c>
      <c r="AU2911" s="3">
        <v>42492</v>
      </c>
      <c r="AV2911" s="3">
        <v>42492</v>
      </c>
      <c r="AW2911" t="s">
        <v>54</v>
      </c>
      <c r="AX2911" t="str">
        <f t="shared" si="341"/>
        <v>FOR</v>
      </c>
      <c r="AY2911" t="s">
        <v>55</v>
      </c>
    </row>
    <row r="2912" spans="1:51">
      <c r="A2912">
        <v>104093</v>
      </c>
      <c r="B2912" t="s">
        <v>360</v>
      </c>
      <c r="C2912" t="str">
        <f t="shared" si="342"/>
        <v>06032681006</v>
      </c>
      <c r="D2912" t="str">
        <f t="shared" si="343"/>
        <v>12572900152</v>
      </c>
      <c r="E2912" t="s">
        <v>52</v>
      </c>
      <c r="F2912">
        <v>2015</v>
      </c>
      <c r="G2912" t="str">
        <f>"            25252817"</f>
        <v xml:space="preserve">            25252817</v>
      </c>
      <c r="H2912" s="3">
        <v>42173</v>
      </c>
      <c r="I2912" s="3">
        <v>42177</v>
      </c>
      <c r="J2912" s="3">
        <v>42174</v>
      </c>
      <c r="K2912" s="3">
        <v>42234</v>
      </c>
      <c r="L2912" s="1">
        <v>72</v>
      </c>
      <c r="M2912">
        <v>258</v>
      </c>
      <c r="N2912" s="5">
        <v>18576</v>
      </c>
      <c r="O2912">
        <v>72</v>
      </c>
      <c r="P2912">
        <v>258</v>
      </c>
      <c r="Q2912" s="4">
        <v>18576</v>
      </c>
      <c r="R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 s="3">
        <v>42562</v>
      </c>
      <c r="AC2912" t="s">
        <v>53</v>
      </c>
      <c r="AD2912" t="s">
        <v>53</v>
      </c>
      <c r="AK2912">
        <v>0</v>
      </c>
      <c r="AU2912" s="3">
        <v>42492</v>
      </c>
      <c r="AV2912" s="3">
        <v>42492</v>
      </c>
      <c r="AW2912" t="s">
        <v>54</v>
      </c>
      <c r="AX2912" t="str">
        <f t="shared" si="341"/>
        <v>FOR</v>
      </c>
      <c r="AY2912" t="s">
        <v>55</v>
      </c>
    </row>
    <row r="2913" spans="1:51">
      <c r="A2913">
        <v>104093</v>
      </c>
      <c r="B2913" t="s">
        <v>360</v>
      </c>
      <c r="C2913" t="str">
        <f t="shared" si="342"/>
        <v>06032681006</v>
      </c>
      <c r="D2913" t="str">
        <f t="shared" si="343"/>
        <v>12572900152</v>
      </c>
      <c r="E2913" t="s">
        <v>52</v>
      </c>
      <c r="F2913">
        <v>2015</v>
      </c>
      <c r="G2913" t="str">
        <f>"            25252833"</f>
        <v xml:space="preserve">            25252833</v>
      </c>
      <c r="H2913" s="3">
        <v>42173</v>
      </c>
      <c r="I2913" s="3">
        <v>42177</v>
      </c>
      <c r="J2913" s="3">
        <v>42174</v>
      </c>
      <c r="K2913" s="3">
        <v>42234</v>
      </c>
      <c r="L2913" s="1">
        <v>72</v>
      </c>
      <c r="M2913">
        <v>258</v>
      </c>
      <c r="N2913" s="5">
        <v>18576</v>
      </c>
      <c r="O2913">
        <v>72</v>
      </c>
      <c r="P2913">
        <v>258</v>
      </c>
      <c r="Q2913" s="4">
        <v>18576</v>
      </c>
      <c r="R2913">
        <v>0</v>
      </c>
      <c r="V2913">
        <v>0</v>
      </c>
      <c r="W2913">
        <v>0</v>
      </c>
      <c r="X2913">
        <v>0</v>
      </c>
      <c r="Y2913">
        <v>0</v>
      </c>
      <c r="Z2913">
        <v>0</v>
      </c>
      <c r="AA2913">
        <v>0</v>
      </c>
      <c r="AB2913" s="3">
        <v>42562</v>
      </c>
      <c r="AC2913" t="s">
        <v>53</v>
      </c>
      <c r="AD2913" t="s">
        <v>53</v>
      </c>
      <c r="AK2913">
        <v>0</v>
      </c>
      <c r="AU2913" s="3">
        <v>42492</v>
      </c>
      <c r="AV2913" s="3">
        <v>42492</v>
      </c>
      <c r="AW2913" t="s">
        <v>54</v>
      </c>
      <c r="AX2913" t="str">
        <f t="shared" si="341"/>
        <v>FOR</v>
      </c>
      <c r="AY2913" t="s">
        <v>55</v>
      </c>
    </row>
    <row r="2914" spans="1:51">
      <c r="A2914">
        <v>104093</v>
      </c>
      <c r="B2914" t="s">
        <v>360</v>
      </c>
      <c r="C2914" t="str">
        <f t="shared" si="342"/>
        <v>06032681006</v>
      </c>
      <c r="D2914" t="str">
        <f t="shared" si="343"/>
        <v>12572900152</v>
      </c>
      <c r="E2914" t="s">
        <v>52</v>
      </c>
      <c r="F2914">
        <v>2015</v>
      </c>
      <c r="G2914" t="str">
        <f>"            25252837"</f>
        <v xml:space="preserve">            25252837</v>
      </c>
      <c r="H2914" s="3">
        <v>42173</v>
      </c>
      <c r="I2914" s="3">
        <v>42177</v>
      </c>
      <c r="J2914" s="3">
        <v>42174</v>
      </c>
      <c r="K2914" s="3">
        <v>42234</v>
      </c>
      <c r="L2914" s="1">
        <v>900</v>
      </c>
      <c r="M2914">
        <v>258</v>
      </c>
      <c r="N2914" s="5">
        <v>232200</v>
      </c>
      <c r="O2914">
        <v>900</v>
      </c>
      <c r="P2914">
        <v>258</v>
      </c>
      <c r="Q2914" s="4">
        <v>232200</v>
      </c>
      <c r="R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 s="3">
        <v>42562</v>
      </c>
      <c r="AC2914" t="s">
        <v>53</v>
      </c>
      <c r="AD2914" t="s">
        <v>53</v>
      </c>
      <c r="AK2914">
        <v>0</v>
      </c>
      <c r="AU2914" s="3">
        <v>42492</v>
      </c>
      <c r="AV2914" s="3">
        <v>42492</v>
      </c>
      <c r="AW2914" t="s">
        <v>54</v>
      </c>
      <c r="AX2914" t="str">
        <f t="shared" si="341"/>
        <v>FOR</v>
      </c>
      <c r="AY2914" t="s">
        <v>55</v>
      </c>
    </row>
    <row r="2915" spans="1:51">
      <c r="A2915">
        <v>104093</v>
      </c>
      <c r="B2915" t="s">
        <v>360</v>
      </c>
      <c r="C2915" t="str">
        <f t="shared" si="342"/>
        <v>06032681006</v>
      </c>
      <c r="D2915" t="str">
        <f t="shared" si="343"/>
        <v>12572900152</v>
      </c>
      <c r="E2915" t="s">
        <v>52</v>
      </c>
      <c r="F2915">
        <v>2015</v>
      </c>
      <c r="G2915" t="str">
        <f>"            25252844"</f>
        <v xml:space="preserve">            25252844</v>
      </c>
      <c r="H2915" s="3">
        <v>42173</v>
      </c>
      <c r="I2915" s="3">
        <v>42177</v>
      </c>
      <c r="J2915" s="3">
        <v>42174</v>
      </c>
      <c r="K2915" s="3">
        <v>42234</v>
      </c>
      <c r="L2915" s="1">
        <v>72</v>
      </c>
      <c r="M2915">
        <v>258</v>
      </c>
      <c r="N2915" s="5">
        <v>18576</v>
      </c>
      <c r="O2915">
        <v>72</v>
      </c>
      <c r="P2915">
        <v>258</v>
      </c>
      <c r="Q2915" s="4">
        <v>18576</v>
      </c>
      <c r="R2915">
        <v>0</v>
      </c>
      <c r="V2915">
        <v>0</v>
      </c>
      <c r="W2915">
        <v>0</v>
      </c>
      <c r="X2915">
        <v>0</v>
      </c>
      <c r="Y2915">
        <v>0</v>
      </c>
      <c r="Z2915">
        <v>0</v>
      </c>
      <c r="AA2915">
        <v>0</v>
      </c>
      <c r="AB2915" s="3">
        <v>42562</v>
      </c>
      <c r="AC2915" t="s">
        <v>53</v>
      </c>
      <c r="AD2915" t="s">
        <v>53</v>
      </c>
      <c r="AK2915">
        <v>0</v>
      </c>
      <c r="AU2915" s="3">
        <v>42492</v>
      </c>
      <c r="AV2915" s="3">
        <v>42492</v>
      </c>
      <c r="AW2915" t="s">
        <v>54</v>
      </c>
      <c r="AX2915" t="str">
        <f t="shared" si="341"/>
        <v>FOR</v>
      </c>
      <c r="AY2915" t="s">
        <v>55</v>
      </c>
    </row>
    <row r="2916" spans="1:51">
      <c r="A2916">
        <v>104093</v>
      </c>
      <c r="B2916" t="s">
        <v>360</v>
      </c>
      <c r="C2916" t="str">
        <f t="shared" si="342"/>
        <v>06032681006</v>
      </c>
      <c r="D2916" t="str">
        <f t="shared" si="343"/>
        <v>12572900152</v>
      </c>
      <c r="E2916" t="s">
        <v>52</v>
      </c>
      <c r="F2916">
        <v>2015</v>
      </c>
      <c r="G2916" t="str">
        <f>"            25252850"</f>
        <v xml:space="preserve">            25252850</v>
      </c>
      <c r="H2916" s="3">
        <v>42173</v>
      </c>
      <c r="I2916" s="3">
        <v>42177</v>
      </c>
      <c r="J2916" s="3">
        <v>42174</v>
      </c>
      <c r="K2916" s="3">
        <v>42234</v>
      </c>
      <c r="L2916" s="1">
        <v>680.4</v>
      </c>
      <c r="M2916">
        <v>258</v>
      </c>
      <c r="N2916" s="5">
        <v>175543.2</v>
      </c>
      <c r="O2916">
        <v>680.4</v>
      </c>
      <c r="P2916">
        <v>258</v>
      </c>
      <c r="Q2916" s="4">
        <v>175543.2</v>
      </c>
      <c r="R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 s="3">
        <v>42562</v>
      </c>
      <c r="AC2916" t="s">
        <v>53</v>
      </c>
      <c r="AD2916" t="s">
        <v>53</v>
      </c>
      <c r="AK2916">
        <v>0</v>
      </c>
      <c r="AU2916" s="3">
        <v>42492</v>
      </c>
      <c r="AV2916" s="3">
        <v>42492</v>
      </c>
      <c r="AW2916" t="s">
        <v>54</v>
      </c>
      <c r="AX2916" t="str">
        <f t="shared" si="341"/>
        <v>FOR</v>
      </c>
      <c r="AY2916" t="s">
        <v>55</v>
      </c>
    </row>
    <row r="2917" spans="1:51">
      <c r="A2917">
        <v>104093</v>
      </c>
      <c r="B2917" t="s">
        <v>360</v>
      </c>
      <c r="C2917" t="str">
        <f t="shared" si="342"/>
        <v>06032681006</v>
      </c>
      <c r="D2917" t="str">
        <f t="shared" si="343"/>
        <v>12572900152</v>
      </c>
      <c r="E2917" t="s">
        <v>52</v>
      </c>
      <c r="F2917">
        <v>2015</v>
      </c>
      <c r="G2917" t="str">
        <f>"            25252851"</f>
        <v xml:space="preserve">            25252851</v>
      </c>
      <c r="H2917" s="3">
        <v>42173</v>
      </c>
      <c r="I2917" s="3">
        <v>42177</v>
      </c>
      <c r="J2917" s="3">
        <v>42174</v>
      </c>
      <c r="K2917" s="3">
        <v>42234</v>
      </c>
      <c r="L2917" s="1">
        <v>243</v>
      </c>
      <c r="M2917">
        <v>258</v>
      </c>
      <c r="N2917" s="5">
        <v>62694</v>
      </c>
      <c r="O2917">
        <v>243</v>
      </c>
      <c r="P2917">
        <v>258</v>
      </c>
      <c r="Q2917" s="4">
        <v>62694</v>
      </c>
      <c r="R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 s="3">
        <v>42562</v>
      </c>
      <c r="AC2917" t="s">
        <v>53</v>
      </c>
      <c r="AD2917" t="s">
        <v>53</v>
      </c>
      <c r="AK2917">
        <v>0</v>
      </c>
      <c r="AU2917" s="3">
        <v>42492</v>
      </c>
      <c r="AV2917" s="3">
        <v>42492</v>
      </c>
      <c r="AW2917" t="s">
        <v>54</v>
      </c>
      <c r="AX2917" t="str">
        <f t="shared" si="341"/>
        <v>FOR</v>
      </c>
      <c r="AY2917" t="s">
        <v>55</v>
      </c>
    </row>
    <row r="2918" spans="1:51">
      <c r="A2918">
        <v>104093</v>
      </c>
      <c r="B2918" t="s">
        <v>360</v>
      </c>
      <c r="C2918" t="str">
        <f t="shared" si="342"/>
        <v>06032681006</v>
      </c>
      <c r="D2918" t="str">
        <f t="shared" si="343"/>
        <v>12572900152</v>
      </c>
      <c r="E2918" t="s">
        <v>52</v>
      </c>
      <c r="F2918">
        <v>2015</v>
      </c>
      <c r="G2918" t="str">
        <f>"            25252853"</f>
        <v xml:space="preserve">            25252853</v>
      </c>
      <c r="H2918" s="3">
        <v>42173</v>
      </c>
      <c r="I2918" s="3">
        <v>42177</v>
      </c>
      <c r="J2918" s="3">
        <v>42174</v>
      </c>
      <c r="K2918" s="3">
        <v>42234</v>
      </c>
      <c r="L2918" s="1">
        <v>680.4</v>
      </c>
      <c r="M2918">
        <v>258</v>
      </c>
      <c r="N2918" s="5">
        <v>175543.2</v>
      </c>
      <c r="O2918">
        <v>680.4</v>
      </c>
      <c r="P2918">
        <v>258</v>
      </c>
      <c r="Q2918" s="4">
        <v>175543.2</v>
      </c>
      <c r="R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 s="3">
        <v>42562</v>
      </c>
      <c r="AC2918" t="s">
        <v>53</v>
      </c>
      <c r="AD2918" t="s">
        <v>53</v>
      </c>
      <c r="AK2918">
        <v>0</v>
      </c>
      <c r="AU2918" s="3">
        <v>42492</v>
      </c>
      <c r="AV2918" s="3">
        <v>42492</v>
      </c>
      <c r="AW2918" t="s">
        <v>54</v>
      </c>
      <c r="AX2918" t="str">
        <f t="shared" si="341"/>
        <v>FOR</v>
      </c>
      <c r="AY2918" t="s">
        <v>55</v>
      </c>
    </row>
    <row r="2919" spans="1:51">
      <c r="A2919">
        <v>104093</v>
      </c>
      <c r="B2919" t="s">
        <v>360</v>
      </c>
      <c r="C2919" t="str">
        <f t="shared" si="342"/>
        <v>06032681006</v>
      </c>
      <c r="D2919" t="str">
        <f t="shared" si="343"/>
        <v>12572900152</v>
      </c>
      <c r="E2919" t="s">
        <v>52</v>
      </c>
      <c r="F2919">
        <v>2015</v>
      </c>
      <c r="G2919" t="str">
        <f>"            25252855"</f>
        <v xml:space="preserve">            25252855</v>
      </c>
      <c r="H2919" s="3">
        <v>42173</v>
      </c>
      <c r="I2919" s="3">
        <v>42177</v>
      </c>
      <c r="J2919" s="3">
        <v>42174</v>
      </c>
      <c r="K2919" s="3">
        <v>42234</v>
      </c>
      <c r="L2919" s="1">
        <v>72</v>
      </c>
      <c r="M2919">
        <v>258</v>
      </c>
      <c r="N2919" s="5">
        <v>18576</v>
      </c>
      <c r="O2919">
        <v>72</v>
      </c>
      <c r="P2919">
        <v>258</v>
      </c>
      <c r="Q2919" s="4">
        <v>18576</v>
      </c>
      <c r="R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 s="3">
        <v>42562</v>
      </c>
      <c r="AC2919" t="s">
        <v>53</v>
      </c>
      <c r="AD2919" t="s">
        <v>53</v>
      </c>
      <c r="AK2919">
        <v>0</v>
      </c>
      <c r="AU2919" s="3">
        <v>42492</v>
      </c>
      <c r="AV2919" s="3">
        <v>42492</v>
      </c>
      <c r="AW2919" t="s">
        <v>54</v>
      </c>
      <c r="AX2919" t="str">
        <f t="shared" si="341"/>
        <v>FOR</v>
      </c>
      <c r="AY2919" t="s">
        <v>55</v>
      </c>
    </row>
    <row r="2920" spans="1:51">
      <c r="A2920">
        <v>104093</v>
      </c>
      <c r="B2920" t="s">
        <v>360</v>
      </c>
      <c r="C2920" t="str">
        <f t="shared" si="342"/>
        <v>06032681006</v>
      </c>
      <c r="D2920" t="str">
        <f t="shared" si="343"/>
        <v>12572900152</v>
      </c>
      <c r="E2920" t="s">
        <v>52</v>
      </c>
      <c r="F2920">
        <v>2015</v>
      </c>
      <c r="G2920" t="str">
        <f>"            25252857"</f>
        <v xml:space="preserve">            25252857</v>
      </c>
      <c r="H2920" s="3">
        <v>42173</v>
      </c>
      <c r="I2920" s="3">
        <v>42177</v>
      </c>
      <c r="J2920" s="3">
        <v>42174</v>
      </c>
      <c r="K2920" s="3">
        <v>42234</v>
      </c>
      <c r="L2920" s="1">
        <v>680.4</v>
      </c>
      <c r="M2920">
        <v>258</v>
      </c>
      <c r="N2920" s="5">
        <v>175543.2</v>
      </c>
      <c r="O2920">
        <v>680.4</v>
      </c>
      <c r="P2920">
        <v>258</v>
      </c>
      <c r="Q2920" s="4">
        <v>175543.2</v>
      </c>
      <c r="R2920">
        <v>0</v>
      </c>
      <c r="V2920">
        <v>0</v>
      </c>
      <c r="W2920">
        <v>0</v>
      </c>
      <c r="X2920">
        <v>0</v>
      </c>
      <c r="Y2920">
        <v>0</v>
      </c>
      <c r="Z2920">
        <v>0</v>
      </c>
      <c r="AA2920">
        <v>0</v>
      </c>
      <c r="AB2920" s="3">
        <v>42562</v>
      </c>
      <c r="AC2920" t="s">
        <v>53</v>
      </c>
      <c r="AD2920" t="s">
        <v>53</v>
      </c>
      <c r="AK2920">
        <v>0</v>
      </c>
      <c r="AU2920" s="3">
        <v>42492</v>
      </c>
      <c r="AV2920" s="3">
        <v>42492</v>
      </c>
      <c r="AW2920" t="s">
        <v>54</v>
      </c>
      <c r="AX2920" t="str">
        <f t="shared" si="341"/>
        <v>FOR</v>
      </c>
      <c r="AY2920" t="s">
        <v>55</v>
      </c>
    </row>
    <row r="2921" spans="1:51">
      <c r="A2921">
        <v>104093</v>
      </c>
      <c r="B2921" t="s">
        <v>360</v>
      </c>
      <c r="C2921" t="str">
        <f t="shared" si="342"/>
        <v>06032681006</v>
      </c>
      <c r="D2921" t="str">
        <f t="shared" si="343"/>
        <v>12572900152</v>
      </c>
      <c r="E2921" t="s">
        <v>52</v>
      </c>
      <c r="F2921">
        <v>2015</v>
      </c>
      <c r="G2921" t="str">
        <f>"            25252858"</f>
        <v xml:space="preserve">            25252858</v>
      </c>
      <c r="H2921" s="3">
        <v>42173</v>
      </c>
      <c r="I2921" s="3">
        <v>42177</v>
      </c>
      <c r="J2921" s="3">
        <v>42174</v>
      </c>
      <c r="K2921" s="3">
        <v>42234</v>
      </c>
      <c r="L2921" s="1">
        <v>243</v>
      </c>
      <c r="M2921">
        <v>258</v>
      </c>
      <c r="N2921" s="5">
        <v>62694</v>
      </c>
      <c r="O2921">
        <v>243</v>
      </c>
      <c r="P2921">
        <v>258</v>
      </c>
      <c r="Q2921" s="4">
        <v>62694</v>
      </c>
      <c r="R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 s="3">
        <v>42562</v>
      </c>
      <c r="AC2921" t="s">
        <v>53</v>
      </c>
      <c r="AD2921" t="s">
        <v>53</v>
      </c>
      <c r="AK2921">
        <v>0</v>
      </c>
      <c r="AU2921" s="3">
        <v>42492</v>
      </c>
      <c r="AV2921" s="3">
        <v>42492</v>
      </c>
      <c r="AW2921" t="s">
        <v>54</v>
      </c>
      <c r="AX2921" t="str">
        <f t="shared" si="341"/>
        <v>FOR</v>
      </c>
      <c r="AY2921" t="s">
        <v>55</v>
      </c>
    </row>
    <row r="2922" spans="1:51">
      <c r="A2922">
        <v>104093</v>
      </c>
      <c r="B2922" t="s">
        <v>360</v>
      </c>
      <c r="C2922" t="str">
        <f t="shared" si="342"/>
        <v>06032681006</v>
      </c>
      <c r="D2922" t="str">
        <f t="shared" si="343"/>
        <v>12572900152</v>
      </c>
      <c r="E2922" t="s">
        <v>52</v>
      </c>
      <c r="F2922">
        <v>2015</v>
      </c>
      <c r="G2922" t="str">
        <f>"            25253535"</f>
        <v xml:space="preserve">            25253535</v>
      </c>
      <c r="H2922" s="3">
        <v>42177</v>
      </c>
      <c r="I2922" s="3">
        <v>42181</v>
      </c>
      <c r="J2922" s="3">
        <v>42178</v>
      </c>
      <c r="K2922" s="3">
        <v>42238</v>
      </c>
      <c r="L2922" s="5">
        <v>6162</v>
      </c>
      <c r="M2922">
        <v>254</v>
      </c>
      <c r="N2922" s="5">
        <v>1565148</v>
      </c>
      <c r="O2922" s="4">
        <v>6162</v>
      </c>
      <c r="P2922">
        <v>254</v>
      </c>
      <c r="Q2922" s="4">
        <v>1565148</v>
      </c>
      <c r="R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 s="3">
        <v>42562</v>
      </c>
      <c r="AC2922" t="s">
        <v>53</v>
      </c>
      <c r="AD2922" t="s">
        <v>53</v>
      </c>
      <c r="AK2922">
        <v>0</v>
      </c>
      <c r="AU2922" s="3">
        <v>42492</v>
      </c>
      <c r="AV2922" s="3">
        <v>42492</v>
      </c>
      <c r="AW2922" t="s">
        <v>54</v>
      </c>
      <c r="AX2922" t="str">
        <f t="shared" si="341"/>
        <v>FOR</v>
      </c>
      <c r="AY2922" t="s">
        <v>55</v>
      </c>
    </row>
    <row r="2923" spans="1:51">
      <c r="A2923">
        <v>104093</v>
      </c>
      <c r="B2923" t="s">
        <v>360</v>
      </c>
      <c r="C2923" t="str">
        <f t="shared" si="342"/>
        <v>06032681006</v>
      </c>
      <c r="D2923" t="str">
        <f t="shared" si="343"/>
        <v>12572900152</v>
      </c>
      <c r="E2923" t="s">
        <v>52</v>
      </c>
      <c r="F2923">
        <v>2015</v>
      </c>
      <c r="G2923" t="str">
        <f>"            25253540"</f>
        <v xml:space="preserve">            25253540</v>
      </c>
      <c r="H2923" s="3">
        <v>42177</v>
      </c>
      <c r="I2923" s="3">
        <v>42181</v>
      </c>
      <c r="J2923" s="3">
        <v>42178</v>
      </c>
      <c r="K2923" s="3">
        <v>42238</v>
      </c>
      <c r="L2923" s="5">
        <v>5937</v>
      </c>
      <c r="M2923">
        <v>254</v>
      </c>
      <c r="N2923" s="5">
        <v>1507998</v>
      </c>
      <c r="O2923" s="4">
        <v>5937</v>
      </c>
      <c r="P2923">
        <v>254</v>
      </c>
      <c r="Q2923" s="4">
        <v>1507998</v>
      </c>
      <c r="R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 s="3">
        <v>42562</v>
      </c>
      <c r="AC2923" t="s">
        <v>53</v>
      </c>
      <c r="AD2923" t="s">
        <v>53</v>
      </c>
      <c r="AK2923">
        <v>0</v>
      </c>
      <c r="AU2923" s="3">
        <v>42492</v>
      </c>
      <c r="AV2923" s="3">
        <v>42492</v>
      </c>
      <c r="AW2923" t="s">
        <v>54</v>
      </c>
      <c r="AX2923" t="str">
        <f t="shared" si="341"/>
        <v>FOR</v>
      </c>
      <c r="AY2923" t="s">
        <v>55</v>
      </c>
    </row>
    <row r="2924" spans="1:51">
      <c r="A2924">
        <v>104093</v>
      </c>
      <c r="B2924" t="s">
        <v>360</v>
      </c>
      <c r="C2924" t="str">
        <f t="shared" si="342"/>
        <v>06032681006</v>
      </c>
      <c r="D2924" t="str">
        <f t="shared" si="343"/>
        <v>12572900152</v>
      </c>
      <c r="E2924" t="s">
        <v>52</v>
      </c>
      <c r="F2924">
        <v>2015</v>
      </c>
      <c r="G2924" t="str">
        <f>"            25253751"</f>
        <v xml:space="preserve">            25253751</v>
      </c>
      <c r="H2924" s="3">
        <v>42178</v>
      </c>
      <c r="I2924" s="3">
        <v>42186</v>
      </c>
      <c r="J2924" s="3">
        <v>42182</v>
      </c>
      <c r="K2924" s="3">
        <v>42242</v>
      </c>
      <c r="L2924" s="1">
        <v>266</v>
      </c>
      <c r="M2924">
        <v>250</v>
      </c>
      <c r="N2924" s="5">
        <v>66500</v>
      </c>
      <c r="O2924">
        <v>266</v>
      </c>
      <c r="P2924">
        <v>250</v>
      </c>
      <c r="Q2924" s="4">
        <v>66500</v>
      </c>
      <c r="R2924">
        <v>0</v>
      </c>
      <c r="V2924">
        <v>0</v>
      </c>
      <c r="W2924">
        <v>0</v>
      </c>
      <c r="X2924">
        <v>0</v>
      </c>
      <c r="Y2924">
        <v>0</v>
      </c>
      <c r="Z2924">
        <v>0</v>
      </c>
      <c r="AA2924">
        <v>0</v>
      </c>
      <c r="AB2924" s="3">
        <v>42562</v>
      </c>
      <c r="AC2924" t="s">
        <v>53</v>
      </c>
      <c r="AD2924" t="s">
        <v>53</v>
      </c>
      <c r="AK2924">
        <v>0</v>
      </c>
      <c r="AU2924" s="3">
        <v>42492</v>
      </c>
      <c r="AV2924" s="3">
        <v>42492</v>
      </c>
      <c r="AW2924" t="s">
        <v>54</v>
      </c>
      <c r="AX2924" t="str">
        <f t="shared" si="341"/>
        <v>FOR</v>
      </c>
      <c r="AY2924" t="s">
        <v>55</v>
      </c>
    </row>
    <row r="2925" spans="1:51">
      <c r="A2925">
        <v>104093</v>
      </c>
      <c r="B2925" t="s">
        <v>360</v>
      </c>
      <c r="C2925" t="str">
        <f t="shared" si="342"/>
        <v>06032681006</v>
      </c>
      <c r="D2925" t="str">
        <f t="shared" si="343"/>
        <v>12572900152</v>
      </c>
      <c r="E2925" t="s">
        <v>52</v>
      </c>
      <c r="F2925">
        <v>2015</v>
      </c>
      <c r="G2925" t="str">
        <f>"            25254874"</f>
        <v xml:space="preserve">            25254874</v>
      </c>
      <c r="H2925" s="3">
        <v>42181</v>
      </c>
      <c r="I2925" s="3">
        <v>42187</v>
      </c>
      <c r="J2925" s="3">
        <v>42184</v>
      </c>
      <c r="K2925" s="3">
        <v>42244</v>
      </c>
      <c r="L2925" s="1">
        <v>765</v>
      </c>
      <c r="M2925">
        <v>248</v>
      </c>
      <c r="N2925" s="5">
        <v>189720</v>
      </c>
      <c r="O2925">
        <v>765</v>
      </c>
      <c r="P2925">
        <v>248</v>
      </c>
      <c r="Q2925" s="4">
        <v>189720</v>
      </c>
      <c r="R2925">
        <v>0</v>
      </c>
      <c r="V2925">
        <v>0</v>
      </c>
      <c r="W2925">
        <v>0</v>
      </c>
      <c r="X2925">
        <v>0</v>
      </c>
      <c r="Y2925">
        <v>0</v>
      </c>
      <c r="Z2925">
        <v>0</v>
      </c>
      <c r="AA2925">
        <v>0</v>
      </c>
      <c r="AB2925" s="3">
        <v>42562</v>
      </c>
      <c r="AC2925" t="s">
        <v>53</v>
      </c>
      <c r="AD2925" t="s">
        <v>53</v>
      </c>
      <c r="AK2925">
        <v>0</v>
      </c>
      <c r="AU2925" s="3">
        <v>42492</v>
      </c>
      <c r="AV2925" s="3">
        <v>42492</v>
      </c>
      <c r="AW2925" t="s">
        <v>54</v>
      </c>
      <c r="AX2925" t="str">
        <f t="shared" si="341"/>
        <v>FOR</v>
      </c>
      <c r="AY2925" t="s">
        <v>55</v>
      </c>
    </row>
    <row r="2926" spans="1:51">
      <c r="A2926">
        <v>104093</v>
      </c>
      <c r="B2926" t="s">
        <v>360</v>
      </c>
      <c r="C2926" t="str">
        <f t="shared" si="342"/>
        <v>06032681006</v>
      </c>
      <c r="D2926" t="str">
        <f t="shared" si="343"/>
        <v>12572900152</v>
      </c>
      <c r="E2926" t="s">
        <v>52</v>
      </c>
      <c r="F2926">
        <v>2015</v>
      </c>
      <c r="G2926" t="str">
        <f>"            25254999"</f>
        <v xml:space="preserve">            25254999</v>
      </c>
      <c r="H2926" s="3">
        <v>42184</v>
      </c>
      <c r="I2926" s="3">
        <v>42191</v>
      </c>
      <c r="J2926" s="3">
        <v>42185</v>
      </c>
      <c r="K2926" s="3">
        <v>42245</v>
      </c>
      <c r="L2926" s="1">
        <v>680.4</v>
      </c>
      <c r="M2926">
        <v>247</v>
      </c>
      <c r="N2926" s="5">
        <v>168058.8</v>
      </c>
      <c r="O2926">
        <v>680.4</v>
      </c>
      <c r="P2926">
        <v>247</v>
      </c>
      <c r="Q2926" s="4">
        <v>168058.8</v>
      </c>
      <c r="R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 s="3">
        <v>42562</v>
      </c>
      <c r="AC2926" t="s">
        <v>53</v>
      </c>
      <c r="AD2926" t="s">
        <v>53</v>
      </c>
      <c r="AK2926">
        <v>0</v>
      </c>
      <c r="AU2926" s="3">
        <v>42492</v>
      </c>
      <c r="AV2926" s="3">
        <v>42492</v>
      </c>
      <c r="AW2926" t="s">
        <v>54</v>
      </c>
      <c r="AX2926" t="str">
        <f t="shared" si="341"/>
        <v>FOR</v>
      </c>
      <c r="AY2926" t="s">
        <v>55</v>
      </c>
    </row>
    <row r="2927" spans="1:51">
      <c r="A2927">
        <v>104093</v>
      </c>
      <c r="B2927" t="s">
        <v>360</v>
      </c>
      <c r="C2927" t="str">
        <f t="shared" si="342"/>
        <v>06032681006</v>
      </c>
      <c r="D2927" t="str">
        <f t="shared" si="343"/>
        <v>12572900152</v>
      </c>
      <c r="E2927" t="s">
        <v>52</v>
      </c>
      <c r="F2927">
        <v>2015</v>
      </c>
      <c r="G2927" t="str">
        <f>"            25255006"</f>
        <v xml:space="preserve">            25255006</v>
      </c>
      <c r="H2927" s="3">
        <v>42184</v>
      </c>
      <c r="I2927" s="3">
        <v>42191</v>
      </c>
      <c r="J2927" s="3">
        <v>42185</v>
      </c>
      <c r="K2927" s="3">
        <v>42245</v>
      </c>
      <c r="L2927" s="1">
        <v>72</v>
      </c>
      <c r="M2927">
        <v>247</v>
      </c>
      <c r="N2927" s="5">
        <v>17784</v>
      </c>
      <c r="O2927">
        <v>72</v>
      </c>
      <c r="P2927">
        <v>247</v>
      </c>
      <c r="Q2927" s="4">
        <v>17784</v>
      </c>
      <c r="R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 s="3">
        <v>42562</v>
      </c>
      <c r="AC2927" t="s">
        <v>53</v>
      </c>
      <c r="AD2927" t="s">
        <v>53</v>
      </c>
      <c r="AK2927">
        <v>0</v>
      </c>
      <c r="AU2927" s="3">
        <v>42492</v>
      </c>
      <c r="AV2927" s="3">
        <v>42492</v>
      </c>
      <c r="AW2927" t="s">
        <v>54</v>
      </c>
      <c r="AX2927" t="str">
        <f t="shared" si="341"/>
        <v>FOR</v>
      </c>
      <c r="AY2927" t="s">
        <v>55</v>
      </c>
    </row>
    <row r="2928" spans="1:51">
      <c r="A2928">
        <v>104093</v>
      </c>
      <c r="B2928" t="s">
        <v>360</v>
      </c>
      <c r="C2928" t="str">
        <f t="shared" si="342"/>
        <v>06032681006</v>
      </c>
      <c r="D2928" t="str">
        <f t="shared" si="343"/>
        <v>12572900152</v>
      </c>
      <c r="E2928" t="s">
        <v>52</v>
      </c>
      <c r="F2928">
        <v>2015</v>
      </c>
      <c r="G2928" t="str">
        <f>"            25255009"</f>
        <v xml:space="preserve">            25255009</v>
      </c>
      <c r="H2928" s="3">
        <v>42184</v>
      </c>
      <c r="I2928" s="3">
        <v>42191</v>
      </c>
      <c r="J2928" s="3">
        <v>42185</v>
      </c>
      <c r="K2928" s="3">
        <v>42245</v>
      </c>
      <c r="L2928" s="1">
        <v>72</v>
      </c>
      <c r="M2928">
        <v>247</v>
      </c>
      <c r="N2928" s="5">
        <v>17784</v>
      </c>
      <c r="O2928">
        <v>72</v>
      </c>
      <c r="P2928">
        <v>247</v>
      </c>
      <c r="Q2928" s="4">
        <v>17784</v>
      </c>
      <c r="R2928">
        <v>0</v>
      </c>
      <c r="V2928">
        <v>0</v>
      </c>
      <c r="W2928">
        <v>0</v>
      </c>
      <c r="X2928">
        <v>0</v>
      </c>
      <c r="Y2928">
        <v>0</v>
      </c>
      <c r="Z2928">
        <v>0</v>
      </c>
      <c r="AA2928">
        <v>0</v>
      </c>
      <c r="AB2928" s="3">
        <v>42562</v>
      </c>
      <c r="AC2928" t="s">
        <v>53</v>
      </c>
      <c r="AD2928" t="s">
        <v>53</v>
      </c>
      <c r="AK2928">
        <v>0</v>
      </c>
      <c r="AU2928" s="3">
        <v>42492</v>
      </c>
      <c r="AV2928" s="3">
        <v>42492</v>
      </c>
      <c r="AW2928" t="s">
        <v>54</v>
      </c>
      <c r="AX2928" t="str">
        <f t="shared" si="341"/>
        <v>FOR</v>
      </c>
      <c r="AY2928" t="s">
        <v>55</v>
      </c>
    </row>
    <row r="2929" spans="1:51">
      <c r="A2929">
        <v>104093</v>
      </c>
      <c r="B2929" t="s">
        <v>360</v>
      </c>
      <c r="C2929" t="str">
        <f t="shared" si="342"/>
        <v>06032681006</v>
      </c>
      <c r="D2929" t="str">
        <f t="shared" si="343"/>
        <v>12572900152</v>
      </c>
      <c r="E2929" t="s">
        <v>52</v>
      </c>
      <c r="F2929">
        <v>2015</v>
      </c>
      <c r="G2929" t="str">
        <f>"            25255010"</f>
        <v xml:space="preserve">            25255010</v>
      </c>
      <c r="H2929" s="3">
        <v>42184</v>
      </c>
      <c r="I2929" s="3">
        <v>42191</v>
      </c>
      <c r="J2929" s="3">
        <v>42185</v>
      </c>
      <c r="K2929" s="3">
        <v>42245</v>
      </c>
      <c r="L2929" s="1">
        <v>243</v>
      </c>
      <c r="M2929">
        <v>247</v>
      </c>
      <c r="N2929" s="5">
        <v>60021</v>
      </c>
      <c r="O2929">
        <v>243</v>
      </c>
      <c r="P2929">
        <v>247</v>
      </c>
      <c r="Q2929" s="4">
        <v>60021</v>
      </c>
      <c r="R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 s="3">
        <v>42562</v>
      </c>
      <c r="AC2929" t="s">
        <v>53</v>
      </c>
      <c r="AD2929" t="s">
        <v>53</v>
      </c>
      <c r="AK2929">
        <v>0</v>
      </c>
      <c r="AU2929" s="3">
        <v>42492</v>
      </c>
      <c r="AV2929" s="3">
        <v>42492</v>
      </c>
      <c r="AW2929" t="s">
        <v>54</v>
      </c>
      <c r="AX2929" t="str">
        <f t="shared" si="341"/>
        <v>FOR</v>
      </c>
      <c r="AY2929" t="s">
        <v>55</v>
      </c>
    </row>
    <row r="2930" spans="1:51">
      <c r="A2930">
        <v>104093</v>
      </c>
      <c r="B2930" t="s">
        <v>360</v>
      </c>
      <c r="C2930" t="str">
        <f t="shared" si="342"/>
        <v>06032681006</v>
      </c>
      <c r="D2930" t="str">
        <f t="shared" si="343"/>
        <v>12572900152</v>
      </c>
      <c r="E2930" t="s">
        <v>52</v>
      </c>
      <c r="F2930">
        <v>2015</v>
      </c>
      <c r="G2930" t="str">
        <f>"            25255012"</f>
        <v xml:space="preserve">            25255012</v>
      </c>
      <c r="H2930" s="3">
        <v>42184</v>
      </c>
      <c r="I2930" s="3">
        <v>42191</v>
      </c>
      <c r="J2930" s="3">
        <v>42185</v>
      </c>
      <c r="K2930" s="3">
        <v>42245</v>
      </c>
      <c r="L2930" s="1">
        <v>72</v>
      </c>
      <c r="M2930">
        <v>247</v>
      </c>
      <c r="N2930" s="5">
        <v>17784</v>
      </c>
      <c r="O2930">
        <v>72</v>
      </c>
      <c r="P2930">
        <v>247</v>
      </c>
      <c r="Q2930" s="4">
        <v>17784</v>
      </c>
      <c r="R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 s="3">
        <v>42562</v>
      </c>
      <c r="AC2930" t="s">
        <v>53</v>
      </c>
      <c r="AD2930" t="s">
        <v>53</v>
      </c>
      <c r="AK2930">
        <v>0</v>
      </c>
      <c r="AU2930" s="3">
        <v>42492</v>
      </c>
      <c r="AV2930" s="3">
        <v>42492</v>
      </c>
      <c r="AW2930" t="s">
        <v>54</v>
      </c>
      <c r="AX2930" t="str">
        <f t="shared" si="341"/>
        <v>FOR</v>
      </c>
      <c r="AY2930" t="s">
        <v>55</v>
      </c>
    </row>
    <row r="2931" spans="1:51">
      <c r="A2931">
        <v>104093</v>
      </c>
      <c r="B2931" t="s">
        <v>360</v>
      </c>
      <c r="C2931" t="str">
        <f t="shared" si="342"/>
        <v>06032681006</v>
      </c>
      <c r="D2931" t="str">
        <f t="shared" si="343"/>
        <v>12572900152</v>
      </c>
      <c r="E2931" t="s">
        <v>52</v>
      </c>
      <c r="F2931">
        <v>2015</v>
      </c>
      <c r="G2931" t="str">
        <f>"            25255369"</f>
        <v xml:space="preserve">            25255369</v>
      </c>
      <c r="H2931" s="3">
        <v>42185</v>
      </c>
      <c r="I2931" s="3">
        <v>42191</v>
      </c>
      <c r="J2931" s="3">
        <v>42186</v>
      </c>
      <c r="K2931" s="3">
        <v>42246</v>
      </c>
      <c r="L2931" s="1">
        <v>243</v>
      </c>
      <c r="M2931">
        <v>246</v>
      </c>
      <c r="N2931" s="5">
        <v>59778</v>
      </c>
      <c r="O2931">
        <v>243</v>
      </c>
      <c r="P2931">
        <v>246</v>
      </c>
      <c r="Q2931" s="4">
        <v>59778</v>
      </c>
      <c r="R2931">
        <v>0</v>
      </c>
      <c r="V2931">
        <v>0</v>
      </c>
      <c r="W2931">
        <v>0</v>
      </c>
      <c r="X2931">
        <v>0</v>
      </c>
      <c r="Y2931">
        <v>0</v>
      </c>
      <c r="Z2931">
        <v>0</v>
      </c>
      <c r="AA2931">
        <v>0</v>
      </c>
      <c r="AB2931" s="3">
        <v>42562</v>
      </c>
      <c r="AC2931" t="s">
        <v>53</v>
      </c>
      <c r="AD2931" t="s">
        <v>53</v>
      </c>
      <c r="AK2931">
        <v>0</v>
      </c>
      <c r="AU2931" s="3">
        <v>42492</v>
      </c>
      <c r="AV2931" s="3">
        <v>42492</v>
      </c>
      <c r="AW2931" t="s">
        <v>54</v>
      </c>
      <c r="AX2931" t="str">
        <f t="shared" si="341"/>
        <v>FOR</v>
      </c>
      <c r="AY2931" t="s">
        <v>55</v>
      </c>
    </row>
    <row r="2932" spans="1:51">
      <c r="A2932">
        <v>104093</v>
      </c>
      <c r="B2932" t="s">
        <v>360</v>
      </c>
      <c r="C2932" t="str">
        <f t="shared" si="342"/>
        <v>06032681006</v>
      </c>
      <c r="D2932" t="str">
        <f t="shared" si="343"/>
        <v>12572900152</v>
      </c>
      <c r="E2932" t="s">
        <v>52</v>
      </c>
      <c r="F2932">
        <v>2015</v>
      </c>
      <c r="G2932" t="str">
        <f>"            25255371"</f>
        <v xml:space="preserve">            25255371</v>
      </c>
      <c r="H2932" s="3">
        <v>42185</v>
      </c>
      <c r="I2932" s="3">
        <v>42191</v>
      </c>
      <c r="J2932" s="3">
        <v>42186</v>
      </c>
      <c r="K2932" s="3">
        <v>42246</v>
      </c>
      <c r="L2932" s="1">
        <v>680.4</v>
      </c>
      <c r="M2932">
        <v>246</v>
      </c>
      <c r="N2932" s="5">
        <v>167378.4</v>
      </c>
      <c r="O2932">
        <v>680.4</v>
      </c>
      <c r="P2932">
        <v>246</v>
      </c>
      <c r="Q2932" s="4">
        <v>167378.4</v>
      </c>
      <c r="R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 s="3">
        <v>42562</v>
      </c>
      <c r="AC2932" t="s">
        <v>53</v>
      </c>
      <c r="AD2932" t="s">
        <v>53</v>
      </c>
      <c r="AK2932">
        <v>0</v>
      </c>
      <c r="AU2932" s="3">
        <v>42492</v>
      </c>
      <c r="AV2932" s="3">
        <v>42492</v>
      </c>
      <c r="AW2932" t="s">
        <v>54</v>
      </c>
      <c r="AX2932" t="str">
        <f t="shared" si="341"/>
        <v>FOR</v>
      </c>
      <c r="AY2932" t="s">
        <v>55</v>
      </c>
    </row>
    <row r="2933" spans="1:51">
      <c r="A2933">
        <v>104093</v>
      </c>
      <c r="B2933" t="s">
        <v>360</v>
      </c>
      <c r="C2933" t="str">
        <f t="shared" si="342"/>
        <v>06032681006</v>
      </c>
      <c r="D2933" t="str">
        <f t="shared" si="343"/>
        <v>12572900152</v>
      </c>
      <c r="E2933" t="s">
        <v>52</v>
      </c>
      <c r="F2933">
        <v>2015</v>
      </c>
      <c r="G2933" t="str">
        <f>"            25255372"</f>
        <v xml:space="preserve">            25255372</v>
      </c>
      <c r="H2933" s="3">
        <v>42185</v>
      </c>
      <c r="I2933" s="3">
        <v>42191</v>
      </c>
      <c r="J2933" s="3">
        <v>42186</v>
      </c>
      <c r="K2933" s="3">
        <v>42246</v>
      </c>
      <c r="L2933" s="1">
        <v>243</v>
      </c>
      <c r="M2933">
        <v>246</v>
      </c>
      <c r="N2933" s="5">
        <v>59778</v>
      </c>
      <c r="O2933">
        <v>243</v>
      </c>
      <c r="P2933">
        <v>246</v>
      </c>
      <c r="Q2933" s="4">
        <v>59778</v>
      </c>
      <c r="R2933">
        <v>0</v>
      </c>
      <c r="V2933">
        <v>0</v>
      </c>
      <c r="W2933">
        <v>0</v>
      </c>
      <c r="X2933">
        <v>0</v>
      </c>
      <c r="Y2933">
        <v>0</v>
      </c>
      <c r="Z2933">
        <v>0</v>
      </c>
      <c r="AA2933">
        <v>0</v>
      </c>
      <c r="AB2933" s="3">
        <v>42562</v>
      </c>
      <c r="AC2933" t="s">
        <v>53</v>
      </c>
      <c r="AD2933" t="s">
        <v>53</v>
      </c>
      <c r="AK2933">
        <v>0</v>
      </c>
      <c r="AU2933" s="3">
        <v>42492</v>
      </c>
      <c r="AV2933" s="3">
        <v>42492</v>
      </c>
      <c r="AW2933" t="s">
        <v>54</v>
      </c>
      <c r="AX2933" t="str">
        <f t="shared" si="341"/>
        <v>FOR</v>
      </c>
      <c r="AY2933" t="s">
        <v>55</v>
      </c>
    </row>
    <row r="2934" spans="1:51" hidden="1">
      <c r="A2934">
        <v>104095</v>
      </c>
      <c r="B2934" t="s">
        <v>361</v>
      </c>
      <c r="C2934" t="str">
        <f t="shared" ref="C2934:D2946" si="344">"10181220152"</f>
        <v>10181220152</v>
      </c>
      <c r="D2934" t="str">
        <f t="shared" si="344"/>
        <v>10181220152</v>
      </c>
      <c r="E2934" t="s">
        <v>52</v>
      </c>
      <c r="F2934">
        <v>2015</v>
      </c>
      <c r="G2934" t="str">
        <f>"          9575309413"</f>
        <v xml:space="preserve">          9575309413</v>
      </c>
      <c r="H2934" s="3">
        <v>42067</v>
      </c>
      <c r="I2934" s="3">
        <v>42080</v>
      </c>
      <c r="J2934" s="3">
        <v>42080</v>
      </c>
      <c r="K2934" s="3">
        <v>42140</v>
      </c>
      <c r="L2934"/>
      <c r="N2934"/>
      <c r="O2934">
        <v>787.5</v>
      </c>
      <c r="P2934">
        <v>268</v>
      </c>
      <c r="Q2934" s="4">
        <v>211050</v>
      </c>
      <c r="R2934">
        <v>0</v>
      </c>
      <c r="V2934">
        <v>0</v>
      </c>
      <c r="W2934">
        <v>0</v>
      </c>
      <c r="X2934">
        <v>0</v>
      </c>
      <c r="Y2934">
        <v>0</v>
      </c>
      <c r="Z2934">
        <v>0</v>
      </c>
      <c r="AA2934">
        <v>0</v>
      </c>
      <c r="AB2934" s="3">
        <v>42562</v>
      </c>
      <c r="AC2934" t="s">
        <v>53</v>
      </c>
      <c r="AD2934" t="s">
        <v>53</v>
      </c>
      <c r="AK2934">
        <v>0</v>
      </c>
      <c r="AU2934" s="3">
        <v>42408</v>
      </c>
      <c r="AV2934" s="3">
        <v>42408</v>
      </c>
      <c r="AW2934" t="s">
        <v>54</v>
      </c>
      <c r="AX2934" t="str">
        <f t="shared" si="341"/>
        <v>FOR</v>
      </c>
      <c r="AY2934" t="s">
        <v>55</v>
      </c>
    </row>
    <row r="2935" spans="1:51" hidden="1">
      <c r="A2935">
        <v>104095</v>
      </c>
      <c r="B2935" t="s">
        <v>361</v>
      </c>
      <c r="C2935" t="str">
        <f t="shared" si="344"/>
        <v>10181220152</v>
      </c>
      <c r="D2935" t="str">
        <f t="shared" si="344"/>
        <v>10181220152</v>
      </c>
      <c r="E2935" t="s">
        <v>52</v>
      </c>
      <c r="F2935">
        <v>2015</v>
      </c>
      <c r="G2935" t="str">
        <f>"          9575309633"</f>
        <v xml:space="preserve">          9575309633</v>
      </c>
      <c r="H2935" s="3">
        <v>42068</v>
      </c>
      <c r="I2935" s="3">
        <v>42080</v>
      </c>
      <c r="J2935" s="3">
        <v>42080</v>
      </c>
      <c r="K2935" s="3">
        <v>42140</v>
      </c>
      <c r="L2935"/>
      <c r="N2935"/>
      <c r="O2935">
        <v>175</v>
      </c>
      <c r="P2935">
        <v>268</v>
      </c>
      <c r="Q2935" s="4">
        <v>46900</v>
      </c>
      <c r="R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 s="3">
        <v>42562</v>
      </c>
      <c r="AC2935" t="s">
        <v>53</v>
      </c>
      <c r="AD2935" t="s">
        <v>53</v>
      </c>
      <c r="AK2935">
        <v>0</v>
      </c>
      <c r="AU2935" s="3">
        <v>42408</v>
      </c>
      <c r="AV2935" s="3">
        <v>42408</v>
      </c>
      <c r="AW2935" t="s">
        <v>54</v>
      </c>
      <c r="AX2935" t="str">
        <f t="shared" si="341"/>
        <v>FOR</v>
      </c>
      <c r="AY2935" t="s">
        <v>55</v>
      </c>
    </row>
    <row r="2936" spans="1:51" hidden="1">
      <c r="A2936">
        <v>104095</v>
      </c>
      <c r="B2936" t="s">
        <v>361</v>
      </c>
      <c r="C2936" t="str">
        <f t="shared" si="344"/>
        <v>10181220152</v>
      </c>
      <c r="D2936" t="str">
        <f t="shared" si="344"/>
        <v>10181220152</v>
      </c>
      <c r="E2936" t="s">
        <v>52</v>
      </c>
      <c r="F2936">
        <v>2015</v>
      </c>
      <c r="G2936" t="str">
        <f>"          9575309934"</f>
        <v xml:space="preserve">          9575309934</v>
      </c>
      <c r="H2936" s="3">
        <v>42069</v>
      </c>
      <c r="I2936" s="3">
        <v>42081</v>
      </c>
      <c r="J2936" s="3">
        <v>42081</v>
      </c>
      <c r="K2936" s="3">
        <v>42141</v>
      </c>
      <c r="L2936"/>
      <c r="N2936"/>
      <c r="O2936">
        <v>50</v>
      </c>
      <c r="P2936">
        <v>267</v>
      </c>
      <c r="Q2936" s="4">
        <v>13350</v>
      </c>
      <c r="R2936">
        <v>0</v>
      </c>
      <c r="V2936">
        <v>0</v>
      </c>
      <c r="W2936">
        <v>0</v>
      </c>
      <c r="X2936">
        <v>0</v>
      </c>
      <c r="Y2936">
        <v>0</v>
      </c>
      <c r="Z2936">
        <v>0</v>
      </c>
      <c r="AA2936">
        <v>0</v>
      </c>
      <c r="AB2936" s="3">
        <v>42562</v>
      </c>
      <c r="AC2936" t="s">
        <v>53</v>
      </c>
      <c r="AD2936" t="s">
        <v>53</v>
      </c>
      <c r="AK2936">
        <v>0</v>
      </c>
      <c r="AU2936" s="3">
        <v>42408</v>
      </c>
      <c r="AV2936" s="3">
        <v>42408</v>
      </c>
      <c r="AW2936" t="s">
        <v>54</v>
      </c>
      <c r="AX2936" t="str">
        <f t="shared" ref="AX2936:AX2955" si="345">"FOR"</f>
        <v>FOR</v>
      </c>
      <c r="AY2936" t="s">
        <v>55</v>
      </c>
    </row>
    <row r="2937" spans="1:51">
      <c r="A2937">
        <v>104095</v>
      </c>
      <c r="B2937" t="s">
        <v>361</v>
      </c>
      <c r="C2937" t="str">
        <f t="shared" si="344"/>
        <v>10181220152</v>
      </c>
      <c r="D2937" t="str">
        <f t="shared" si="344"/>
        <v>10181220152</v>
      </c>
      <c r="E2937" t="s">
        <v>52</v>
      </c>
      <c r="F2937">
        <v>2015</v>
      </c>
      <c r="G2937" t="str">
        <f>"          9575315769"</f>
        <v xml:space="preserve">          9575315769</v>
      </c>
      <c r="H2937" s="3">
        <v>42096</v>
      </c>
      <c r="I2937" s="3">
        <v>42149</v>
      </c>
      <c r="J2937" s="3">
        <v>42138</v>
      </c>
      <c r="K2937" s="3">
        <v>42198</v>
      </c>
      <c r="L2937" s="5">
        <v>9000</v>
      </c>
      <c r="M2937">
        <v>294</v>
      </c>
      <c r="N2937" s="5">
        <v>2646000</v>
      </c>
      <c r="O2937" s="4">
        <v>9000</v>
      </c>
      <c r="P2937">
        <v>294</v>
      </c>
      <c r="Q2937" s="4">
        <v>2646000</v>
      </c>
      <c r="R2937">
        <v>0</v>
      </c>
      <c r="V2937">
        <v>0</v>
      </c>
      <c r="W2937">
        <v>0</v>
      </c>
      <c r="X2937">
        <v>0</v>
      </c>
      <c r="Y2937">
        <v>0</v>
      </c>
      <c r="Z2937">
        <v>0</v>
      </c>
      <c r="AA2937">
        <v>0</v>
      </c>
      <c r="AB2937" s="3">
        <v>42562</v>
      </c>
      <c r="AC2937" t="s">
        <v>53</v>
      </c>
      <c r="AD2937" t="s">
        <v>53</v>
      </c>
      <c r="AK2937">
        <v>0</v>
      </c>
      <c r="AU2937" s="3">
        <v>42492</v>
      </c>
      <c r="AV2937" s="3">
        <v>42492</v>
      </c>
      <c r="AW2937" t="s">
        <v>54</v>
      </c>
      <c r="AX2937" t="str">
        <f t="shared" si="345"/>
        <v>FOR</v>
      </c>
      <c r="AY2937" t="s">
        <v>55</v>
      </c>
    </row>
    <row r="2938" spans="1:51">
      <c r="A2938">
        <v>104095</v>
      </c>
      <c r="B2938" t="s">
        <v>361</v>
      </c>
      <c r="C2938" t="str">
        <f t="shared" si="344"/>
        <v>10181220152</v>
      </c>
      <c r="D2938" t="str">
        <f t="shared" si="344"/>
        <v>10181220152</v>
      </c>
      <c r="E2938" t="s">
        <v>52</v>
      </c>
      <c r="F2938">
        <v>2015</v>
      </c>
      <c r="G2938" t="str">
        <f>"          9575316353"</f>
        <v xml:space="preserve">          9575316353</v>
      </c>
      <c r="H2938" s="3">
        <v>42103</v>
      </c>
      <c r="I2938" s="3">
        <v>42108</v>
      </c>
      <c r="J2938" s="3">
        <v>42107</v>
      </c>
      <c r="K2938" s="3">
        <v>42167</v>
      </c>
      <c r="L2938" s="1">
        <v>50</v>
      </c>
      <c r="M2938">
        <v>325</v>
      </c>
      <c r="N2938" s="5">
        <v>16250</v>
      </c>
      <c r="O2938">
        <v>50</v>
      </c>
      <c r="P2938">
        <v>325</v>
      </c>
      <c r="Q2938" s="4">
        <v>16250</v>
      </c>
      <c r="R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 s="3">
        <v>42562</v>
      </c>
      <c r="AC2938" t="s">
        <v>53</v>
      </c>
      <c r="AD2938" t="s">
        <v>53</v>
      </c>
      <c r="AK2938">
        <v>0</v>
      </c>
      <c r="AU2938" s="3">
        <v>42492</v>
      </c>
      <c r="AV2938" s="3">
        <v>42492</v>
      </c>
      <c r="AW2938" t="s">
        <v>54</v>
      </c>
      <c r="AX2938" t="str">
        <f t="shared" si="345"/>
        <v>FOR</v>
      </c>
      <c r="AY2938" t="s">
        <v>55</v>
      </c>
    </row>
    <row r="2939" spans="1:51">
      <c r="A2939">
        <v>104095</v>
      </c>
      <c r="B2939" t="s">
        <v>361</v>
      </c>
      <c r="C2939" t="str">
        <f t="shared" si="344"/>
        <v>10181220152</v>
      </c>
      <c r="D2939" t="str">
        <f t="shared" si="344"/>
        <v>10181220152</v>
      </c>
      <c r="E2939" t="s">
        <v>52</v>
      </c>
      <c r="F2939">
        <v>2015</v>
      </c>
      <c r="G2939" t="str">
        <f>"          9575317824"</f>
        <v xml:space="preserve">          9575317824</v>
      </c>
      <c r="H2939" s="3">
        <v>42110</v>
      </c>
      <c r="I2939" s="3">
        <v>42116</v>
      </c>
      <c r="J2939" s="3">
        <v>42115</v>
      </c>
      <c r="K2939" s="3">
        <v>42175</v>
      </c>
      <c r="L2939" s="5">
        <v>6755.76</v>
      </c>
      <c r="M2939">
        <v>317</v>
      </c>
      <c r="N2939" s="5">
        <v>2141575.92</v>
      </c>
      <c r="O2939" s="4">
        <v>6755.76</v>
      </c>
      <c r="P2939">
        <v>317</v>
      </c>
      <c r="Q2939" s="4">
        <v>2141575.92</v>
      </c>
      <c r="R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 s="3">
        <v>42562</v>
      </c>
      <c r="AC2939" t="s">
        <v>53</v>
      </c>
      <c r="AD2939" t="s">
        <v>53</v>
      </c>
      <c r="AK2939">
        <v>0</v>
      </c>
      <c r="AU2939" s="3">
        <v>42492</v>
      </c>
      <c r="AV2939" s="3">
        <v>42492</v>
      </c>
      <c r="AW2939" t="s">
        <v>54</v>
      </c>
      <c r="AX2939" t="str">
        <f t="shared" si="345"/>
        <v>FOR</v>
      </c>
      <c r="AY2939" t="s">
        <v>55</v>
      </c>
    </row>
    <row r="2940" spans="1:51">
      <c r="A2940">
        <v>104095</v>
      </c>
      <c r="B2940" t="s">
        <v>361</v>
      </c>
      <c r="C2940" t="str">
        <f t="shared" si="344"/>
        <v>10181220152</v>
      </c>
      <c r="D2940" t="str">
        <f t="shared" si="344"/>
        <v>10181220152</v>
      </c>
      <c r="E2940" t="s">
        <v>52</v>
      </c>
      <c r="F2940">
        <v>2015</v>
      </c>
      <c r="G2940" t="str">
        <f>"          9575320379"</f>
        <v xml:space="preserve">          9575320379</v>
      </c>
      <c r="H2940" s="3">
        <v>42124</v>
      </c>
      <c r="I2940" s="3">
        <v>42142</v>
      </c>
      <c r="J2940" s="3">
        <v>42137</v>
      </c>
      <c r="K2940" s="3">
        <v>42197</v>
      </c>
      <c r="L2940" s="5">
        <v>2535.15</v>
      </c>
      <c r="M2940">
        <v>295</v>
      </c>
      <c r="N2940" s="5">
        <v>747869.25</v>
      </c>
      <c r="O2940" s="4">
        <v>2535.15</v>
      </c>
      <c r="P2940">
        <v>295</v>
      </c>
      <c r="Q2940" s="4">
        <v>747869.25</v>
      </c>
      <c r="R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 s="3">
        <v>42562</v>
      </c>
      <c r="AC2940" t="s">
        <v>53</v>
      </c>
      <c r="AD2940" t="s">
        <v>53</v>
      </c>
      <c r="AK2940">
        <v>0</v>
      </c>
      <c r="AU2940" s="3">
        <v>42492</v>
      </c>
      <c r="AV2940" s="3">
        <v>42492</v>
      </c>
      <c r="AW2940" t="s">
        <v>54</v>
      </c>
      <c r="AX2940" t="str">
        <f t="shared" si="345"/>
        <v>FOR</v>
      </c>
      <c r="AY2940" t="s">
        <v>55</v>
      </c>
    </row>
    <row r="2941" spans="1:51">
      <c r="A2941">
        <v>104095</v>
      </c>
      <c r="B2941" t="s">
        <v>361</v>
      </c>
      <c r="C2941" t="str">
        <f t="shared" si="344"/>
        <v>10181220152</v>
      </c>
      <c r="D2941" t="str">
        <f t="shared" si="344"/>
        <v>10181220152</v>
      </c>
      <c r="E2941" t="s">
        <v>52</v>
      </c>
      <c r="F2941">
        <v>2015</v>
      </c>
      <c r="G2941" t="str">
        <f>"          9575320746"</f>
        <v xml:space="preserve">          9575320746</v>
      </c>
      <c r="H2941" s="3">
        <v>42129</v>
      </c>
      <c r="I2941" s="3">
        <v>42131</v>
      </c>
      <c r="J2941" s="3">
        <v>42130</v>
      </c>
      <c r="K2941" s="3">
        <v>42190</v>
      </c>
      <c r="L2941" s="5">
        <v>3990.54</v>
      </c>
      <c r="M2941">
        <v>302</v>
      </c>
      <c r="N2941" s="5">
        <v>1205143.08</v>
      </c>
      <c r="O2941" s="4">
        <v>3990.54</v>
      </c>
      <c r="P2941">
        <v>302</v>
      </c>
      <c r="Q2941" s="4">
        <v>1205143.08</v>
      </c>
      <c r="R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 s="3">
        <v>42562</v>
      </c>
      <c r="AC2941" t="s">
        <v>53</v>
      </c>
      <c r="AD2941" t="s">
        <v>53</v>
      </c>
      <c r="AK2941">
        <v>0</v>
      </c>
      <c r="AU2941" s="3">
        <v>42492</v>
      </c>
      <c r="AV2941" s="3">
        <v>42492</v>
      </c>
      <c r="AW2941" t="s">
        <v>54</v>
      </c>
      <c r="AX2941" t="str">
        <f t="shared" si="345"/>
        <v>FOR</v>
      </c>
      <c r="AY2941" t="s">
        <v>55</v>
      </c>
    </row>
    <row r="2942" spans="1:51">
      <c r="A2942">
        <v>104095</v>
      </c>
      <c r="B2942" t="s">
        <v>361</v>
      </c>
      <c r="C2942" t="str">
        <f t="shared" si="344"/>
        <v>10181220152</v>
      </c>
      <c r="D2942" t="str">
        <f t="shared" si="344"/>
        <v>10181220152</v>
      </c>
      <c r="E2942" t="s">
        <v>52</v>
      </c>
      <c r="F2942">
        <v>2015</v>
      </c>
      <c r="G2942" t="str">
        <f>"          9575326719"</f>
        <v xml:space="preserve">          9575326719</v>
      </c>
      <c r="H2942" s="3">
        <v>42163</v>
      </c>
      <c r="I2942" s="3">
        <v>42167</v>
      </c>
      <c r="J2942" s="3">
        <v>42165</v>
      </c>
      <c r="K2942" s="3">
        <v>42225</v>
      </c>
      <c r="L2942" s="5">
        <v>10478.73</v>
      </c>
      <c r="M2942">
        <v>267</v>
      </c>
      <c r="N2942" s="5">
        <v>2797820.91</v>
      </c>
      <c r="O2942" s="4">
        <v>10478.73</v>
      </c>
      <c r="P2942">
        <v>267</v>
      </c>
      <c r="Q2942" s="4">
        <v>2797820.91</v>
      </c>
      <c r="R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 s="3">
        <v>42562</v>
      </c>
      <c r="AC2942" t="s">
        <v>53</v>
      </c>
      <c r="AD2942" t="s">
        <v>53</v>
      </c>
      <c r="AK2942">
        <v>0</v>
      </c>
      <c r="AU2942" s="3">
        <v>42492</v>
      </c>
      <c r="AV2942" s="3">
        <v>42492</v>
      </c>
      <c r="AW2942" t="s">
        <v>54</v>
      </c>
      <c r="AX2942" t="str">
        <f t="shared" si="345"/>
        <v>FOR</v>
      </c>
      <c r="AY2942" t="s">
        <v>55</v>
      </c>
    </row>
    <row r="2943" spans="1:51">
      <c r="A2943">
        <v>104095</v>
      </c>
      <c r="B2943" t="s">
        <v>361</v>
      </c>
      <c r="C2943" t="str">
        <f t="shared" si="344"/>
        <v>10181220152</v>
      </c>
      <c r="D2943" t="str">
        <f t="shared" si="344"/>
        <v>10181220152</v>
      </c>
      <c r="E2943" t="s">
        <v>52</v>
      </c>
      <c r="F2943">
        <v>2015</v>
      </c>
      <c r="G2943" t="str">
        <f>"          9575332071"</f>
        <v xml:space="preserve">          9575332071</v>
      </c>
      <c r="H2943" s="3">
        <v>42185</v>
      </c>
      <c r="I2943" s="3">
        <v>42193</v>
      </c>
      <c r="J2943" s="3">
        <v>42192</v>
      </c>
      <c r="K2943" s="3">
        <v>42252</v>
      </c>
      <c r="L2943" s="5">
        <v>3990.54</v>
      </c>
      <c r="M2943">
        <v>240</v>
      </c>
      <c r="N2943" s="5">
        <v>957729.6</v>
      </c>
      <c r="O2943" s="4">
        <v>3990.54</v>
      </c>
      <c r="P2943">
        <v>240</v>
      </c>
      <c r="Q2943" s="4">
        <v>957729.6</v>
      </c>
      <c r="R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 s="3">
        <v>42562</v>
      </c>
      <c r="AC2943" t="s">
        <v>53</v>
      </c>
      <c r="AD2943" t="s">
        <v>53</v>
      </c>
      <c r="AK2943">
        <v>0</v>
      </c>
      <c r="AU2943" s="3">
        <v>42492</v>
      </c>
      <c r="AV2943" s="3">
        <v>42492</v>
      </c>
      <c r="AW2943" t="s">
        <v>54</v>
      </c>
      <c r="AX2943" t="str">
        <f t="shared" si="345"/>
        <v>FOR</v>
      </c>
      <c r="AY2943" t="s">
        <v>55</v>
      </c>
    </row>
    <row r="2944" spans="1:51">
      <c r="A2944">
        <v>104095</v>
      </c>
      <c r="B2944" t="s">
        <v>361</v>
      </c>
      <c r="C2944" t="str">
        <f t="shared" si="344"/>
        <v>10181220152</v>
      </c>
      <c r="D2944" t="str">
        <f t="shared" si="344"/>
        <v>10181220152</v>
      </c>
      <c r="E2944" t="s">
        <v>52</v>
      </c>
      <c r="F2944">
        <v>2015</v>
      </c>
      <c r="G2944" t="str">
        <f>"          9585303712"</f>
        <v xml:space="preserve">          9585303712</v>
      </c>
      <c r="H2944" s="3">
        <v>42102</v>
      </c>
      <c r="I2944" s="3">
        <v>42108</v>
      </c>
      <c r="J2944" s="3">
        <v>42107</v>
      </c>
      <c r="K2944" s="3">
        <v>42167</v>
      </c>
      <c r="L2944" s="5">
        <v>2000</v>
      </c>
      <c r="M2944">
        <v>325</v>
      </c>
      <c r="N2944" s="5">
        <v>650000</v>
      </c>
      <c r="O2944" s="4">
        <v>2000</v>
      </c>
      <c r="P2944">
        <v>325</v>
      </c>
      <c r="Q2944" s="4">
        <v>650000</v>
      </c>
      <c r="R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 s="3">
        <v>42562</v>
      </c>
      <c r="AC2944" t="s">
        <v>53</v>
      </c>
      <c r="AD2944" t="s">
        <v>53</v>
      </c>
      <c r="AK2944">
        <v>0</v>
      </c>
      <c r="AU2944" s="3">
        <v>42492</v>
      </c>
      <c r="AV2944" s="3">
        <v>42492</v>
      </c>
      <c r="AW2944" t="s">
        <v>54</v>
      </c>
      <c r="AX2944" t="str">
        <f t="shared" si="345"/>
        <v>FOR</v>
      </c>
      <c r="AY2944" t="s">
        <v>55</v>
      </c>
    </row>
    <row r="2945" spans="1:51">
      <c r="A2945">
        <v>104095</v>
      </c>
      <c r="B2945" t="s">
        <v>361</v>
      </c>
      <c r="C2945" t="str">
        <f t="shared" si="344"/>
        <v>10181220152</v>
      </c>
      <c r="D2945" t="str">
        <f t="shared" si="344"/>
        <v>10181220152</v>
      </c>
      <c r="E2945" t="s">
        <v>52</v>
      </c>
      <c r="F2945">
        <v>2015</v>
      </c>
      <c r="G2945" t="str">
        <f>"          9585303713"</f>
        <v xml:space="preserve">          9585303713</v>
      </c>
      <c r="H2945" s="3">
        <v>42102</v>
      </c>
      <c r="I2945" s="3">
        <v>42108</v>
      </c>
      <c r="J2945" s="3">
        <v>42107</v>
      </c>
      <c r="K2945" s="3">
        <v>42167</v>
      </c>
      <c r="L2945" s="5">
        <v>1650</v>
      </c>
      <c r="M2945">
        <v>325</v>
      </c>
      <c r="N2945" s="5">
        <v>536250</v>
      </c>
      <c r="O2945" s="4">
        <v>1650</v>
      </c>
      <c r="P2945">
        <v>325</v>
      </c>
      <c r="Q2945" s="4">
        <v>536250</v>
      </c>
      <c r="R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 s="3">
        <v>42562</v>
      </c>
      <c r="AC2945" t="s">
        <v>53</v>
      </c>
      <c r="AD2945" t="s">
        <v>53</v>
      </c>
      <c r="AK2945">
        <v>0</v>
      </c>
      <c r="AU2945" s="3">
        <v>42492</v>
      </c>
      <c r="AV2945" s="3">
        <v>42492</v>
      </c>
      <c r="AW2945" t="s">
        <v>54</v>
      </c>
      <c r="AX2945" t="str">
        <f t="shared" si="345"/>
        <v>FOR</v>
      </c>
      <c r="AY2945" t="s">
        <v>55</v>
      </c>
    </row>
    <row r="2946" spans="1:51">
      <c r="A2946">
        <v>104095</v>
      </c>
      <c r="B2946" t="s">
        <v>361</v>
      </c>
      <c r="C2946" t="str">
        <f t="shared" si="344"/>
        <v>10181220152</v>
      </c>
      <c r="D2946" t="str">
        <f t="shared" si="344"/>
        <v>10181220152</v>
      </c>
      <c r="E2946" t="s">
        <v>52</v>
      </c>
      <c r="F2946">
        <v>2015</v>
      </c>
      <c r="G2946" t="str">
        <f>"          9585303714"</f>
        <v xml:space="preserve">          9585303714</v>
      </c>
      <c r="H2946" s="3">
        <v>42102</v>
      </c>
      <c r="I2946" s="3">
        <v>42108</v>
      </c>
      <c r="J2946" s="3">
        <v>42107</v>
      </c>
      <c r="K2946" s="3">
        <v>42167</v>
      </c>
      <c r="L2946" s="1">
        <v>50</v>
      </c>
      <c r="M2946">
        <v>325</v>
      </c>
      <c r="N2946" s="5">
        <v>16250</v>
      </c>
      <c r="O2946">
        <v>50</v>
      </c>
      <c r="P2946">
        <v>325</v>
      </c>
      <c r="Q2946" s="4">
        <v>16250</v>
      </c>
      <c r="R2946">
        <v>0</v>
      </c>
      <c r="V2946">
        <v>0</v>
      </c>
      <c r="W2946">
        <v>0</v>
      </c>
      <c r="X2946">
        <v>0</v>
      </c>
      <c r="Y2946">
        <v>0</v>
      </c>
      <c r="Z2946">
        <v>0</v>
      </c>
      <c r="AA2946">
        <v>0</v>
      </c>
      <c r="AB2946" s="3">
        <v>42562</v>
      </c>
      <c r="AC2946" t="s">
        <v>53</v>
      </c>
      <c r="AD2946" t="s">
        <v>53</v>
      </c>
      <c r="AK2946">
        <v>0</v>
      </c>
      <c r="AU2946" s="3">
        <v>42492</v>
      </c>
      <c r="AV2946" s="3">
        <v>42492</v>
      </c>
      <c r="AW2946" t="s">
        <v>54</v>
      </c>
      <c r="AX2946" t="str">
        <f t="shared" si="345"/>
        <v>FOR</v>
      </c>
      <c r="AY2946" t="s">
        <v>55</v>
      </c>
    </row>
    <row r="2947" spans="1:51" hidden="1">
      <c r="A2947">
        <v>104124</v>
      </c>
      <c r="B2947" t="s">
        <v>362</v>
      </c>
      <c r="C2947" t="str">
        <f t="shared" ref="C2947:C2955" si="346">"03104731215"</f>
        <v>03104731215</v>
      </c>
      <c r="D2947" t="str">
        <f t="shared" ref="D2947:D2955" si="347">"CPTMSM61E01L245Y"</f>
        <v>CPTMSM61E01L245Y</v>
      </c>
      <c r="E2947" t="s">
        <v>52</v>
      </c>
      <c r="F2947">
        <v>2015</v>
      </c>
      <c r="G2947" t="str">
        <f>"           30 E 2015"</f>
        <v xml:space="preserve">           30 E 2015</v>
      </c>
      <c r="H2947" s="3">
        <v>42217</v>
      </c>
      <c r="I2947" s="3">
        <v>42236</v>
      </c>
      <c r="J2947" s="3">
        <v>42236</v>
      </c>
      <c r="K2947" s="3">
        <v>42296</v>
      </c>
      <c r="L2947"/>
      <c r="N2947"/>
      <c r="O2947" s="4">
        <v>1510.52</v>
      </c>
      <c r="P2947">
        <v>156</v>
      </c>
      <c r="Q2947" s="4">
        <v>235641.12</v>
      </c>
      <c r="R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 s="3">
        <v>42562</v>
      </c>
      <c r="AC2947" t="s">
        <v>53</v>
      </c>
      <c r="AD2947" t="s">
        <v>53</v>
      </c>
      <c r="AK2947">
        <v>0</v>
      </c>
      <c r="AU2947" s="3">
        <v>42452</v>
      </c>
      <c r="AV2947" s="3">
        <v>42452</v>
      </c>
      <c r="AW2947" t="s">
        <v>54</v>
      </c>
      <c r="AX2947" t="str">
        <f t="shared" si="345"/>
        <v>FOR</v>
      </c>
      <c r="AY2947" t="s">
        <v>55</v>
      </c>
    </row>
    <row r="2948" spans="1:51" hidden="1">
      <c r="A2948">
        <v>104124</v>
      </c>
      <c r="B2948" t="s">
        <v>362</v>
      </c>
      <c r="C2948" t="str">
        <f t="shared" si="346"/>
        <v>03104731215</v>
      </c>
      <c r="D2948" t="str">
        <f t="shared" si="347"/>
        <v>CPTMSM61E01L245Y</v>
      </c>
      <c r="E2948" t="s">
        <v>52</v>
      </c>
      <c r="F2948">
        <v>2015</v>
      </c>
      <c r="G2948" t="str">
        <f>"           42 E 2015"</f>
        <v xml:space="preserve">           42 E 2015</v>
      </c>
      <c r="H2948" s="3">
        <v>42262</v>
      </c>
      <c r="I2948" s="3">
        <v>42272</v>
      </c>
      <c r="J2948" s="3">
        <v>42272</v>
      </c>
      <c r="K2948" s="3">
        <v>42332</v>
      </c>
      <c r="L2948"/>
      <c r="N2948"/>
      <c r="O2948" s="4">
        <v>2447.3000000000002</v>
      </c>
      <c r="P2948">
        <v>73</v>
      </c>
      <c r="Q2948" s="4">
        <v>178652.9</v>
      </c>
      <c r="R2948">
        <v>0</v>
      </c>
      <c r="V2948">
        <v>0</v>
      </c>
      <c r="W2948">
        <v>0</v>
      </c>
      <c r="X2948">
        <v>0</v>
      </c>
      <c r="Y2948">
        <v>0</v>
      </c>
      <c r="Z2948">
        <v>0</v>
      </c>
      <c r="AA2948">
        <v>0</v>
      </c>
      <c r="AB2948" s="3">
        <v>42562</v>
      </c>
      <c r="AC2948" t="s">
        <v>53</v>
      </c>
      <c r="AD2948" t="s">
        <v>53</v>
      </c>
      <c r="AK2948">
        <v>0</v>
      </c>
      <c r="AU2948" s="3">
        <v>42405</v>
      </c>
      <c r="AV2948" s="3">
        <v>42405</v>
      </c>
      <c r="AW2948" t="s">
        <v>54</v>
      </c>
      <c r="AX2948" t="str">
        <f t="shared" si="345"/>
        <v>FOR</v>
      </c>
      <c r="AY2948" t="s">
        <v>55</v>
      </c>
    </row>
    <row r="2949" spans="1:51" hidden="1">
      <c r="A2949">
        <v>104124</v>
      </c>
      <c r="B2949" t="s">
        <v>362</v>
      </c>
      <c r="C2949" t="str">
        <f t="shared" si="346"/>
        <v>03104731215</v>
      </c>
      <c r="D2949" t="str">
        <f t="shared" si="347"/>
        <v>CPTMSM61E01L245Y</v>
      </c>
      <c r="E2949" t="s">
        <v>52</v>
      </c>
      <c r="F2949">
        <v>2015</v>
      </c>
      <c r="G2949" t="str">
        <f>"           45 E 2015"</f>
        <v xml:space="preserve">           45 E 2015</v>
      </c>
      <c r="H2949" s="3">
        <v>42272</v>
      </c>
      <c r="I2949" s="3">
        <v>42272</v>
      </c>
      <c r="J2949" s="3">
        <v>42272</v>
      </c>
      <c r="K2949" s="3">
        <v>42332</v>
      </c>
      <c r="L2949"/>
      <c r="N2949"/>
      <c r="O2949" s="4">
        <v>11703.98</v>
      </c>
      <c r="P2949">
        <v>73</v>
      </c>
      <c r="Q2949" s="4">
        <v>854390.54</v>
      </c>
      <c r="R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 s="3">
        <v>42562</v>
      </c>
      <c r="AC2949" t="s">
        <v>53</v>
      </c>
      <c r="AD2949" t="s">
        <v>53</v>
      </c>
      <c r="AK2949">
        <v>0</v>
      </c>
      <c r="AU2949" s="3">
        <v>42405</v>
      </c>
      <c r="AV2949" s="3">
        <v>42405</v>
      </c>
      <c r="AW2949" t="s">
        <v>54</v>
      </c>
      <c r="AX2949" t="str">
        <f t="shared" si="345"/>
        <v>FOR</v>
      </c>
      <c r="AY2949" t="s">
        <v>55</v>
      </c>
    </row>
    <row r="2950" spans="1:51" hidden="1">
      <c r="A2950">
        <v>104124</v>
      </c>
      <c r="B2950" t="s">
        <v>362</v>
      </c>
      <c r="C2950" t="str">
        <f t="shared" si="346"/>
        <v>03104731215</v>
      </c>
      <c r="D2950" t="str">
        <f t="shared" si="347"/>
        <v>CPTMSM61E01L245Y</v>
      </c>
      <c r="E2950" t="s">
        <v>52</v>
      </c>
      <c r="F2950">
        <v>2015</v>
      </c>
      <c r="G2950" t="str">
        <f>"           46 E 2015"</f>
        <v xml:space="preserve">           46 E 2015</v>
      </c>
      <c r="H2950" s="3">
        <v>42283</v>
      </c>
      <c r="I2950" s="3">
        <v>42290</v>
      </c>
      <c r="J2950" s="3">
        <v>42290</v>
      </c>
      <c r="K2950" s="3">
        <v>42350</v>
      </c>
      <c r="L2950"/>
      <c r="N2950"/>
      <c r="O2950" s="4">
        <v>1161.19</v>
      </c>
      <c r="P2950">
        <v>66</v>
      </c>
      <c r="Q2950" s="4">
        <v>76638.539999999994</v>
      </c>
      <c r="R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 s="3">
        <v>42562</v>
      </c>
      <c r="AC2950" t="s">
        <v>53</v>
      </c>
      <c r="AD2950" t="s">
        <v>53</v>
      </c>
      <c r="AK2950">
        <v>0</v>
      </c>
      <c r="AU2950" s="3">
        <v>42416</v>
      </c>
      <c r="AV2950" s="3">
        <v>42416</v>
      </c>
      <c r="AW2950" t="s">
        <v>54</v>
      </c>
      <c r="AX2950" t="str">
        <f t="shared" si="345"/>
        <v>FOR</v>
      </c>
      <c r="AY2950" t="s">
        <v>55</v>
      </c>
    </row>
    <row r="2951" spans="1:51" hidden="1">
      <c r="A2951">
        <v>104124</v>
      </c>
      <c r="B2951" t="s">
        <v>362</v>
      </c>
      <c r="C2951" t="str">
        <f t="shared" si="346"/>
        <v>03104731215</v>
      </c>
      <c r="D2951" t="str">
        <f t="shared" si="347"/>
        <v>CPTMSM61E01L245Y</v>
      </c>
      <c r="E2951" t="s">
        <v>52</v>
      </c>
      <c r="F2951">
        <v>2015</v>
      </c>
      <c r="G2951" t="str">
        <f>"           48 E 2015"</f>
        <v xml:space="preserve">           48 E 2015</v>
      </c>
      <c r="H2951" s="3">
        <v>42283</v>
      </c>
      <c r="I2951" s="3">
        <v>42297</v>
      </c>
      <c r="J2951" s="3">
        <v>42296</v>
      </c>
      <c r="K2951" s="3">
        <v>42356</v>
      </c>
      <c r="L2951"/>
      <c r="N2951"/>
      <c r="O2951" s="4">
        <v>3840.92</v>
      </c>
      <c r="P2951">
        <v>60</v>
      </c>
      <c r="Q2951" s="4">
        <v>230455.2</v>
      </c>
      <c r="R2951">
        <v>0</v>
      </c>
      <c r="V2951">
        <v>0</v>
      </c>
      <c r="W2951">
        <v>0</v>
      </c>
      <c r="X2951">
        <v>0</v>
      </c>
      <c r="Y2951">
        <v>0</v>
      </c>
      <c r="Z2951">
        <v>0</v>
      </c>
      <c r="AA2951">
        <v>0</v>
      </c>
      <c r="AB2951" s="3">
        <v>42562</v>
      </c>
      <c r="AC2951" t="s">
        <v>53</v>
      </c>
      <c r="AD2951" t="s">
        <v>53</v>
      </c>
      <c r="AK2951">
        <v>0</v>
      </c>
      <c r="AU2951" s="3">
        <v>42416</v>
      </c>
      <c r="AV2951" s="3">
        <v>42416</v>
      </c>
      <c r="AW2951" t="s">
        <v>54</v>
      </c>
      <c r="AX2951" t="str">
        <f t="shared" si="345"/>
        <v>FOR</v>
      </c>
      <c r="AY2951" t="s">
        <v>55</v>
      </c>
    </row>
    <row r="2952" spans="1:51" hidden="1">
      <c r="A2952">
        <v>104124</v>
      </c>
      <c r="B2952" t="s">
        <v>362</v>
      </c>
      <c r="C2952" t="str">
        <f t="shared" si="346"/>
        <v>03104731215</v>
      </c>
      <c r="D2952" t="str">
        <f t="shared" si="347"/>
        <v>CPTMSM61E01L245Y</v>
      </c>
      <c r="E2952" t="s">
        <v>52</v>
      </c>
      <c r="F2952">
        <v>2015</v>
      </c>
      <c r="G2952" t="str">
        <f>"           49 E 2015"</f>
        <v xml:space="preserve">           49 E 2015</v>
      </c>
      <c r="H2952" s="3">
        <v>42283</v>
      </c>
      <c r="I2952" s="3">
        <v>42297</v>
      </c>
      <c r="J2952" s="3">
        <v>42296</v>
      </c>
      <c r="K2952" s="3">
        <v>42356</v>
      </c>
      <c r="L2952"/>
      <c r="N2952"/>
      <c r="O2952" s="4">
        <v>3824.58</v>
      </c>
      <c r="P2952">
        <v>60</v>
      </c>
      <c r="Q2952" s="4">
        <v>229474.8</v>
      </c>
      <c r="R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 s="3">
        <v>42562</v>
      </c>
      <c r="AC2952" t="s">
        <v>53</v>
      </c>
      <c r="AD2952" t="s">
        <v>53</v>
      </c>
      <c r="AK2952">
        <v>0</v>
      </c>
      <c r="AU2952" s="3">
        <v>42416</v>
      </c>
      <c r="AV2952" s="3">
        <v>42416</v>
      </c>
      <c r="AW2952" t="s">
        <v>54</v>
      </c>
      <c r="AX2952" t="str">
        <f t="shared" si="345"/>
        <v>FOR</v>
      </c>
      <c r="AY2952" t="s">
        <v>55</v>
      </c>
    </row>
    <row r="2953" spans="1:51" hidden="1">
      <c r="A2953">
        <v>104124</v>
      </c>
      <c r="B2953" t="s">
        <v>362</v>
      </c>
      <c r="C2953" t="str">
        <f t="shared" si="346"/>
        <v>03104731215</v>
      </c>
      <c r="D2953" t="str">
        <f t="shared" si="347"/>
        <v>CPTMSM61E01L245Y</v>
      </c>
      <c r="E2953" t="s">
        <v>52</v>
      </c>
      <c r="F2953">
        <v>2015</v>
      </c>
      <c r="G2953" t="str">
        <f>"           50 E 2015"</f>
        <v xml:space="preserve">           50 E 2015</v>
      </c>
      <c r="H2953" s="3">
        <v>42296</v>
      </c>
      <c r="I2953" s="3">
        <v>42297</v>
      </c>
      <c r="J2953" s="3">
        <v>42296</v>
      </c>
      <c r="K2953" s="3">
        <v>42356</v>
      </c>
      <c r="L2953"/>
      <c r="N2953"/>
      <c r="O2953" s="4">
        <v>12396.24</v>
      </c>
      <c r="P2953">
        <v>60</v>
      </c>
      <c r="Q2953" s="4">
        <v>743774.4</v>
      </c>
      <c r="R2953">
        <v>0</v>
      </c>
      <c r="V2953">
        <v>0</v>
      </c>
      <c r="W2953">
        <v>0</v>
      </c>
      <c r="X2953">
        <v>0</v>
      </c>
      <c r="Y2953">
        <v>0</v>
      </c>
      <c r="Z2953">
        <v>0</v>
      </c>
      <c r="AA2953">
        <v>0</v>
      </c>
      <c r="AB2953" s="3">
        <v>42562</v>
      </c>
      <c r="AC2953" t="s">
        <v>53</v>
      </c>
      <c r="AD2953" t="s">
        <v>53</v>
      </c>
      <c r="AK2953">
        <v>0</v>
      </c>
      <c r="AU2953" s="3">
        <v>42416</v>
      </c>
      <c r="AV2953" s="3">
        <v>42416</v>
      </c>
      <c r="AW2953" t="s">
        <v>54</v>
      </c>
      <c r="AX2953" t="str">
        <f t="shared" si="345"/>
        <v>FOR</v>
      </c>
      <c r="AY2953" t="s">
        <v>55</v>
      </c>
    </row>
    <row r="2954" spans="1:51" hidden="1">
      <c r="A2954">
        <v>104124</v>
      </c>
      <c r="B2954" t="s">
        <v>362</v>
      </c>
      <c r="C2954" t="str">
        <f t="shared" si="346"/>
        <v>03104731215</v>
      </c>
      <c r="D2954" t="str">
        <f t="shared" si="347"/>
        <v>CPTMSM61E01L245Y</v>
      </c>
      <c r="E2954" t="s">
        <v>52</v>
      </c>
      <c r="F2954">
        <v>2015</v>
      </c>
      <c r="G2954" t="str">
        <f>"           53 E 2015"</f>
        <v xml:space="preserve">           53 E 2015</v>
      </c>
      <c r="H2954" s="3">
        <v>42304</v>
      </c>
      <c r="I2954" s="3">
        <v>42305</v>
      </c>
      <c r="J2954" s="3">
        <v>42304</v>
      </c>
      <c r="K2954" s="3">
        <v>42364</v>
      </c>
      <c r="L2954"/>
      <c r="N2954"/>
      <c r="O2954" s="4">
        <v>4098</v>
      </c>
      <c r="P2954">
        <v>52</v>
      </c>
      <c r="Q2954" s="4">
        <v>213096</v>
      </c>
      <c r="R2954">
        <v>0</v>
      </c>
      <c r="V2954">
        <v>0</v>
      </c>
      <c r="W2954">
        <v>0</v>
      </c>
      <c r="X2954">
        <v>0</v>
      </c>
      <c r="Y2954">
        <v>0</v>
      </c>
      <c r="Z2954">
        <v>0</v>
      </c>
      <c r="AA2954">
        <v>0</v>
      </c>
      <c r="AB2954" s="3">
        <v>42562</v>
      </c>
      <c r="AC2954" t="s">
        <v>53</v>
      </c>
      <c r="AD2954" t="s">
        <v>53</v>
      </c>
      <c r="AK2954">
        <v>0</v>
      </c>
      <c r="AU2954" s="3">
        <v>42416</v>
      </c>
      <c r="AV2954" s="3">
        <v>42416</v>
      </c>
      <c r="AW2954" t="s">
        <v>54</v>
      </c>
      <c r="AX2954" t="str">
        <f t="shared" si="345"/>
        <v>FOR</v>
      </c>
      <c r="AY2954" t="s">
        <v>55</v>
      </c>
    </row>
    <row r="2955" spans="1:51" hidden="1">
      <c r="A2955">
        <v>104124</v>
      </c>
      <c r="B2955" t="s">
        <v>362</v>
      </c>
      <c r="C2955" t="str">
        <f t="shared" si="346"/>
        <v>03104731215</v>
      </c>
      <c r="D2955" t="str">
        <f t="shared" si="347"/>
        <v>CPTMSM61E01L245Y</v>
      </c>
      <c r="E2955" t="s">
        <v>52</v>
      </c>
      <c r="F2955">
        <v>2015</v>
      </c>
      <c r="G2955" t="str">
        <f>"           54 E 2015"</f>
        <v xml:space="preserve">           54 E 2015</v>
      </c>
      <c r="H2955" s="3">
        <v>42305</v>
      </c>
      <c r="I2955" s="3">
        <v>42307</v>
      </c>
      <c r="J2955" s="3">
        <v>42305</v>
      </c>
      <c r="K2955" s="3">
        <v>42365</v>
      </c>
      <c r="L2955"/>
      <c r="N2955"/>
      <c r="O2955" s="4">
        <v>3966.5</v>
      </c>
      <c r="P2955">
        <v>51</v>
      </c>
      <c r="Q2955" s="4">
        <v>202291.5</v>
      </c>
      <c r="R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 s="3">
        <v>42562</v>
      </c>
      <c r="AC2955" t="s">
        <v>53</v>
      </c>
      <c r="AD2955" t="s">
        <v>53</v>
      </c>
      <c r="AK2955">
        <v>0</v>
      </c>
      <c r="AU2955" s="3">
        <v>42416</v>
      </c>
      <c r="AV2955" s="3">
        <v>42416</v>
      </c>
      <c r="AW2955" t="s">
        <v>54</v>
      </c>
      <c r="AX2955" t="str">
        <f t="shared" si="345"/>
        <v>FOR</v>
      </c>
      <c r="AY2955" t="s">
        <v>55</v>
      </c>
    </row>
    <row r="2956" spans="1:51" hidden="1">
      <c r="A2956">
        <v>104126</v>
      </c>
      <c r="B2956" t="s">
        <v>363</v>
      </c>
      <c r="C2956" t="str">
        <f t="shared" ref="C2956:D2964" si="348">"06853240635"</f>
        <v>06853240635</v>
      </c>
      <c r="D2956" t="str">
        <f t="shared" si="348"/>
        <v>06853240635</v>
      </c>
      <c r="E2956" t="s">
        <v>52</v>
      </c>
      <c r="F2956">
        <v>2015</v>
      </c>
      <c r="G2956" t="str">
        <f>"                5762"</f>
        <v xml:space="preserve">                5762</v>
      </c>
      <c r="H2956" s="3">
        <v>42089</v>
      </c>
      <c r="I2956" s="3">
        <v>42097</v>
      </c>
      <c r="J2956" s="3">
        <v>42097</v>
      </c>
      <c r="K2956" s="3">
        <v>42157</v>
      </c>
      <c r="L2956"/>
      <c r="N2956"/>
      <c r="O2956">
        <v>913.4</v>
      </c>
      <c r="P2956">
        <v>245</v>
      </c>
      <c r="Q2956" s="4">
        <v>223783</v>
      </c>
      <c r="R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 s="3">
        <v>42562</v>
      </c>
      <c r="AC2956" t="s">
        <v>53</v>
      </c>
      <c r="AD2956" t="s">
        <v>53</v>
      </c>
      <c r="AK2956">
        <v>0</v>
      </c>
      <c r="AU2956" s="3">
        <v>42402</v>
      </c>
      <c r="AV2956" s="3">
        <v>42402</v>
      </c>
      <c r="AW2956" t="s">
        <v>54</v>
      </c>
      <c r="AX2956" t="str">
        <f t="shared" ref="AX2956:AX2964" si="349">"AZ2"</f>
        <v>AZ2</v>
      </c>
      <c r="AY2956" t="s">
        <v>349</v>
      </c>
    </row>
    <row r="2957" spans="1:51" hidden="1">
      <c r="A2957">
        <v>104126</v>
      </c>
      <c r="B2957" t="s">
        <v>363</v>
      </c>
      <c r="C2957" t="str">
        <f t="shared" si="348"/>
        <v>06853240635</v>
      </c>
      <c r="D2957" t="str">
        <f t="shared" si="348"/>
        <v>06853240635</v>
      </c>
      <c r="E2957" t="s">
        <v>52</v>
      </c>
      <c r="F2957">
        <v>2015</v>
      </c>
      <c r="G2957" t="str">
        <f>"         FEL/2015/85"</f>
        <v xml:space="preserve">         FEL/2015/85</v>
      </c>
      <c r="H2957" s="3">
        <v>42117</v>
      </c>
      <c r="I2957" s="3">
        <v>42165</v>
      </c>
      <c r="J2957" s="3">
        <v>42148</v>
      </c>
      <c r="K2957" s="3">
        <v>42208</v>
      </c>
      <c r="L2957"/>
      <c r="N2957"/>
      <c r="O2957" s="4">
        <v>1043.5999999999999</v>
      </c>
      <c r="P2957">
        <v>194</v>
      </c>
      <c r="Q2957" s="4">
        <v>202458.4</v>
      </c>
      <c r="R2957">
        <v>0</v>
      </c>
      <c r="V2957">
        <v>0</v>
      </c>
      <c r="W2957">
        <v>0</v>
      </c>
      <c r="X2957">
        <v>0</v>
      </c>
      <c r="Y2957">
        <v>0</v>
      </c>
      <c r="Z2957">
        <v>0</v>
      </c>
      <c r="AA2957">
        <v>0</v>
      </c>
      <c r="AB2957" s="3">
        <v>42562</v>
      </c>
      <c r="AC2957" t="s">
        <v>53</v>
      </c>
      <c r="AD2957" t="s">
        <v>53</v>
      </c>
      <c r="AK2957">
        <v>0</v>
      </c>
      <c r="AU2957" s="3">
        <v>42402</v>
      </c>
      <c r="AV2957" s="3">
        <v>42402</v>
      </c>
      <c r="AW2957" t="s">
        <v>54</v>
      </c>
      <c r="AX2957" t="str">
        <f t="shared" si="349"/>
        <v>AZ2</v>
      </c>
      <c r="AY2957" t="s">
        <v>349</v>
      </c>
    </row>
    <row r="2958" spans="1:51" hidden="1">
      <c r="A2958">
        <v>104126</v>
      </c>
      <c r="B2958" t="s">
        <v>363</v>
      </c>
      <c r="C2958" t="str">
        <f t="shared" si="348"/>
        <v>06853240635</v>
      </c>
      <c r="D2958" t="str">
        <f t="shared" si="348"/>
        <v>06853240635</v>
      </c>
      <c r="E2958" t="s">
        <v>52</v>
      </c>
      <c r="F2958">
        <v>2015</v>
      </c>
      <c r="G2958" t="str">
        <f>"        FEL/2015/118"</f>
        <v xml:space="preserve">        FEL/2015/118</v>
      </c>
      <c r="H2958" s="3">
        <v>42130</v>
      </c>
      <c r="I2958" s="3">
        <v>42165</v>
      </c>
      <c r="J2958" s="3">
        <v>42142</v>
      </c>
      <c r="K2958" s="3">
        <v>42202</v>
      </c>
      <c r="L2958"/>
      <c r="N2958"/>
      <c r="O2958" s="4">
        <v>1011.05</v>
      </c>
      <c r="P2958">
        <v>200</v>
      </c>
      <c r="Q2958" s="4">
        <v>202210</v>
      </c>
      <c r="R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 s="3">
        <v>42562</v>
      </c>
      <c r="AC2958" t="s">
        <v>53</v>
      </c>
      <c r="AD2958" t="s">
        <v>53</v>
      </c>
      <c r="AK2958">
        <v>0</v>
      </c>
      <c r="AU2958" s="3">
        <v>42402</v>
      </c>
      <c r="AV2958" s="3">
        <v>42402</v>
      </c>
      <c r="AW2958" t="s">
        <v>54</v>
      </c>
      <c r="AX2958" t="str">
        <f t="shared" si="349"/>
        <v>AZ2</v>
      </c>
      <c r="AY2958" t="s">
        <v>349</v>
      </c>
    </row>
    <row r="2959" spans="1:51" hidden="1">
      <c r="A2959">
        <v>104126</v>
      </c>
      <c r="B2959" t="s">
        <v>363</v>
      </c>
      <c r="C2959" t="str">
        <f t="shared" si="348"/>
        <v>06853240635</v>
      </c>
      <c r="D2959" t="str">
        <f t="shared" si="348"/>
        <v>06853240635</v>
      </c>
      <c r="E2959" t="s">
        <v>52</v>
      </c>
      <c r="F2959">
        <v>2015</v>
      </c>
      <c r="G2959" t="str">
        <f>"        FEL/2015/230"</f>
        <v xml:space="preserve">        FEL/2015/230</v>
      </c>
      <c r="H2959" s="3">
        <v>42181</v>
      </c>
      <c r="I2959" s="3">
        <v>42233</v>
      </c>
      <c r="J2959" s="3">
        <v>42207</v>
      </c>
      <c r="K2959" s="3">
        <v>42267</v>
      </c>
      <c r="L2959"/>
      <c r="N2959"/>
      <c r="O2959" s="4">
        <v>3191.9</v>
      </c>
      <c r="P2959">
        <v>184</v>
      </c>
      <c r="Q2959" s="4">
        <v>587309.6</v>
      </c>
      <c r="R2959">
        <v>0</v>
      </c>
      <c r="V2959">
        <v>0</v>
      </c>
      <c r="W2959">
        <v>0</v>
      </c>
      <c r="X2959">
        <v>0</v>
      </c>
      <c r="Y2959">
        <v>0</v>
      </c>
      <c r="Z2959">
        <v>0</v>
      </c>
      <c r="AA2959">
        <v>0</v>
      </c>
      <c r="AB2959" s="3">
        <v>42562</v>
      </c>
      <c r="AC2959" t="s">
        <v>53</v>
      </c>
      <c r="AD2959" t="s">
        <v>53</v>
      </c>
      <c r="AK2959">
        <v>0</v>
      </c>
      <c r="AU2959" s="3">
        <v>42451</v>
      </c>
      <c r="AV2959" s="3">
        <v>42451</v>
      </c>
      <c r="AW2959" t="s">
        <v>54</v>
      </c>
      <c r="AX2959" t="str">
        <f t="shared" si="349"/>
        <v>AZ2</v>
      </c>
      <c r="AY2959" t="s">
        <v>349</v>
      </c>
    </row>
    <row r="2960" spans="1:51" hidden="1">
      <c r="A2960">
        <v>104126</v>
      </c>
      <c r="B2960" t="s">
        <v>363</v>
      </c>
      <c r="C2960" t="str">
        <f t="shared" si="348"/>
        <v>06853240635</v>
      </c>
      <c r="D2960" t="str">
        <f t="shared" si="348"/>
        <v>06853240635</v>
      </c>
      <c r="E2960" t="s">
        <v>52</v>
      </c>
      <c r="F2960">
        <v>2015</v>
      </c>
      <c r="G2960" t="str">
        <f>"        FEL/2015/281"</f>
        <v xml:space="preserve">        FEL/2015/281</v>
      </c>
      <c r="H2960" s="3">
        <v>42229</v>
      </c>
      <c r="I2960" s="3">
        <v>42241</v>
      </c>
      <c r="J2960" s="3">
        <v>42240</v>
      </c>
      <c r="K2960" s="3">
        <v>42300</v>
      </c>
      <c r="L2960"/>
      <c r="N2960"/>
      <c r="O2960" s="4">
        <v>3196.02</v>
      </c>
      <c r="P2960">
        <v>102</v>
      </c>
      <c r="Q2960" s="4">
        <v>325994.03999999998</v>
      </c>
      <c r="R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 s="3">
        <v>42562</v>
      </c>
      <c r="AC2960" t="s">
        <v>53</v>
      </c>
      <c r="AD2960" t="s">
        <v>53</v>
      </c>
      <c r="AK2960">
        <v>0</v>
      </c>
      <c r="AU2960" s="3">
        <v>42402</v>
      </c>
      <c r="AV2960" s="3">
        <v>42402</v>
      </c>
      <c r="AW2960" t="s">
        <v>54</v>
      </c>
      <c r="AX2960" t="str">
        <f t="shared" si="349"/>
        <v>AZ2</v>
      </c>
      <c r="AY2960" t="s">
        <v>349</v>
      </c>
    </row>
    <row r="2961" spans="1:51" hidden="1">
      <c r="A2961">
        <v>104126</v>
      </c>
      <c r="B2961" t="s">
        <v>363</v>
      </c>
      <c r="C2961" t="str">
        <f t="shared" si="348"/>
        <v>06853240635</v>
      </c>
      <c r="D2961" t="str">
        <f t="shared" si="348"/>
        <v>06853240635</v>
      </c>
      <c r="E2961" t="s">
        <v>52</v>
      </c>
      <c r="F2961">
        <v>2015</v>
      </c>
      <c r="G2961" t="str">
        <f>"        FEL/2015/378"</f>
        <v xml:space="preserve">        FEL/2015/378</v>
      </c>
      <c r="H2961" s="3">
        <v>42275</v>
      </c>
      <c r="I2961" s="3">
        <v>42300</v>
      </c>
      <c r="J2961" s="3">
        <v>42299</v>
      </c>
      <c r="K2961" s="3">
        <v>42359</v>
      </c>
      <c r="L2961"/>
      <c r="N2961"/>
      <c r="O2961">
        <v>266</v>
      </c>
      <c r="P2961">
        <v>43</v>
      </c>
      <c r="Q2961" s="4">
        <v>11438</v>
      </c>
      <c r="R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 s="3">
        <v>42562</v>
      </c>
      <c r="AC2961" t="s">
        <v>53</v>
      </c>
      <c r="AD2961" t="s">
        <v>53</v>
      </c>
      <c r="AK2961">
        <v>0</v>
      </c>
      <c r="AU2961" s="3">
        <v>42402</v>
      </c>
      <c r="AV2961" s="3">
        <v>42402</v>
      </c>
      <c r="AW2961" t="s">
        <v>54</v>
      </c>
      <c r="AX2961" t="str">
        <f t="shared" si="349"/>
        <v>AZ2</v>
      </c>
      <c r="AY2961" t="s">
        <v>349</v>
      </c>
    </row>
    <row r="2962" spans="1:51" hidden="1">
      <c r="A2962">
        <v>104126</v>
      </c>
      <c r="B2962" t="s">
        <v>363</v>
      </c>
      <c r="C2962" t="str">
        <f t="shared" si="348"/>
        <v>06853240635</v>
      </c>
      <c r="D2962" t="str">
        <f t="shared" si="348"/>
        <v>06853240635</v>
      </c>
      <c r="E2962" t="s">
        <v>52</v>
      </c>
      <c r="F2962">
        <v>2015</v>
      </c>
      <c r="G2962" t="str">
        <f>"        FEL/2015/433"</f>
        <v xml:space="preserve">        FEL/2015/433</v>
      </c>
      <c r="H2962" s="3">
        <v>42293</v>
      </c>
      <c r="I2962" s="3">
        <v>42296</v>
      </c>
      <c r="J2962" s="3">
        <v>42293</v>
      </c>
      <c r="K2962" s="3">
        <v>42353</v>
      </c>
      <c r="L2962"/>
      <c r="N2962"/>
      <c r="O2962">
        <v>459.7</v>
      </c>
      <c r="P2962">
        <v>49</v>
      </c>
      <c r="Q2962" s="4">
        <v>22525.3</v>
      </c>
      <c r="R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 s="3">
        <v>42562</v>
      </c>
      <c r="AC2962" t="s">
        <v>53</v>
      </c>
      <c r="AD2962" t="s">
        <v>53</v>
      </c>
      <c r="AK2962">
        <v>0</v>
      </c>
      <c r="AU2962" s="3">
        <v>42402</v>
      </c>
      <c r="AV2962" s="3">
        <v>42402</v>
      </c>
      <c r="AW2962" t="s">
        <v>54</v>
      </c>
      <c r="AX2962" t="str">
        <f t="shared" si="349"/>
        <v>AZ2</v>
      </c>
      <c r="AY2962" t="s">
        <v>349</v>
      </c>
    </row>
    <row r="2963" spans="1:51" hidden="1">
      <c r="A2963">
        <v>104126</v>
      </c>
      <c r="B2963" t="s">
        <v>363</v>
      </c>
      <c r="C2963" t="str">
        <f t="shared" si="348"/>
        <v>06853240635</v>
      </c>
      <c r="D2963" t="str">
        <f t="shared" si="348"/>
        <v>06853240635</v>
      </c>
      <c r="E2963" t="s">
        <v>52</v>
      </c>
      <c r="F2963">
        <v>2015</v>
      </c>
      <c r="G2963" t="str">
        <f>"        FEL/2015/580"</f>
        <v xml:space="preserve">        FEL/2015/580</v>
      </c>
      <c r="H2963" s="3">
        <v>42338</v>
      </c>
      <c r="I2963" s="3">
        <v>42340</v>
      </c>
      <c r="J2963" s="3">
        <v>42339</v>
      </c>
      <c r="K2963" s="3">
        <v>42399</v>
      </c>
      <c r="L2963"/>
      <c r="N2963"/>
      <c r="O2963" s="4">
        <v>1889.9</v>
      </c>
      <c r="P2963">
        <v>3</v>
      </c>
      <c r="Q2963" s="4">
        <v>5669.7</v>
      </c>
      <c r="R2963">
        <v>0</v>
      </c>
      <c r="V2963">
        <v>0</v>
      </c>
      <c r="W2963">
        <v>0</v>
      </c>
      <c r="X2963">
        <v>0</v>
      </c>
      <c r="Y2963">
        <v>0</v>
      </c>
      <c r="Z2963">
        <v>0</v>
      </c>
      <c r="AA2963">
        <v>0</v>
      </c>
      <c r="AB2963" s="3">
        <v>42562</v>
      </c>
      <c r="AC2963" t="s">
        <v>53</v>
      </c>
      <c r="AD2963" t="s">
        <v>53</v>
      </c>
      <c r="AK2963">
        <v>0</v>
      </c>
      <c r="AU2963" s="3">
        <v>42402</v>
      </c>
      <c r="AV2963" s="3">
        <v>42402</v>
      </c>
      <c r="AW2963" t="s">
        <v>54</v>
      </c>
      <c r="AX2963" t="str">
        <f t="shared" si="349"/>
        <v>AZ2</v>
      </c>
      <c r="AY2963" t="s">
        <v>349</v>
      </c>
    </row>
    <row r="2964" spans="1:51" hidden="1">
      <c r="A2964">
        <v>104126</v>
      </c>
      <c r="B2964" t="s">
        <v>363</v>
      </c>
      <c r="C2964" t="str">
        <f t="shared" si="348"/>
        <v>06853240635</v>
      </c>
      <c r="D2964" t="str">
        <f t="shared" si="348"/>
        <v>06853240635</v>
      </c>
      <c r="E2964" t="s">
        <v>52</v>
      </c>
      <c r="F2964">
        <v>2016</v>
      </c>
      <c r="G2964" t="str">
        <f>"         FEL/2016/54"</f>
        <v xml:space="preserve">         FEL/2016/54</v>
      </c>
      <c r="H2964" s="3">
        <v>42401</v>
      </c>
      <c r="I2964" s="3">
        <v>42409</v>
      </c>
      <c r="J2964" s="3">
        <v>42408</v>
      </c>
      <c r="K2964" s="3">
        <v>42468</v>
      </c>
      <c r="L2964"/>
      <c r="N2964"/>
      <c r="O2964" s="4">
        <v>1466.75</v>
      </c>
      <c r="P2964">
        <v>-17</v>
      </c>
      <c r="Q2964" s="4">
        <v>-24934.75</v>
      </c>
      <c r="R2964">
        <v>0</v>
      </c>
      <c r="V2964">
        <v>0</v>
      </c>
      <c r="W2964">
        <v>0</v>
      </c>
      <c r="X2964">
        <v>0</v>
      </c>
      <c r="Y2964">
        <v>0</v>
      </c>
      <c r="Z2964" s="4">
        <v>1466.75</v>
      </c>
      <c r="AA2964" s="4">
        <v>1466.75</v>
      </c>
      <c r="AB2964" s="3">
        <v>42562</v>
      </c>
      <c r="AC2964" t="s">
        <v>53</v>
      </c>
      <c r="AD2964" t="s">
        <v>53</v>
      </c>
      <c r="AK2964">
        <v>0</v>
      </c>
      <c r="AU2964" s="3">
        <v>42451</v>
      </c>
      <c r="AV2964" s="3">
        <v>42451</v>
      </c>
      <c r="AW2964" t="s">
        <v>54</v>
      </c>
      <c r="AX2964" t="str">
        <f t="shared" si="349"/>
        <v>AZ2</v>
      </c>
      <c r="AY2964" t="s">
        <v>349</v>
      </c>
    </row>
    <row r="2965" spans="1:51" hidden="1">
      <c r="A2965">
        <v>104129</v>
      </c>
      <c r="B2965" t="s">
        <v>364</v>
      </c>
      <c r="C2965" t="str">
        <f t="shared" ref="C2965:C2992" si="350">"00847380961"</f>
        <v>00847380961</v>
      </c>
      <c r="D2965" t="str">
        <f t="shared" ref="D2965:D2992" si="351">"07123400157"</f>
        <v>07123400157</v>
      </c>
      <c r="E2965" t="s">
        <v>52</v>
      </c>
      <c r="F2965">
        <v>2015</v>
      </c>
      <c r="G2965" t="str">
        <f>"            15004659"</f>
        <v xml:space="preserve">            15004659</v>
      </c>
      <c r="H2965" s="3">
        <v>42052</v>
      </c>
      <c r="I2965" s="3">
        <v>42060</v>
      </c>
      <c r="J2965" s="3">
        <v>42060</v>
      </c>
      <c r="K2965" s="3">
        <v>42120</v>
      </c>
      <c r="L2965"/>
      <c r="N2965"/>
      <c r="O2965" s="4">
        <v>1250</v>
      </c>
      <c r="P2965">
        <v>288</v>
      </c>
      <c r="Q2965" s="4">
        <v>360000</v>
      </c>
      <c r="R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 s="3">
        <v>42562</v>
      </c>
      <c r="AC2965" t="s">
        <v>53</v>
      </c>
      <c r="AD2965" t="s">
        <v>53</v>
      </c>
      <c r="AK2965">
        <v>0</v>
      </c>
      <c r="AU2965" s="3">
        <v>42408</v>
      </c>
      <c r="AV2965" s="3">
        <v>42408</v>
      </c>
      <c r="AW2965" t="s">
        <v>54</v>
      </c>
      <c r="AX2965" t="str">
        <f t="shared" ref="AX2965:AX3002" si="352">"FOR"</f>
        <v>FOR</v>
      </c>
      <c r="AY2965" t="s">
        <v>55</v>
      </c>
    </row>
    <row r="2966" spans="1:51" hidden="1">
      <c r="A2966">
        <v>104129</v>
      </c>
      <c r="B2966" t="s">
        <v>364</v>
      </c>
      <c r="C2966" t="str">
        <f t="shared" si="350"/>
        <v>00847380961</v>
      </c>
      <c r="D2966" t="str">
        <f t="shared" si="351"/>
        <v>07123400157</v>
      </c>
      <c r="E2966" t="s">
        <v>52</v>
      </c>
      <c r="F2966">
        <v>2015</v>
      </c>
      <c r="G2966" t="str">
        <f>"            15004819"</f>
        <v xml:space="preserve">            15004819</v>
      </c>
      <c r="H2966" s="3">
        <v>42053</v>
      </c>
      <c r="I2966" s="3">
        <v>42060</v>
      </c>
      <c r="J2966" s="3">
        <v>42060</v>
      </c>
      <c r="K2966" s="3">
        <v>42120</v>
      </c>
      <c r="L2966"/>
      <c r="N2966"/>
      <c r="O2966">
        <v>500</v>
      </c>
      <c r="P2966">
        <v>288</v>
      </c>
      <c r="Q2966" s="4">
        <v>144000</v>
      </c>
      <c r="R2966">
        <v>0</v>
      </c>
      <c r="V2966">
        <v>0</v>
      </c>
      <c r="W2966">
        <v>0</v>
      </c>
      <c r="X2966">
        <v>0</v>
      </c>
      <c r="Y2966">
        <v>0</v>
      </c>
      <c r="Z2966">
        <v>0</v>
      </c>
      <c r="AA2966">
        <v>0</v>
      </c>
      <c r="AB2966" s="3">
        <v>42562</v>
      </c>
      <c r="AC2966" t="s">
        <v>53</v>
      </c>
      <c r="AD2966" t="s">
        <v>53</v>
      </c>
      <c r="AK2966">
        <v>0</v>
      </c>
      <c r="AU2966" s="3">
        <v>42408</v>
      </c>
      <c r="AV2966" s="3">
        <v>42408</v>
      </c>
      <c r="AW2966" t="s">
        <v>54</v>
      </c>
      <c r="AX2966" t="str">
        <f t="shared" si="352"/>
        <v>FOR</v>
      </c>
      <c r="AY2966" t="s">
        <v>55</v>
      </c>
    </row>
    <row r="2967" spans="1:51" hidden="1">
      <c r="A2967">
        <v>104129</v>
      </c>
      <c r="B2967" t="s">
        <v>364</v>
      </c>
      <c r="C2967" t="str">
        <f t="shared" si="350"/>
        <v>00847380961</v>
      </c>
      <c r="D2967" t="str">
        <f t="shared" si="351"/>
        <v>07123400157</v>
      </c>
      <c r="E2967" t="s">
        <v>52</v>
      </c>
      <c r="F2967">
        <v>2015</v>
      </c>
      <c r="G2967" t="str">
        <f>"            15006917"</f>
        <v xml:space="preserve">            15006917</v>
      </c>
      <c r="H2967" s="3">
        <v>42072</v>
      </c>
      <c r="I2967" s="3">
        <v>42081</v>
      </c>
      <c r="J2967" s="3">
        <v>42081</v>
      </c>
      <c r="K2967" s="3">
        <v>42141</v>
      </c>
      <c r="L2967"/>
      <c r="N2967"/>
      <c r="O2967" s="4">
        <v>1400</v>
      </c>
      <c r="P2967">
        <v>274</v>
      </c>
      <c r="Q2967" s="4">
        <v>383600</v>
      </c>
      <c r="R2967">
        <v>0</v>
      </c>
      <c r="V2967">
        <v>0</v>
      </c>
      <c r="W2967">
        <v>0</v>
      </c>
      <c r="X2967">
        <v>0</v>
      </c>
      <c r="Y2967">
        <v>0</v>
      </c>
      <c r="Z2967">
        <v>0</v>
      </c>
      <c r="AA2967">
        <v>0</v>
      </c>
      <c r="AB2967" s="3">
        <v>42562</v>
      </c>
      <c r="AC2967" t="s">
        <v>53</v>
      </c>
      <c r="AD2967" t="s">
        <v>53</v>
      </c>
      <c r="AK2967">
        <v>0</v>
      </c>
      <c r="AU2967" s="3">
        <v>42415</v>
      </c>
      <c r="AV2967" s="3">
        <v>42415</v>
      </c>
      <c r="AW2967" t="s">
        <v>54</v>
      </c>
      <c r="AX2967" t="str">
        <f t="shared" si="352"/>
        <v>FOR</v>
      </c>
      <c r="AY2967" t="s">
        <v>55</v>
      </c>
    </row>
    <row r="2968" spans="1:51" hidden="1">
      <c r="A2968">
        <v>104129</v>
      </c>
      <c r="B2968" t="s">
        <v>364</v>
      </c>
      <c r="C2968" t="str">
        <f t="shared" si="350"/>
        <v>00847380961</v>
      </c>
      <c r="D2968" t="str">
        <f t="shared" si="351"/>
        <v>07123400157</v>
      </c>
      <c r="E2968" t="s">
        <v>52</v>
      </c>
      <c r="F2968">
        <v>2015</v>
      </c>
      <c r="G2968" t="str">
        <f>"            15007104"</f>
        <v xml:space="preserve">            15007104</v>
      </c>
      <c r="H2968" s="3">
        <v>42073</v>
      </c>
      <c r="I2968" s="3">
        <v>42089</v>
      </c>
      <c r="J2968" s="3">
        <v>42089</v>
      </c>
      <c r="K2968" s="3">
        <v>42149</v>
      </c>
      <c r="L2968"/>
      <c r="N2968"/>
      <c r="O2968">
        <v>200</v>
      </c>
      <c r="P2968">
        <v>266</v>
      </c>
      <c r="Q2968" s="4">
        <v>53200</v>
      </c>
      <c r="R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 s="3">
        <v>42562</v>
      </c>
      <c r="AC2968" t="s">
        <v>53</v>
      </c>
      <c r="AD2968" t="s">
        <v>53</v>
      </c>
      <c r="AK2968">
        <v>0</v>
      </c>
      <c r="AU2968" s="3">
        <v>42415</v>
      </c>
      <c r="AV2968" s="3">
        <v>42415</v>
      </c>
      <c r="AW2968" t="s">
        <v>54</v>
      </c>
      <c r="AX2968" t="str">
        <f t="shared" si="352"/>
        <v>FOR</v>
      </c>
      <c r="AY2968" t="s">
        <v>55</v>
      </c>
    </row>
    <row r="2969" spans="1:51" hidden="1">
      <c r="A2969">
        <v>104129</v>
      </c>
      <c r="B2969" t="s">
        <v>364</v>
      </c>
      <c r="C2969" t="str">
        <f t="shared" si="350"/>
        <v>00847380961</v>
      </c>
      <c r="D2969" t="str">
        <f t="shared" si="351"/>
        <v>07123400157</v>
      </c>
      <c r="E2969" t="s">
        <v>52</v>
      </c>
      <c r="F2969">
        <v>2015</v>
      </c>
      <c r="G2969" t="str">
        <f>"            15007675"</f>
        <v xml:space="preserve">            15007675</v>
      </c>
      <c r="H2969" s="3">
        <v>42079</v>
      </c>
      <c r="I2969" s="3">
        <v>42094</v>
      </c>
      <c r="J2969" s="3">
        <v>42094</v>
      </c>
      <c r="K2969" s="3">
        <v>42154</v>
      </c>
      <c r="L2969"/>
      <c r="N2969"/>
      <c r="O2969">
        <v>900</v>
      </c>
      <c r="P2969">
        <v>261</v>
      </c>
      <c r="Q2969" s="4">
        <v>234900</v>
      </c>
      <c r="R2969">
        <v>0</v>
      </c>
      <c r="V2969">
        <v>0</v>
      </c>
      <c r="W2969">
        <v>0</v>
      </c>
      <c r="X2969">
        <v>0</v>
      </c>
      <c r="Y2969">
        <v>0</v>
      </c>
      <c r="Z2969">
        <v>0</v>
      </c>
      <c r="AA2969">
        <v>0</v>
      </c>
      <c r="AB2969" s="3">
        <v>42562</v>
      </c>
      <c r="AC2969" t="s">
        <v>53</v>
      </c>
      <c r="AD2969" t="s">
        <v>53</v>
      </c>
      <c r="AK2969">
        <v>0</v>
      </c>
      <c r="AU2969" s="3">
        <v>42415</v>
      </c>
      <c r="AV2969" s="3">
        <v>42415</v>
      </c>
      <c r="AW2969" t="s">
        <v>54</v>
      </c>
      <c r="AX2969" t="str">
        <f t="shared" si="352"/>
        <v>FOR</v>
      </c>
      <c r="AY2969" t="s">
        <v>55</v>
      </c>
    </row>
    <row r="2970" spans="1:51" hidden="1">
      <c r="A2970">
        <v>104129</v>
      </c>
      <c r="B2970" t="s">
        <v>364</v>
      </c>
      <c r="C2970" t="str">
        <f t="shared" si="350"/>
        <v>00847380961</v>
      </c>
      <c r="D2970" t="str">
        <f t="shared" si="351"/>
        <v>07123400157</v>
      </c>
      <c r="E2970" t="s">
        <v>52</v>
      </c>
      <c r="F2970">
        <v>2015</v>
      </c>
      <c r="G2970" t="str">
        <f>"            15008732"</f>
        <v xml:space="preserve">            15008732</v>
      </c>
      <c r="H2970" s="3">
        <v>42087</v>
      </c>
      <c r="I2970" s="3">
        <v>42108</v>
      </c>
      <c r="J2970" s="3">
        <v>42108</v>
      </c>
      <c r="K2970" s="3">
        <v>42168</v>
      </c>
      <c r="L2970"/>
      <c r="N2970"/>
      <c r="O2970" s="4">
        <v>1250</v>
      </c>
      <c r="P2970">
        <v>247</v>
      </c>
      <c r="Q2970" s="4">
        <v>308750</v>
      </c>
      <c r="R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 s="3">
        <v>42562</v>
      </c>
      <c r="AC2970" t="s">
        <v>53</v>
      </c>
      <c r="AD2970" t="s">
        <v>53</v>
      </c>
      <c r="AK2970">
        <v>0</v>
      </c>
      <c r="AU2970" s="3">
        <v>42415</v>
      </c>
      <c r="AV2970" s="3">
        <v>42415</v>
      </c>
      <c r="AW2970" t="s">
        <v>54</v>
      </c>
      <c r="AX2970" t="str">
        <f t="shared" si="352"/>
        <v>FOR</v>
      </c>
      <c r="AY2970" t="s">
        <v>55</v>
      </c>
    </row>
    <row r="2971" spans="1:51" hidden="1">
      <c r="A2971">
        <v>104129</v>
      </c>
      <c r="B2971" t="s">
        <v>364</v>
      </c>
      <c r="C2971" t="str">
        <f t="shared" si="350"/>
        <v>00847380961</v>
      </c>
      <c r="D2971" t="str">
        <f t="shared" si="351"/>
        <v>07123400157</v>
      </c>
      <c r="E2971" t="s">
        <v>52</v>
      </c>
      <c r="F2971">
        <v>2015</v>
      </c>
      <c r="G2971" t="str">
        <f>"            15010394"</f>
        <v xml:space="preserve">            15010394</v>
      </c>
      <c r="H2971" s="3">
        <v>42102</v>
      </c>
      <c r="I2971" s="3">
        <v>42116</v>
      </c>
      <c r="J2971" s="3">
        <v>42115</v>
      </c>
      <c r="K2971" s="3">
        <v>42175</v>
      </c>
      <c r="L2971"/>
      <c r="N2971"/>
      <c r="O2971" s="4">
        <v>10530</v>
      </c>
      <c r="P2971">
        <v>258</v>
      </c>
      <c r="Q2971" s="4">
        <v>2716740</v>
      </c>
      <c r="R2971">
        <v>0</v>
      </c>
      <c r="V2971">
        <v>0</v>
      </c>
      <c r="W2971">
        <v>0</v>
      </c>
      <c r="X2971">
        <v>0</v>
      </c>
      <c r="Y2971">
        <v>0</v>
      </c>
      <c r="Z2971">
        <v>0</v>
      </c>
      <c r="AA2971">
        <v>0</v>
      </c>
      <c r="AB2971" s="3">
        <v>42562</v>
      </c>
      <c r="AC2971" t="s">
        <v>53</v>
      </c>
      <c r="AD2971" t="s">
        <v>53</v>
      </c>
      <c r="AK2971">
        <v>0</v>
      </c>
      <c r="AU2971" s="3">
        <v>42433</v>
      </c>
      <c r="AV2971" s="3">
        <v>42433</v>
      </c>
      <c r="AW2971" t="s">
        <v>54</v>
      </c>
      <c r="AX2971" t="str">
        <f t="shared" si="352"/>
        <v>FOR</v>
      </c>
      <c r="AY2971" t="s">
        <v>55</v>
      </c>
    </row>
    <row r="2972" spans="1:51" hidden="1">
      <c r="A2972">
        <v>104129</v>
      </c>
      <c r="B2972" t="s">
        <v>364</v>
      </c>
      <c r="C2972" t="str">
        <f t="shared" si="350"/>
        <v>00847380961</v>
      </c>
      <c r="D2972" t="str">
        <f t="shared" si="351"/>
        <v>07123400157</v>
      </c>
      <c r="E2972" t="s">
        <v>52</v>
      </c>
      <c r="F2972">
        <v>2015</v>
      </c>
      <c r="G2972" t="str">
        <f>"            15010726"</f>
        <v xml:space="preserve">            15010726</v>
      </c>
      <c r="H2972" s="3">
        <v>42104</v>
      </c>
      <c r="I2972" s="3">
        <v>42116</v>
      </c>
      <c r="J2972" s="3">
        <v>42115</v>
      </c>
      <c r="K2972" s="3">
        <v>42175</v>
      </c>
      <c r="L2972"/>
      <c r="N2972"/>
      <c r="O2972">
        <v>407</v>
      </c>
      <c r="P2972">
        <v>258</v>
      </c>
      <c r="Q2972" s="4">
        <v>105006</v>
      </c>
      <c r="R2972">
        <v>0</v>
      </c>
      <c r="V2972">
        <v>0</v>
      </c>
      <c r="W2972">
        <v>0</v>
      </c>
      <c r="X2972">
        <v>0</v>
      </c>
      <c r="Y2972">
        <v>0</v>
      </c>
      <c r="Z2972">
        <v>0</v>
      </c>
      <c r="AA2972">
        <v>0</v>
      </c>
      <c r="AB2972" s="3">
        <v>42562</v>
      </c>
      <c r="AC2972" t="s">
        <v>53</v>
      </c>
      <c r="AD2972" t="s">
        <v>53</v>
      </c>
      <c r="AK2972">
        <v>0</v>
      </c>
      <c r="AU2972" s="3">
        <v>42433</v>
      </c>
      <c r="AV2972" s="3">
        <v>42433</v>
      </c>
      <c r="AW2972" t="s">
        <v>54</v>
      </c>
      <c r="AX2972" t="str">
        <f t="shared" si="352"/>
        <v>FOR</v>
      </c>
      <c r="AY2972" t="s">
        <v>55</v>
      </c>
    </row>
    <row r="2973" spans="1:51" hidden="1">
      <c r="A2973">
        <v>104129</v>
      </c>
      <c r="B2973" t="s">
        <v>364</v>
      </c>
      <c r="C2973" t="str">
        <f t="shared" si="350"/>
        <v>00847380961</v>
      </c>
      <c r="D2973" t="str">
        <f t="shared" si="351"/>
        <v>07123400157</v>
      </c>
      <c r="E2973" t="s">
        <v>52</v>
      </c>
      <c r="F2973">
        <v>2015</v>
      </c>
      <c r="G2973" t="str">
        <f>"            15010882"</f>
        <v xml:space="preserve">            15010882</v>
      </c>
      <c r="H2973" s="3">
        <v>42107</v>
      </c>
      <c r="I2973" s="3">
        <v>42116</v>
      </c>
      <c r="J2973" s="3">
        <v>42115</v>
      </c>
      <c r="K2973" s="3">
        <v>42175</v>
      </c>
      <c r="L2973"/>
      <c r="N2973"/>
      <c r="O2973">
        <v>900</v>
      </c>
      <c r="P2973">
        <v>258</v>
      </c>
      <c r="Q2973" s="4">
        <v>232200</v>
      </c>
      <c r="R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 s="3">
        <v>42562</v>
      </c>
      <c r="AC2973" t="s">
        <v>53</v>
      </c>
      <c r="AD2973" t="s">
        <v>53</v>
      </c>
      <c r="AK2973">
        <v>0</v>
      </c>
      <c r="AU2973" s="3">
        <v>42433</v>
      </c>
      <c r="AV2973" s="3">
        <v>42433</v>
      </c>
      <c r="AW2973" t="s">
        <v>54</v>
      </c>
      <c r="AX2973" t="str">
        <f t="shared" si="352"/>
        <v>FOR</v>
      </c>
      <c r="AY2973" t="s">
        <v>55</v>
      </c>
    </row>
    <row r="2974" spans="1:51" hidden="1">
      <c r="A2974">
        <v>104129</v>
      </c>
      <c r="B2974" t="s">
        <v>364</v>
      </c>
      <c r="C2974" t="str">
        <f t="shared" si="350"/>
        <v>00847380961</v>
      </c>
      <c r="D2974" t="str">
        <f t="shared" si="351"/>
        <v>07123400157</v>
      </c>
      <c r="E2974" t="s">
        <v>52</v>
      </c>
      <c r="F2974">
        <v>2015</v>
      </c>
      <c r="G2974" t="str">
        <f>"            15011065"</f>
        <v xml:space="preserve">            15011065</v>
      </c>
      <c r="H2974" s="3">
        <v>42108</v>
      </c>
      <c r="I2974" s="3">
        <v>42135</v>
      </c>
      <c r="J2974" s="3">
        <v>42132</v>
      </c>
      <c r="K2974" s="3">
        <v>42192</v>
      </c>
      <c r="L2974"/>
      <c r="N2974"/>
      <c r="O2974">
        <v>300</v>
      </c>
      <c r="P2974">
        <v>241</v>
      </c>
      <c r="Q2974" s="4">
        <v>72300</v>
      </c>
      <c r="R2974">
        <v>0</v>
      </c>
      <c r="V2974">
        <v>0</v>
      </c>
      <c r="W2974">
        <v>0</v>
      </c>
      <c r="X2974">
        <v>0</v>
      </c>
      <c r="Y2974">
        <v>0</v>
      </c>
      <c r="Z2974">
        <v>0</v>
      </c>
      <c r="AA2974">
        <v>0</v>
      </c>
      <c r="AB2974" s="3">
        <v>42562</v>
      </c>
      <c r="AC2974" t="s">
        <v>53</v>
      </c>
      <c r="AD2974" t="s">
        <v>53</v>
      </c>
      <c r="AK2974">
        <v>0</v>
      </c>
      <c r="AU2974" s="3">
        <v>42433</v>
      </c>
      <c r="AV2974" s="3">
        <v>42433</v>
      </c>
      <c r="AW2974" t="s">
        <v>54</v>
      </c>
      <c r="AX2974" t="str">
        <f t="shared" si="352"/>
        <v>FOR</v>
      </c>
      <c r="AY2974" t="s">
        <v>55</v>
      </c>
    </row>
    <row r="2975" spans="1:51" hidden="1">
      <c r="A2975">
        <v>104129</v>
      </c>
      <c r="B2975" t="s">
        <v>364</v>
      </c>
      <c r="C2975" t="str">
        <f t="shared" si="350"/>
        <v>00847380961</v>
      </c>
      <c r="D2975" t="str">
        <f t="shared" si="351"/>
        <v>07123400157</v>
      </c>
      <c r="E2975" t="s">
        <v>52</v>
      </c>
      <c r="F2975">
        <v>2015</v>
      </c>
      <c r="G2975" t="str">
        <f>"            15013234"</f>
        <v xml:space="preserve">            15013234</v>
      </c>
      <c r="H2975" s="3">
        <v>42128</v>
      </c>
      <c r="I2975" s="3">
        <v>42139</v>
      </c>
      <c r="J2975" s="3">
        <v>42137</v>
      </c>
      <c r="K2975" s="3">
        <v>42197</v>
      </c>
      <c r="L2975"/>
      <c r="N2975"/>
      <c r="O2975" s="4">
        <v>1850</v>
      </c>
      <c r="P2975">
        <v>255</v>
      </c>
      <c r="Q2975" s="4">
        <v>471750</v>
      </c>
      <c r="R2975">
        <v>0</v>
      </c>
      <c r="V2975">
        <v>0</v>
      </c>
      <c r="W2975">
        <v>0</v>
      </c>
      <c r="X2975">
        <v>0</v>
      </c>
      <c r="Y2975">
        <v>0</v>
      </c>
      <c r="Z2975">
        <v>0</v>
      </c>
      <c r="AA2975">
        <v>0</v>
      </c>
      <c r="AB2975" s="3">
        <v>42562</v>
      </c>
      <c r="AC2975" t="s">
        <v>53</v>
      </c>
      <c r="AD2975" t="s">
        <v>53</v>
      </c>
      <c r="AK2975">
        <v>0</v>
      </c>
      <c r="AU2975" s="3">
        <v>42452</v>
      </c>
      <c r="AV2975" s="3">
        <v>42452</v>
      </c>
      <c r="AW2975" t="s">
        <v>54</v>
      </c>
      <c r="AX2975" t="str">
        <f t="shared" si="352"/>
        <v>FOR</v>
      </c>
      <c r="AY2975" t="s">
        <v>55</v>
      </c>
    </row>
    <row r="2976" spans="1:51" hidden="1">
      <c r="A2976">
        <v>104129</v>
      </c>
      <c r="B2976" t="s">
        <v>364</v>
      </c>
      <c r="C2976" t="str">
        <f t="shared" si="350"/>
        <v>00847380961</v>
      </c>
      <c r="D2976" t="str">
        <f t="shared" si="351"/>
        <v>07123400157</v>
      </c>
      <c r="E2976" t="s">
        <v>52</v>
      </c>
      <c r="F2976">
        <v>2015</v>
      </c>
      <c r="G2976" t="str">
        <f>"            15013826"</f>
        <v xml:space="preserve">            15013826</v>
      </c>
      <c r="H2976" s="3">
        <v>42131</v>
      </c>
      <c r="I2976" s="3">
        <v>42174</v>
      </c>
      <c r="J2976" s="3">
        <v>42138</v>
      </c>
      <c r="K2976" s="3">
        <v>42198</v>
      </c>
      <c r="L2976"/>
      <c r="N2976"/>
      <c r="O2976">
        <v>950</v>
      </c>
      <c r="P2976">
        <v>254</v>
      </c>
      <c r="Q2976" s="4">
        <v>241300</v>
      </c>
      <c r="R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 s="3">
        <v>42562</v>
      </c>
      <c r="AC2976" t="s">
        <v>53</v>
      </c>
      <c r="AD2976" t="s">
        <v>53</v>
      </c>
      <c r="AK2976">
        <v>0</v>
      </c>
      <c r="AU2976" s="3">
        <v>42452</v>
      </c>
      <c r="AV2976" s="3">
        <v>42452</v>
      </c>
      <c r="AW2976" t="s">
        <v>54</v>
      </c>
      <c r="AX2976" t="str">
        <f t="shared" si="352"/>
        <v>FOR</v>
      </c>
      <c r="AY2976" t="s">
        <v>55</v>
      </c>
    </row>
    <row r="2977" spans="1:51" hidden="1">
      <c r="A2977">
        <v>104129</v>
      </c>
      <c r="B2977" t="s">
        <v>364</v>
      </c>
      <c r="C2977" t="str">
        <f t="shared" si="350"/>
        <v>00847380961</v>
      </c>
      <c r="D2977" t="str">
        <f t="shared" si="351"/>
        <v>07123400157</v>
      </c>
      <c r="E2977" t="s">
        <v>52</v>
      </c>
      <c r="F2977">
        <v>2015</v>
      </c>
      <c r="G2977" t="str">
        <f>"            15014178"</f>
        <v xml:space="preserve">            15014178</v>
      </c>
      <c r="H2977" s="3">
        <v>42135</v>
      </c>
      <c r="I2977" s="3">
        <v>42174</v>
      </c>
      <c r="J2977" s="3">
        <v>42138</v>
      </c>
      <c r="K2977" s="3">
        <v>42198</v>
      </c>
      <c r="L2977"/>
      <c r="N2977"/>
      <c r="O2977" s="4">
        <v>2850</v>
      </c>
      <c r="P2977">
        <v>254</v>
      </c>
      <c r="Q2977" s="4">
        <v>723900</v>
      </c>
      <c r="R2977">
        <v>0</v>
      </c>
      <c r="V2977">
        <v>0</v>
      </c>
      <c r="W2977">
        <v>0</v>
      </c>
      <c r="X2977">
        <v>0</v>
      </c>
      <c r="Y2977">
        <v>0</v>
      </c>
      <c r="Z2977">
        <v>0</v>
      </c>
      <c r="AA2977">
        <v>0</v>
      </c>
      <c r="AB2977" s="3">
        <v>42562</v>
      </c>
      <c r="AC2977" t="s">
        <v>53</v>
      </c>
      <c r="AD2977" t="s">
        <v>53</v>
      </c>
      <c r="AK2977">
        <v>0</v>
      </c>
      <c r="AU2977" s="3">
        <v>42452</v>
      </c>
      <c r="AV2977" s="3">
        <v>42452</v>
      </c>
      <c r="AW2977" t="s">
        <v>54</v>
      </c>
      <c r="AX2977" t="str">
        <f t="shared" si="352"/>
        <v>FOR</v>
      </c>
      <c r="AY2977" t="s">
        <v>55</v>
      </c>
    </row>
    <row r="2978" spans="1:51" hidden="1">
      <c r="A2978">
        <v>104129</v>
      </c>
      <c r="B2978" t="s">
        <v>364</v>
      </c>
      <c r="C2978" t="str">
        <f t="shared" si="350"/>
        <v>00847380961</v>
      </c>
      <c r="D2978" t="str">
        <f t="shared" si="351"/>
        <v>07123400157</v>
      </c>
      <c r="E2978" t="s">
        <v>52</v>
      </c>
      <c r="F2978">
        <v>2015</v>
      </c>
      <c r="G2978" t="str">
        <f>"            15014354"</f>
        <v xml:space="preserve">            15014354</v>
      </c>
      <c r="H2978" s="3">
        <v>42136</v>
      </c>
      <c r="I2978" s="3">
        <v>42160</v>
      </c>
      <c r="J2978" s="3">
        <v>42143</v>
      </c>
      <c r="K2978" s="3">
        <v>42203</v>
      </c>
      <c r="L2978"/>
      <c r="N2978"/>
      <c r="O2978">
        <v>950</v>
      </c>
      <c r="P2978">
        <v>249</v>
      </c>
      <c r="Q2978" s="4">
        <v>236550</v>
      </c>
      <c r="R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 s="3">
        <v>42562</v>
      </c>
      <c r="AC2978" t="s">
        <v>53</v>
      </c>
      <c r="AD2978" t="s">
        <v>53</v>
      </c>
      <c r="AK2978">
        <v>0</v>
      </c>
      <c r="AU2978" s="3">
        <v>42452</v>
      </c>
      <c r="AV2978" s="3">
        <v>42452</v>
      </c>
      <c r="AW2978" t="s">
        <v>54</v>
      </c>
      <c r="AX2978" t="str">
        <f t="shared" si="352"/>
        <v>FOR</v>
      </c>
      <c r="AY2978" t="s">
        <v>55</v>
      </c>
    </row>
    <row r="2979" spans="1:51" hidden="1">
      <c r="A2979">
        <v>104129</v>
      </c>
      <c r="B2979" t="s">
        <v>364</v>
      </c>
      <c r="C2979" t="str">
        <f t="shared" si="350"/>
        <v>00847380961</v>
      </c>
      <c r="D2979" t="str">
        <f t="shared" si="351"/>
        <v>07123400157</v>
      </c>
      <c r="E2979" t="s">
        <v>52</v>
      </c>
      <c r="F2979">
        <v>2015</v>
      </c>
      <c r="G2979" t="str">
        <f>"            15015999"</f>
        <v xml:space="preserve">            15015999</v>
      </c>
      <c r="H2979" s="3">
        <v>42150</v>
      </c>
      <c r="I2979" s="3">
        <v>42158</v>
      </c>
      <c r="J2979" s="3">
        <v>42154</v>
      </c>
      <c r="K2979" s="3">
        <v>42214</v>
      </c>
      <c r="L2979"/>
      <c r="N2979"/>
      <c r="O2979">
        <v>450</v>
      </c>
      <c r="P2979">
        <v>238</v>
      </c>
      <c r="Q2979" s="4">
        <v>107100</v>
      </c>
      <c r="R2979">
        <v>0</v>
      </c>
      <c r="V2979">
        <v>0</v>
      </c>
      <c r="W2979">
        <v>0</v>
      </c>
      <c r="X2979">
        <v>0</v>
      </c>
      <c r="Y2979">
        <v>0</v>
      </c>
      <c r="Z2979">
        <v>0</v>
      </c>
      <c r="AA2979">
        <v>0</v>
      </c>
      <c r="AB2979" s="3">
        <v>42562</v>
      </c>
      <c r="AC2979" t="s">
        <v>53</v>
      </c>
      <c r="AD2979" t="s">
        <v>53</v>
      </c>
      <c r="AK2979">
        <v>0</v>
      </c>
      <c r="AU2979" s="3">
        <v>42452</v>
      </c>
      <c r="AV2979" s="3">
        <v>42452</v>
      </c>
      <c r="AW2979" t="s">
        <v>54</v>
      </c>
      <c r="AX2979" t="str">
        <f t="shared" si="352"/>
        <v>FOR</v>
      </c>
      <c r="AY2979" t="s">
        <v>55</v>
      </c>
    </row>
    <row r="2980" spans="1:51">
      <c r="A2980">
        <v>104129</v>
      </c>
      <c r="B2980" t="s">
        <v>364</v>
      </c>
      <c r="C2980" t="str">
        <f t="shared" si="350"/>
        <v>00847380961</v>
      </c>
      <c r="D2980" t="str">
        <f t="shared" si="351"/>
        <v>07123400157</v>
      </c>
      <c r="E2980" t="s">
        <v>52</v>
      </c>
      <c r="F2980">
        <v>2015</v>
      </c>
      <c r="G2980" t="str">
        <f>"            15017304"</f>
        <v xml:space="preserve">            15017304</v>
      </c>
      <c r="H2980" s="3">
        <v>42163</v>
      </c>
      <c r="I2980" s="3">
        <v>42172</v>
      </c>
      <c r="J2980" s="3">
        <v>42171</v>
      </c>
      <c r="K2980" s="3">
        <v>42231</v>
      </c>
      <c r="L2980" s="1">
        <v>750</v>
      </c>
      <c r="M2980">
        <v>256</v>
      </c>
      <c r="N2980" s="5">
        <v>192000</v>
      </c>
      <c r="O2980">
        <v>750</v>
      </c>
      <c r="P2980">
        <v>256</v>
      </c>
      <c r="Q2980" s="4">
        <v>192000</v>
      </c>
      <c r="R2980">
        <v>0</v>
      </c>
      <c r="V2980">
        <v>0</v>
      </c>
      <c r="W2980">
        <v>0</v>
      </c>
      <c r="X2980">
        <v>0</v>
      </c>
      <c r="Y2980">
        <v>0</v>
      </c>
      <c r="Z2980">
        <v>0</v>
      </c>
      <c r="AA2980">
        <v>0</v>
      </c>
      <c r="AB2980" s="3">
        <v>42562</v>
      </c>
      <c r="AC2980" t="s">
        <v>53</v>
      </c>
      <c r="AD2980" t="s">
        <v>53</v>
      </c>
      <c r="AK2980">
        <v>0</v>
      </c>
      <c r="AU2980" s="3">
        <v>42487</v>
      </c>
      <c r="AV2980" s="3">
        <v>42487</v>
      </c>
      <c r="AW2980" t="s">
        <v>54</v>
      </c>
      <c r="AX2980" t="str">
        <f t="shared" si="352"/>
        <v>FOR</v>
      </c>
      <c r="AY2980" t="s">
        <v>55</v>
      </c>
    </row>
    <row r="2981" spans="1:51">
      <c r="A2981">
        <v>104129</v>
      </c>
      <c r="B2981" t="s">
        <v>364</v>
      </c>
      <c r="C2981" t="str">
        <f t="shared" si="350"/>
        <v>00847380961</v>
      </c>
      <c r="D2981" t="str">
        <f t="shared" si="351"/>
        <v>07123400157</v>
      </c>
      <c r="E2981" t="s">
        <v>52</v>
      </c>
      <c r="F2981">
        <v>2015</v>
      </c>
      <c r="G2981" t="str">
        <f>"            15017838"</f>
        <v xml:space="preserve">            15017838</v>
      </c>
      <c r="H2981" s="3">
        <v>42166</v>
      </c>
      <c r="I2981" s="3">
        <v>42172</v>
      </c>
      <c r="J2981" s="3">
        <v>42171</v>
      </c>
      <c r="K2981" s="3">
        <v>42231</v>
      </c>
      <c r="L2981" s="5">
        <v>2800</v>
      </c>
      <c r="M2981">
        <v>256</v>
      </c>
      <c r="N2981" s="5">
        <v>716800</v>
      </c>
      <c r="O2981" s="4">
        <v>2800</v>
      </c>
      <c r="P2981">
        <v>256</v>
      </c>
      <c r="Q2981" s="4">
        <v>716800</v>
      </c>
      <c r="R2981">
        <v>0</v>
      </c>
      <c r="V2981">
        <v>0</v>
      </c>
      <c r="W2981">
        <v>0</v>
      </c>
      <c r="X2981">
        <v>0</v>
      </c>
      <c r="Y2981">
        <v>0</v>
      </c>
      <c r="Z2981">
        <v>0</v>
      </c>
      <c r="AA2981">
        <v>0</v>
      </c>
      <c r="AB2981" s="3">
        <v>42562</v>
      </c>
      <c r="AC2981" t="s">
        <v>53</v>
      </c>
      <c r="AD2981" t="s">
        <v>53</v>
      </c>
      <c r="AK2981">
        <v>0</v>
      </c>
      <c r="AU2981" s="3">
        <v>42487</v>
      </c>
      <c r="AV2981" s="3">
        <v>42487</v>
      </c>
      <c r="AW2981" t="s">
        <v>54</v>
      </c>
      <c r="AX2981" t="str">
        <f t="shared" si="352"/>
        <v>FOR</v>
      </c>
      <c r="AY2981" t="s">
        <v>55</v>
      </c>
    </row>
    <row r="2982" spans="1:51">
      <c r="A2982">
        <v>104129</v>
      </c>
      <c r="B2982" t="s">
        <v>364</v>
      </c>
      <c r="C2982" t="str">
        <f t="shared" si="350"/>
        <v>00847380961</v>
      </c>
      <c r="D2982" t="str">
        <f t="shared" si="351"/>
        <v>07123400157</v>
      </c>
      <c r="E2982" t="s">
        <v>52</v>
      </c>
      <c r="F2982">
        <v>2015</v>
      </c>
      <c r="G2982" t="str">
        <f>"            15018131"</f>
        <v xml:space="preserve">            15018131</v>
      </c>
      <c r="H2982" s="3">
        <v>42170</v>
      </c>
      <c r="I2982" s="3">
        <v>42174</v>
      </c>
      <c r="J2982" s="3">
        <v>42173</v>
      </c>
      <c r="K2982" s="3">
        <v>42233</v>
      </c>
      <c r="L2982" s="5">
        <v>1574</v>
      </c>
      <c r="M2982">
        <v>254</v>
      </c>
      <c r="N2982" s="5">
        <v>399796</v>
      </c>
      <c r="O2982" s="4">
        <v>1574</v>
      </c>
      <c r="P2982">
        <v>254</v>
      </c>
      <c r="Q2982" s="4">
        <v>399796</v>
      </c>
      <c r="R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 s="3">
        <v>42562</v>
      </c>
      <c r="AC2982" t="s">
        <v>53</v>
      </c>
      <c r="AD2982" t="s">
        <v>53</v>
      </c>
      <c r="AK2982">
        <v>0</v>
      </c>
      <c r="AU2982" s="3">
        <v>42487</v>
      </c>
      <c r="AV2982" s="3">
        <v>42487</v>
      </c>
      <c r="AW2982" t="s">
        <v>54</v>
      </c>
      <c r="AX2982" t="str">
        <f t="shared" si="352"/>
        <v>FOR</v>
      </c>
      <c r="AY2982" t="s">
        <v>55</v>
      </c>
    </row>
    <row r="2983" spans="1:51">
      <c r="A2983">
        <v>104129</v>
      </c>
      <c r="B2983" t="s">
        <v>364</v>
      </c>
      <c r="C2983" t="str">
        <f t="shared" si="350"/>
        <v>00847380961</v>
      </c>
      <c r="D2983" t="str">
        <f t="shared" si="351"/>
        <v>07123400157</v>
      </c>
      <c r="E2983" t="s">
        <v>52</v>
      </c>
      <c r="F2983">
        <v>2015</v>
      </c>
      <c r="G2983" t="str">
        <f>"            15020035"</f>
        <v xml:space="preserve">            15020035</v>
      </c>
      <c r="H2983" s="3">
        <v>42185</v>
      </c>
      <c r="I2983" s="3">
        <v>42275</v>
      </c>
      <c r="J2983" s="3">
        <v>42272</v>
      </c>
      <c r="K2983" s="3">
        <v>42332</v>
      </c>
      <c r="L2983" s="1">
        <v>950</v>
      </c>
      <c r="M2983">
        <v>155</v>
      </c>
      <c r="N2983" s="5">
        <v>147250</v>
      </c>
      <c r="O2983">
        <v>950</v>
      </c>
      <c r="P2983">
        <v>155</v>
      </c>
      <c r="Q2983" s="4">
        <v>147250</v>
      </c>
      <c r="R2983">
        <v>0</v>
      </c>
      <c r="V2983">
        <v>0</v>
      </c>
      <c r="W2983">
        <v>0</v>
      </c>
      <c r="X2983">
        <v>0</v>
      </c>
      <c r="Y2983">
        <v>0</v>
      </c>
      <c r="Z2983">
        <v>0</v>
      </c>
      <c r="AA2983">
        <v>0</v>
      </c>
      <c r="AB2983" s="3">
        <v>42562</v>
      </c>
      <c r="AC2983" t="s">
        <v>53</v>
      </c>
      <c r="AD2983" t="s">
        <v>53</v>
      </c>
      <c r="AK2983">
        <v>0</v>
      </c>
      <c r="AU2983" s="3">
        <v>42487</v>
      </c>
      <c r="AV2983" s="3">
        <v>42487</v>
      </c>
      <c r="AW2983" t="s">
        <v>54</v>
      </c>
      <c r="AX2983" t="str">
        <f t="shared" si="352"/>
        <v>FOR</v>
      </c>
      <c r="AY2983" t="s">
        <v>55</v>
      </c>
    </row>
    <row r="2984" spans="1:51">
      <c r="A2984">
        <v>104129</v>
      </c>
      <c r="B2984" t="s">
        <v>364</v>
      </c>
      <c r="C2984" t="str">
        <f t="shared" si="350"/>
        <v>00847380961</v>
      </c>
      <c r="D2984" t="str">
        <f t="shared" si="351"/>
        <v>07123400157</v>
      </c>
      <c r="E2984" t="s">
        <v>52</v>
      </c>
      <c r="F2984">
        <v>2015</v>
      </c>
      <c r="G2984" t="str">
        <f>"            15021195"</f>
        <v xml:space="preserve">            15021195</v>
      </c>
      <c r="H2984" s="3">
        <v>42194</v>
      </c>
      <c r="I2984" s="3">
        <v>42199</v>
      </c>
      <c r="J2984" s="3">
        <v>42199</v>
      </c>
      <c r="K2984" s="3">
        <v>42259</v>
      </c>
      <c r="L2984" s="5">
        <v>1710</v>
      </c>
      <c r="M2984">
        <v>269</v>
      </c>
      <c r="N2984" s="5">
        <v>459990</v>
      </c>
      <c r="O2984" s="4">
        <v>1710</v>
      </c>
      <c r="P2984">
        <v>269</v>
      </c>
      <c r="Q2984" s="4">
        <v>459990</v>
      </c>
      <c r="R2984">
        <v>68.400000000000006</v>
      </c>
      <c r="V2984">
        <v>0</v>
      </c>
      <c r="W2984">
        <v>0</v>
      </c>
      <c r="X2984">
        <v>0</v>
      </c>
      <c r="Y2984">
        <v>0</v>
      </c>
      <c r="Z2984">
        <v>0</v>
      </c>
      <c r="AA2984">
        <v>0</v>
      </c>
      <c r="AB2984" s="3">
        <v>42562</v>
      </c>
      <c r="AC2984" t="s">
        <v>53</v>
      </c>
      <c r="AD2984" t="s">
        <v>53</v>
      </c>
      <c r="AK2984">
        <v>68.400000000000006</v>
      </c>
      <c r="AU2984" s="3">
        <v>42528</v>
      </c>
      <c r="AV2984" s="3">
        <v>42528</v>
      </c>
      <c r="AW2984" t="s">
        <v>54</v>
      </c>
      <c r="AX2984" t="str">
        <f t="shared" si="352"/>
        <v>FOR</v>
      </c>
      <c r="AY2984" t="s">
        <v>55</v>
      </c>
    </row>
    <row r="2985" spans="1:51">
      <c r="A2985">
        <v>104129</v>
      </c>
      <c r="B2985" t="s">
        <v>364</v>
      </c>
      <c r="C2985" t="str">
        <f t="shared" si="350"/>
        <v>00847380961</v>
      </c>
      <c r="D2985" t="str">
        <f t="shared" si="351"/>
        <v>07123400157</v>
      </c>
      <c r="E2985" t="s">
        <v>52</v>
      </c>
      <c r="F2985">
        <v>2015</v>
      </c>
      <c r="G2985" t="str">
        <f>"            15021328"</f>
        <v xml:space="preserve">            15021328</v>
      </c>
      <c r="H2985" s="3">
        <v>42195</v>
      </c>
      <c r="I2985" s="3">
        <v>42199</v>
      </c>
      <c r="J2985" s="3">
        <v>42199</v>
      </c>
      <c r="K2985" s="3">
        <v>42259</v>
      </c>
      <c r="L2985" s="5">
        <v>2800</v>
      </c>
      <c r="M2985">
        <v>269</v>
      </c>
      <c r="N2985" s="5">
        <v>753200</v>
      </c>
      <c r="O2985" s="4">
        <v>2800</v>
      </c>
      <c r="P2985">
        <v>269</v>
      </c>
      <c r="Q2985" s="4">
        <v>753200</v>
      </c>
      <c r="R2985">
        <v>616</v>
      </c>
      <c r="V2985">
        <v>0</v>
      </c>
      <c r="W2985">
        <v>0</v>
      </c>
      <c r="X2985">
        <v>0</v>
      </c>
      <c r="Y2985">
        <v>0</v>
      </c>
      <c r="Z2985">
        <v>0</v>
      </c>
      <c r="AA2985">
        <v>0</v>
      </c>
      <c r="AB2985" s="3">
        <v>42562</v>
      </c>
      <c r="AC2985" t="s">
        <v>53</v>
      </c>
      <c r="AD2985" t="s">
        <v>53</v>
      </c>
      <c r="AK2985">
        <v>616</v>
      </c>
      <c r="AU2985" s="3">
        <v>42528</v>
      </c>
      <c r="AV2985" s="3">
        <v>42528</v>
      </c>
      <c r="AW2985" t="s">
        <v>54</v>
      </c>
      <c r="AX2985" t="str">
        <f t="shared" si="352"/>
        <v>FOR</v>
      </c>
      <c r="AY2985" t="s">
        <v>55</v>
      </c>
    </row>
    <row r="2986" spans="1:51">
      <c r="A2986">
        <v>104129</v>
      </c>
      <c r="B2986" t="s">
        <v>364</v>
      </c>
      <c r="C2986" t="str">
        <f t="shared" si="350"/>
        <v>00847380961</v>
      </c>
      <c r="D2986" t="str">
        <f t="shared" si="351"/>
        <v>07123400157</v>
      </c>
      <c r="E2986" t="s">
        <v>52</v>
      </c>
      <c r="F2986">
        <v>2015</v>
      </c>
      <c r="G2986" t="str">
        <f>"            15022157"</f>
        <v xml:space="preserve">            15022157</v>
      </c>
      <c r="H2986" s="3">
        <v>42202</v>
      </c>
      <c r="I2986" s="3">
        <v>42209</v>
      </c>
      <c r="J2986" s="3">
        <v>42207</v>
      </c>
      <c r="K2986" s="3">
        <v>42267</v>
      </c>
      <c r="L2986" s="5">
        <v>2922.5</v>
      </c>
      <c r="M2986">
        <v>261</v>
      </c>
      <c r="N2986" s="5">
        <v>762772.5</v>
      </c>
      <c r="O2986" s="4">
        <v>2922.5</v>
      </c>
      <c r="P2986">
        <v>261</v>
      </c>
      <c r="Q2986" s="4">
        <v>762772.5</v>
      </c>
      <c r="R2986">
        <v>642.95000000000005</v>
      </c>
      <c r="V2986">
        <v>0</v>
      </c>
      <c r="W2986">
        <v>0</v>
      </c>
      <c r="X2986">
        <v>0</v>
      </c>
      <c r="Y2986">
        <v>0</v>
      </c>
      <c r="Z2986">
        <v>0</v>
      </c>
      <c r="AA2986">
        <v>0</v>
      </c>
      <c r="AB2986" s="3">
        <v>42562</v>
      </c>
      <c r="AC2986" t="s">
        <v>53</v>
      </c>
      <c r="AD2986" t="s">
        <v>53</v>
      </c>
      <c r="AK2986">
        <v>642.95000000000005</v>
      </c>
      <c r="AU2986" s="3">
        <v>42528</v>
      </c>
      <c r="AV2986" s="3">
        <v>42528</v>
      </c>
      <c r="AW2986" t="s">
        <v>54</v>
      </c>
      <c r="AX2986" t="str">
        <f t="shared" si="352"/>
        <v>FOR</v>
      </c>
      <c r="AY2986" t="s">
        <v>55</v>
      </c>
    </row>
    <row r="2987" spans="1:51">
      <c r="A2987">
        <v>104129</v>
      </c>
      <c r="B2987" t="s">
        <v>364</v>
      </c>
      <c r="C2987" t="str">
        <f t="shared" si="350"/>
        <v>00847380961</v>
      </c>
      <c r="D2987" t="str">
        <f t="shared" si="351"/>
        <v>07123400157</v>
      </c>
      <c r="E2987" t="s">
        <v>52</v>
      </c>
      <c r="F2987">
        <v>2015</v>
      </c>
      <c r="G2987" t="str">
        <f>"            15022481"</f>
        <v xml:space="preserve">            15022481</v>
      </c>
      <c r="H2987" s="3">
        <v>42206</v>
      </c>
      <c r="I2987" s="3">
        <v>42212</v>
      </c>
      <c r="J2987" s="3">
        <v>42211</v>
      </c>
      <c r="K2987" s="3">
        <v>42271</v>
      </c>
      <c r="L2987" s="5">
        <v>1520</v>
      </c>
      <c r="M2987">
        <v>257</v>
      </c>
      <c r="N2987" s="5">
        <v>390640</v>
      </c>
      <c r="O2987" s="4">
        <v>1520</v>
      </c>
      <c r="P2987">
        <v>257</v>
      </c>
      <c r="Q2987" s="4">
        <v>390640</v>
      </c>
      <c r="R2987">
        <v>60.8</v>
      </c>
      <c r="V2987">
        <v>0</v>
      </c>
      <c r="W2987">
        <v>0</v>
      </c>
      <c r="X2987">
        <v>0</v>
      </c>
      <c r="Y2987">
        <v>0</v>
      </c>
      <c r="Z2987">
        <v>0</v>
      </c>
      <c r="AA2987">
        <v>0</v>
      </c>
      <c r="AB2987" s="3">
        <v>42562</v>
      </c>
      <c r="AC2987" t="s">
        <v>53</v>
      </c>
      <c r="AD2987" t="s">
        <v>53</v>
      </c>
      <c r="AK2987">
        <v>60.8</v>
      </c>
      <c r="AU2987" s="3">
        <v>42528</v>
      </c>
      <c r="AV2987" s="3">
        <v>42528</v>
      </c>
      <c r="AW2987" t="s">
        <v>54</v>
      </c>
      <c r="AX2987" t="str">
        <f t="shared" si="352"/>
        <v>FOR</v>
      </c>
      <c r="AY2987" t="s">
        <v>55</v>
      </c>
    </row>
    <row r="2988" spans="1:51">
      <c r="A2988">
        <v>104129</v>
      </c>
      <c r="B2988" t="s">
        <v>364</v>
      </c>
      <c r="C2988" t="str">
        <f t="shared" si="350"/>
        <v>00847380961</v>
      </c>
      <c r="D2988" t="str">
        <f t="shared" si="351"/>
        <v>07123400157</v>
      </c>
      <c r="E2988" t="s">
        <v>52</v>
      </c>
      <c r="F2988">
        <v>2015</v>
      </c>
      <c r="G2988" t="str">
        <f>"            15022624"</f>
        <v xml:space="preserve">            15022624</v>
      </c>
      <c r="H2988" s="3">
        <v>42207</v>
      </c>
      <c r="I2988" s="3">
        <v>42212</v>
      </c>
      <c r="J2988" s="3">
        <v>42211</v>
      </c>
      <c r="K2988" s="3">
        <v>42271</v>
      </c>
      <c r="L2988" s="5">
        <v>1520</v>
      </c>
      <c r="M2988">
        <v>257</v>
      </c>
      <c r="N2988" s="5">
        <v>390640</v>
      </c>
      <c r="O2988" s="4">
        <v>1520</v>
      </c>
      <c r="P2988">
        <v>257</v>
      </c>
      <c r="Q2988" s="4">
        <v>390640</v>
      </c>
      <c r="R2988">
        <v>60.8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 s="3">
        <v>42562</v>
      </c>
      <c r="AC2988" t="s">
        <v>53</v>
      </c>
      <c r="AD2988" t="s">
        <v>53</v>
      </c>
      <c r="AK2988">
        <v>60.8</v>
      </c>
      <c r="AU2988" s="3">
        <v>42528</v>
      </c>
      <c r="AV2988" s="3">
        <v>42528</v>
      </c>
      <c r="AW2988" t="s">
        <v>54</v>
      </c>
      <c r="AX2988" t="str">
        <f t="shared" si="352"/>
        <v>FOR</v>
      </c>
      <c r="AY2988" t="s">
        <v>55</v>
      </c>
    </row>
    <row r="2989" spans="1:51">
      <c r="A2989">
        <v>104129</v>
      </c>
      <c r="B2989" t="s">
        <v>364</v>
      </c>
      <c r="C2989" t="str">
        <f t="shared" si="350"/>
        <v>00847380961</v>
      </c>
      <c r="D2989" t="str">
        <f t="shared" si="351"/>
        <v>07123400157</v>
      </c>
      <c r="E2989" t="s">
        <v>52</v>
      </c>
      <c r="F2989">
        <v>2015</v>
      </c>
      <c r="G2989" t="str">
        <f>"            15023275"</f>
        <v xml:space="preserve">            15023275</v>
      </c>
      <c r="H2989" s="3">
        <v>42213</v>
      </c>
      <c r="I2989" s="3">
        <v>42216</v>
      </c>
      <c r="J2989" s="3">
        <v>42216</v>
      </c>
      <c r="K2989" s="3">
        <v>42276</v>
      </c>
      <c r="L2989" s="5">
        <v>3040</v>
      </c>
      <c r="M2989">
        <v>252</v>
      </c>
      <c r="N2989" s="5">
        <v>766080</v>
      </c>
      <c r="O2989" s="4">
        <v>3040</v>
      </c>
      <c r="P2989">
        <v>252</v>
      </c>
      <c r="Q2989" s="4">
        <v>766080</v>
      </c>
      <c r="R2989">
        <v>121.6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 s="3">
        <v>42562</v>
      </c>
      <c r="AC2989" t="s">
        <v>53</v>
      </c>
      <c r="AD2989" t="s">
        <v>53</v>
      </c>
      <c r="AK2989">
        <v>121.6</v>
      </c>
      <c r="AU2989" s="3">
        <v>42528</v>
      </c>
      <c r="AV2989" s="3">
        <v>42528</v>
      </c>
      <c r="AW2989" t="s">
        <v>54</v>
      </c>
      <c r="AX2989" t="str">
        <f t="shared" si="352"/>
        <v>FOR</v>
      </c>
      <c r="AY2989" t="s">
        <v>55</v>
      </c>
    </row>
    <row r="2990" spans="1:51">
      <c r="A2990">
        <v>104129</v>
      </c>
      <c r="B2990" t="s">
        <v>364</v>
      </c>
      <c r="C2990" t="str">
        <f t="shared" si="350"/>
        <v>00847380961</v>
      </c>
      <c r="D2990" t="str">
        <f t="shared" si="351"/>
        <v>07123400157</v>
      </c>
      <c r="E2990" t="s">
        <v>52</v>
      </c>
      <c r="F2990">
        <v>2015</v>
      </c>
      <c r="G2990" t="str">
        <f>"            15023276"</f>
        <v xml:space="preserve">            15023276</v>
      </c>
      <c r="H2990" s="3">
        <v>42213</v>
      </c>
      <c r="I2990" s="3">
        <v>42216</v>
      </c>
      <c r="J2990" s="3">
        <v>42216</v>
      </c>
      <c r="K2990" s="3">
        <v>42276</v>
      </c>
      <c r="L2990" s="5">
        <v>2167.5</v>
      </c>
      <c r="M2990">
        <v>252</v>
      </c>
      <c r="N2990" s="5">
        <v>546210</v>
      </c>
      <c r="O2990" s="4">
        <v>2167.5</v>
      </c>
      <c r="P2990">
        <v>252</v>
      </c>
      <c r="Q2990" s="4">
        <v>546210</v>
      </c>
      <c r="R2990">
        <v>476.85</v>
      </c>
      <c r="V2990">
        <v>0</v>
      </c>
      <c r="W2990">
        <v>0</v>
      </c>
      <c r="X2990">
        <v>0</v>
      </c>
      <c r="Y2990">
        <v>0</v>
      </c>
      <c r="Z2990">
        <v>0</v>
      </c>
      <c r="AA2990">
        <v>0</v>
      </c>
      <c r="AB2990" s="3">
        <v>42562</v>
      </c>
      <c r="AC2990" t="s">
        <v>53</v>
      </c>
      <c r="AD2990" t="s">
        <v>53</v>
      </c>
      <c r="AK2990">
        <v>476.85</v>
      </c>
      <c r="AU2990" s="3">
        <v>42528</v>
      </c>
      <c r="AV2990" s="3">
        <v>42528</v>
      </c>
      <c r="AW2990" t="s">
        <v>54</v>
      </c>
      <c r="AX2990" t="str">
        <f t="shared" si="352"/>
        <v>FOR</v>
      </c>
      <c r="AY2990" t="s">
        <v>55</v>
      </c>
    </row>
    <row r="2991" spans="1:51">
      <c r="A2991">
        <v>104129</v>
      </c>
      <c r="B2991" t="s">
        <v>364</v>
      </c>
      <c r="C2991" t="str">
        <f t="shared" si="350"/>
        <v>00847380961</v>
      </c>
      <c r="D2991" t="str">
        <f t="shared" si="351"/>
        <v>07123400157</v>
      </c>
      <c r="E2991" t="s">
        <v>52</v>
      </c>
      <c r="F2991">
        <v>2015</v>
      </c>
      <c r="G2991" t="str">
        <f>"            15023471"</f>
        <v xml:space="preserve">            15023471</v>
      </c>
      <c r="H2991" s="3">
        <v>42214</v>
      </c>
      <c r="I2991" s="3">
        <v>42216</v>
      </c>
      <c r="J2991" s="3">
        <v>42216</v>
      </c>
      <c r="K2991" s="3">
        <v>42276</v>
      </c>
      <c r="L2991" s="5">
        <v>1520</v>
      </c>
      <c r="M2991">
        <v>252</v>
      </c>
      <c r="N2991" s="5">
        <v>383040</v>
      </c>
      <c r="O2991" s="4">
        <v>1520</v>
      </c>
      <c r="P2991">
        <v>252</v>
      </c>
      <c r="Q2991" s="4">
        <v>383040</v>
      </c>
      <c r="R2991">
        <v>60.8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 s="3">
        <v>42562</v>
      </c>
      <c r="AC2991" t="s">
        <v>53</v>
      </c>
      <c r="AD2991" t="s">
        <v>53</v>
      </c>
      <c r="AK2991">
        <v>60.8</v>
      </c>
      <c r="AU2991" s="3">
        <v>42528</v>
      </c>
      <c r="AV2991" s="3">
        <v>42528</v>
      </c>
      <c r="AW2991" t="s">
        <v>54</v>
      </c>
      <c r="AX2991" t="str">
        <f t="shared" si="352"/>
        <v>FOR</v>
      </c>
      <c r="AY2991" t="s">
        <v>55</v>
      </c>
    </row>
    <row r="2992" spans="1:51">
      <c r="A2992">
        <v>104129</v>
      </c>
      <c r="B2992" t="s">
        <v>364</v>
      </c>
      <c r="C2992" t="str">
        <f t="shared" si="350"/>
        <v>00847380961</v>
      </c>
      <c r="D2992" t="str">
        <f t="shared" si="351"/>
        <v>07123400157</v>
      </c>
      <c r="E2992" t="s">
        <v>52</v>
      </c>
      <c r="F2992">
        <v>2015</v>
      </c>
      <c r="G2992" t="str">
        <f>"            15023835"</f>
        <v xml:space="preserve">            15023835</v>
      </c>
      <c r="H2992" s="3">
        <v>42216</v>
      </c>
      <c r="I2992" s="3">
        <v>42223</v>
      </c>
      <c r="J2992" s="3">
        <v>42222</v>
      </c>
      <c r="K2992" s="3">
        <v>42282</v>
      </c>
      <c r="L2992" s="1">
        <v>722.5</v>
      </c>
      <c r="M2992">
        <v>246</v>
      </c>
      <c r="N2992" s="5">
        <v>177735</v>
      </c>
      <c r="O2992">
        <v>722.5</v>
      </c>
      <c r="P2992">
        <v>246</v>
      </c>
      <c r="Q2992" s="4">
        <v>177735</v>
      </c>
      <c r="R2992">
        <v>158.94999999999999</v>
      </c>
      <c r="V2992">
        <v>0</v>
      </c>
      <c r="W2992">
        <v>0</v>
      </c>
      <c r="X2992">
        <v>0</v>
      </c>
      <c r="Y2992">
        <v>0</v>
      </c>
      <c r="Z2992">
        <v>0</v>
      </c>
      <c r="AA2992">
        <v>0</v>
      </c>
      <c r="AB2992" s="3">
        <v>42562</v>
      </c>
      <c r="AC2992" t="s">
        <v>53</v>
      </c>
      <c r="AD2992" t="s">
        <v>53</v>
      </c>
      <c r="AK2992">
        <v>158.94999999999999</v>
      </c>
      <c r="AU2992" s="3">
        <v>42528</v>
      </c>
      <c r="AV2992" s="3">
        <v>42528</v>
      </c>
      <c r="AW2992" t="s">
        <v>54</v>
      </c>
      <c r="AX2992" t="str">
        <f t="shared" si="352"/>
        <v>FOR</v>
      </c>
      <c r="AY2992" t="s">
        <v>55</v>
      </c>
    </row>
    <row r="2993" spans="1:51">
      <c r="A2993">
        <v>104130</v>
      </c>
      <c r="B2993" t="s">
        <v>365</v>
      </c>
      <c r="C2993" t="str">
        <f>"02481080964"</f>
        <v>02481080964</v>
      </c>
      <c r="D2993" t="str">
        <f>"02481080964"</f>
        <v>02481080964</v>
      </c>
      <c r="E2993" t="s">
        <v>52</v>
      </c>
      <c r="F2993">
        <v>2013</v>
      </c>
      <c r="G2993" t="str">
        <f>"                2828"</f>
        <v xml:space="preserve">                2828</v>
      </c>
      <c r="H2993" s="3">
        <v>41530</v>
      </c>
      <c r="I2993" s="3">
        <v>41541</v>
      </c>
      <c r="J2993" s="3">
        <v>41541</v>
      </c>
      <c r="K2993" s="3">
        <v>41631</v>
      </c>
      <c r="L2993" s="5">
        <v>10414.469999999999</v>
      </c>
      <c r="M2993">
        <v>899</v>
      </c>
      <c r="N2993" s="5">
        <v>9362608.5299999993</v>
      </c>
      <c r="O2993" s="4">
        <v>10414.469999999999</v>
      </c>
      <c r="P2993">
        <v>899</v>
      </c>
      <c r="Q2993" s="4">
        <v>9362608.5299999993</v>
      </c>
      <c r="R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 s="3">
        <v>42562</v>
      </c>
      <c r="AC2993" t="s">
        <v>53</v>
      </c>
      <c r="AD2993" t="s">
        <v>53</v>
      </c>
      <c r="AK2993">
        <v>0</v>
      </c>
      <c r="AU2993" s="3">
        <v>42530</v>
      </c>
      <c r="AV2993" s="3">
        <v>42530</v>
      </c>
      <c r="AW2993" t="s">
        <v>54</v>
      </c>
      <c r="AX2993" t="str">
        <f t="shared" si="352"/>
        <v>FOR</v>
      </c>
      <c r="AY2993" t="s">
        <v>55</v>
      </c>
    </row>
    <row r="2994" spans="1:51" hidden="1">
      <c r="A2994">
        <v>104139</v>
      </c>
      <c r="B2994" t="s">
        <v>366</v>
      </c>
      <c r="C2994" t="str">
        <f>"02066400405"</f>
        <v>02066400405</v>
      </c>
      <c r="D2994" t="str">
        <f>"06188330150"</f>
        <v>06188330150</v>
      </c>
      <c r="E2994" t="s">
        <v>52</v>
      </c>
      <c r="F2994">
        <v>2015</v>
      </c>
      <c r="G2994" t="str">
        <f>"          0005845859"</f>
        <v xml:space="preserve">          0005845859</v>
      </c>
      <c r="H2994" s="3">
        <v>42325</v>
      </c>
      <c r="I2994" s="3">
        <v>42345</v>
      </c>
      <c r="J2994" s="3">
        <v>42341</v>
      </c>
      <c r="K2994" s="3">
        <v>42401</v>
      </c>
      <c r="L2994"/>
      <c r="N2994"/>
      <c r="O2994">
        <v>42</v>
      </c>
      <c r="P2994">
        <v>2</v>
      </c>
      <c r="Q2994">
        <v>84</v>
      </c>
      <c r="R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 s="3">
        <v>42562</v>
      </c>
      <c r="AC2994" t="s">
        <v>53</v>
      </c>
      <c r="AD2994" t="s">
        <v>53</v>
      </c>
      <c r="AK2994">
        <v>0</v>
      </c>
      <c r="AU2994" s="3">
        <v>42403</v>
      </c>
      <c r="AV2994" s="3">
        <v>42403</v>
      </c>
      <c r="AW2994" t="s">
        <v>54</v>
      </c>
      <c r="AX2994" t="str">
        <f t="shared" si="352"/>
        <v>FOR</v>
      </c>
      <c r="AY2994" t="s">
        <v>55</v>
      </c>
    </row>
    <row r="2995" spans="1:51">
      <c r="A2995">
        <v>104145</v>
      </c>
      <c r="B2995" t="s">
        <v>367</v>
      </c>
      <c r="C2995" t="str">
        <f t="shared" ref="C2995:D2997" si="353">"02642020156"</f>
        <v>02642020156</v>
      </c>
      <c r="D2995" t="str">
        <f t="shared" si="353"/>
        <v>02642020156</v>
      </c>
      <c r="E2995" t="s">
        <v>52</v>
      </c>
      <c r="F2995">
        <v>2015</v>
      </c>
      <c r="G2995" t="str">
        <f>"          9923014543"</f>
        <v xml:space="preserve">          9923014543</v>
      </c>
      <c r="H2995" s="3">
        <v>42178</v>
      </c>
      <c r="I2995" s="3">
        <v>42186</v>
      </c>
      <c r="J2995" s="3">
        <v>42182</v>
      </c>
      <c r="K2995" s="3">
        <v>42242</v>
      </c>
      <c r="L2995" s="5">
        <v>1600</v>
      </c>
      <c r="M2995">
        <v>278</v>
      </c>
      <c r="N2995" s="5">
        <v>444800</v>
      </c>
      <c r="O2995" s="4">
        <v>1600</v>
      </c>
      <c r="P2995">
        <v>278</v>
      </c>
      <c r="Q2995" s="4">
        <v>444800</v>
      </c>
      <c r="R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 s="3">
        <v>42562</v>
      </c>
      <c r="AC2995" t="s">
        <v>53</v>
      </c>
      <c r="AD2995" t="s">
        <v>53</v>
      </c>
      <c r="AK2995">
        <v>0</v>
      </c>
      <c r="AU2995" s="3">
        <v>42520</v>
      </c>
      <c r="AV2995" s="3">
        <v>42520</v>
      </c>
      <c r="AW2995" t="s">
        <v>54</v>
      </c>
      <c r="AX2995" t="str">
        <f t="shared" si="352"/>
        <v>FOR</v>
      </c>
      <c r="AY2995" t="s">
        <v>55</v>
      </c>
    </row>
    <row r="2996" spans="1:51">
      <c r="A2996">
        <v>104145</v>
      </c>
      <c r="B2996" t="s">
        <v>367</v>
      </c>
      <c r="C2996" t="str">
        <f t="shared" si="353"/>
        <v>02642020156</v>
      </c>
      <c r="D2996" t="str">
        <f t="shared" si="353"/>
        <v>02642020156</v>
      </c>
      <c r="E2996" t="s">
        <v>52</v>
      </c>
      <c r="F2996">
        <v>2015</v>
      </c>
      <c r="G2996" t="str">
        <f>"          9923017588"</f>
        <v xml:space="preserve">          9923017588</v>
      </c>
      <c r="H2996" s="3">
        <v>42297</v>
      </c>
      <c r="I2996" s="3">
        <v>42300</v>
      </c>
      <c r="J2996" s="3">
        <v>42299</v>
      </c>
      <c r="K2996" s="3">
        <v>42359</v>
      </c>
      <c r="L2996" s="5">
        <v>3200</v>
      </c>
      <c r="M2996">
        <v>161</v>
      </c>
      <c r="N2996" s="5">
        <v>515200</v>
      </c>
      <c r="O2996" s="4">
        <v>3200</v>
      </c>
      <c r="P2996">
        <v>161</v>
      </c>
      <c r="Q2996" s="4">
        <v>515200</v>
      </c>
      <c r="R2996">
        <v>0</v>
      </c>
      <c r="V2996">
        <v>0</v>
      </c>
      <c r="W2996">
        <v>0</v>
      </c>
      <c r="X2996">
        <v>0</v>
      </c>
      <c r="Y2996">
        <v>0</v>
      </c>
      <c r="Z2996">
        <v>0</v>
      </c>
      <c r="AA2996">
        <v>0</v>
      </c>
      <c r="AB2996" s="3">
        <v>42562</v>
      </c>
      <c r="AC2996" t="s">
        <v>53</v>
      </c>
      <c r="AD2996" t="s">
        <v>53</v>
      </c>
      <c r="AK2996">
        <v>0</v>
      </c>
      <c r="AU2996" s="3">
        <v>42520</v>
      </c>
      <c r="AV2996" s="3">
        <v>42520</v>
      </c>
      <c r="AW2996" t="s">
        <v>54</v>
      </c>
      <c r="AX2996" t="str">
        <f t="shared" si="352"/>
        <v>FOR</v>
      </c>
      <c r="AY2996" t="s">
        <v>55</v>
      </c>
    </row>
    <row r="2997" spans="1:51">
      <c r="A2997">
        <v>104145</v>
      </c>
      <c r="B2997" t="s">
        <v>367</v>
      </c>
      <c r="C2997" t="str">
        <f t="shared" si="353"/>
        <v>02642020156</v>
      </c>
      <c r="D2997" t="str">
        <f t="shared" si="353"/>
        <v>02642020156</v>
      </c>
      <c r="E2997" t="s">
        <v>52</v>
      </c>
      <c r="F2997">
        <v>2015</v>
      </c>
      <c r="G2997" t="str">
        <f>"          9923017699"</f>
        <v xml:space="preserve">          9923017699</v>
      </c>
      <c r="H2997" s="3">
        <v>42300</v>
      </c>
      <c r="I2997" s="3">
        <v>42305</v>
      </c>
      <c r="J2997" s="3">
        <v>42303</v>
      </c>
      <c r="K2997" s="3">
        <v>42363</v>
      </c>
      <c r="L2997" s="5">
        <v>1600</v>
      </c>
      <c r="M2997">
        <v>157</v>
      </c>
      <c r="N2997" s="5">
        <v>251200</v>
      </c>
      <c r="O2997" s="4">
        <v>1600</v>
      </c>
      <c r="P2997">
        <v>157</v>
      </c>
      <c r="Q2997" s="4">
        <v>251200</v>
      </c>
      <c r="R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 s="3">
        <v>42562</v>
      </c>
      <c r="AC2997" t="s">
        <v>53</v>
      </c>
      <c r="AD2997" t="s">
        <v>53</v>
      </c>
      <c r="AK2997">
        <v>0</v>
      </c>
      <c r="AU2997" s="3">
        <v>42520</v>
      </c>
      <c r="AV2997" s="3">
        <v>42520</v>
      </c>
      <c r="AW2997" t="s">
        <v>54</v>
      </c>
      <c r="AX2997" t="str">
        <f t="shared" si="352"/>
        <v>FOR</v>
      </c>
      <c r="AY2997" t="s">
        <v>55</v>
      </c>
    </row>
    <row r="2998" spans="1:51" hidden="1">
      <c r="A2998">
        <v>104146</v>
      </c>
      <c r="B2998" t="s">
        <v>368</v>
      </c>
      <c r="C2998" t="str">
        <f t="shared" ref="C2998:D3002" si="354">"11654150157"</f>
        <v>11654150157</v>
      </c>
      <c r="D2998" t="str">
        <f t="shared" si="354"/>
        <v>11654150157</v>
      </c>
      <c r="E2998" t="s">
        <v>52</v>
      </c>
      <c r="F2998">
        <v>2015</v>
      </c>
      <c r="G2998" t="str">
        <f>"           415027085"</f>
        <v xml:space="preserve">           415027085</v>
      </c>
      <c r="H2998" s="3">
        <v>42069</v>
      </c>
      <c r="I2998" s="3">
        <v>42087</v>
      </c>
      <c r="J2998" s="3">
        <v>42087</v>
      </c>
      <c r="K2998" s="3">
        <v>42147</v>
      </c>
      <c r="L2998"/>
      <c r="N2998"/>
      <c r="O2998" s="4">
        <v>7935</v>
      </c>
      <c r="P2998">
        <v>268</v>
      </c>
      <c r="Q2998" s="4">
        <v>2126580</v>
      </c>
      <c r="R2998">
        <v>0</v>
      </c>
      <c r="V2998">
        <v>0</v>
      </c>
      <c r="W2998">
        <v>0</v>
      </c>
      <c r="X2998">
        <v>0</v>
      </c>
      <c r="Y2998">
        <v>0</v>
      </c>
      <c r="Z2998">
        <v>0</v>
      </c>
      <c r="AA2998">
        <v>0</v>
      </c>
      <c r="AB2998" s="3">
        <v>42562</v>
      </c>
      <c r="AC2998" t="s">
        <v>53</v>
      </c>
      <c r="AD2998" t="s">
        <v>53</v>
      </c>
      <c r="AK2998">
        <v>0</v>
      </c>
      <c r="AU2998" s="3">
        <v>42415</v>
      </c>
      <c r="AV2998" s="3">
        <v>42415</v>
      </c>
      <c r="AW2998" t="s">
        <v>54</v>
      </c>
      <c r="AX2998" t="str">
        <f t="shared" si="352"/>
        <v>FOR</v>
      </c>
      <c r="AY2998" t="s">
        <v>55</v>
      </c>
    </row>
    <row r="2999" spans="1:51" hidden="1">
      <c r="A2999">
        <v>104146</v>
      </c>
      <c r="B2999" t="s">
        <v>368</v>
      </c>
      <c r="C2999" t="str">
        <f t="shared" si="354"/>
        <v>11654150157</v>
      </c>
      <c r="D2999" t="str">
        <f t="shared" si="354"/>
        <v>11654150157</v>
      </c>
      <c r="E2999" t="s">
        <v>52</v>
      </c>
      <c r="F2999">
        <v>2015</v>
      </c>
      <c r="G2999" t="str">
        <f>"           415027617"</f>
        <v xml:space="preserve">           415027617</v>
      </c>
      <c r="H2999" s="3">
        <v>42073</v>
      </c>
      <c r="I2999" s="3">
        <v>42087</v>
      </c>
      <c r="J2999" s="3">
        <v>42087</v>
      </c>
      <c r="K2999" s="3">
        <v>42147</v>
      </c>
      <c r="L2999"/>
      <c r="N2999"/>
      <c r="O2999">
        <v>240</v>
      </c>
      <c r="P2999">
        <v>268</v>
      </c>
      <c r="Q2999" s="4">
        <v>64320</v>
      </c>
      <c r="R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 s="3">
        <v>42562</v>
      </c>
      <c r="AC2999" t="s">
        <v>53</v>
      </c>
      <c r="AD2999" t="s">
        <v>53</v>
      </c>
      <c r="AK2999">
        <v>0</v>
      </c>
      <c r="AU2999" s="3">
        <v>42415</v>
      </c>
      <c r="AV2999" s="3">
        <v>42415</v>
      </c>
      <c r="AW2999" t="s">
        <v>54</v>
      </c>
      <c r="AX2999" t="str">
        <f t="shared" si="352"/>
        <v>FOR</v>
      </c>
      <c r="AY2999" t="s">
        <v>55</v>
      </c>
    </row>
    <row r="3000" spans="1:51" hidden="1">
      <c r="A3000">
        <v>104146</v>
      </c>
      <c r="B3000" t="s">
        <v>368</v>
      </c>
      <c r="C3000" t="str">
        <f t="shared" si="354"/>
        <v>11654150157</v>
      </c>
      <c r="D3000" t="str">
        <f t="shared" si="354"/>
        <v>11654150157</v>
      </c>
      <c r="E3000" t="s">
        <v>52</v>
      </c>
      <c r="F3000">
        <v>2015</v>
      </c>
      <c r="G3000" t="str">
        <f>"           715000149"</f>
        <v xml:space="preserve">           715000149</v>
      </c>
      <c r="H3000" s="3">
        <v>42131</v>
      </c>
      <c r="I3000" s="3">
        <v>42165</v>
      </c>
      <c r="J3000" s="3">
        <v>42164</v>
      </c>
      <c r="K3000" s="3">
        <v>42224</v>
      </c>
      <c r="L3000"/>
      <c r="N3000"/>
      <c r="O3000" s="4">
        <v>5270</v>
      </c>
      <c r="P3000">
        <v>228</v>
      </c>
      <c r="Q3000" s="4">
        <v>1201560</v>
      </c>
      <c r="R3000">
        <v>0</v>
      </c>
      <c r="V3000">
        <v>0</v>
      </c>
      <c r="W3000">
        <v>0</v>
      </c>
      <c r="X3000">
        <v>0</v>
      </c>
      <c r="Y3000">
        <v>0</v>
      </c>
      <c r="Z3000">
        <v>0</v>
      </c>
      <c r="AA3000">
        <v>0</v>
      </c>
      <c r="AB3000" s="3">
        <v>42562</v>
      </c>
      <c r="AC3000" t="s">
        <v>53</v>
      </c>
      <c r="AD3000" t="s">
        <v>53</v>
      </c>
      <c r="AK3000">
        <v>0</v>
      </c>
      <c r="AU3000" s="3">
        <v>42452</v>
      </c>
      <c r="AV3000" s="3">
        <v>42452</v>
      </c>
      <c r="AW3000" t="s">
        <v>54</v>
      </c>
      <c r="AX3000" t="str">
        <f t="shared" si="352"/>
        <v>FOR</v>
      </c>
      <c r="AY3000" t="s">
        <v>55</v>
      </c>
    </row>
    <row r="3001" spans="1:51">
      <c r="A3001">
        <v>104146</v>
      </c>
      <c r="B3001" t="s">
        <v>368</v>
      </c>
      <c r="C3001" t="str">
        <f t="shared" si="354"/>
        <v>11654150157</v>
      </c>
      <c r="D3001" t="str">
        <f t="shared" si="354"/>
        <v>11654150157</v>
      </c>
      <c r="E3001" t="s">
        <v>52</v>
      </c>
      <c r="F3001">
        <v>2015</v>
      </c>
      <c r="G3001" t="str">
        <f>"           715003189"</f>
        <v xml:space="preserve">           715003189</v>
      </c>
      <c r="H3001" s="3">
        <v>42164</v>
      </c>
      <c r="I3001" s="3">
        <v>42170</v>
      </c>
      <c r="J3001" s="3">
        <v>42168</v>
      </c>
      <c r="K3001" s="3">
        <v>42228</v>
      </c>
      <c r="L3001" s="1">
        <v>48</v>
      </c>
      <c r="M3001">
        <v>264</v>
      </c>
      <c r="N3001" s="5">
        <v>12672</v>
      </c>
      <c r="O3001">
        <v>48</v>
      </c>
      <c r="P3001">
        <v>264</v>
      </c>
      <c r="Q3001" s="4">
        <v>12672</v>
      </c>
      <c r="R3001">
        <v>0</v>
      </c>
      <c r="V3001">
        <v>0</v>
      </c>
      <c r="W3001">
        <v>0</v>
      </c>
      <c r="X3001">
        <v>0</v>
      </c>
      <c r="Y3001">
        <v>0</v>
      </c>
      <c r="Z3001">
        <v>0</v>
      </c>
      <c r="AA3001">
        <v>0</v>
      </c>
      <c r="AB3001" s="3">
        <v>42562</v>
      </c>
      <c r="AC3001" t="s">
        <v>53</v>
      </c>
      <c r="AD3001" t="s">
        <v>53</v>
      </c>
      <c r="AK3001">
        <v>0</v>
      </c>
      <c r="AU3001" s="3">
        <v>42492</v>
      </c>
      <c r="AV3001" s="3">
        <v>42492</v>
      </c>
      <c r="AW3001" t="s">
        <v>54</v>
      </c>
      <c r="AX3001" t="str">
        <f t="shared" si="352"/>
        <v>FOR</v>
      </c>
      <c r="AY3001" t="s">
        <v>55</v>
      </c>
    </row>
    <row r="3002" spans="1:51">
      <c r="A3002">
        <v>104146</v>
      </c>
      <c r="B3002" t="s">
        <v>368</v>
      </c>
      <c r="C3002" t="str">
        <f t="shared" si="354"/>
        <v>11654150157</v>
      </c>
      <c r="D3002" t="str">
        <f t="shared" si="354"/>
        <v>11654150157</v>
      </c>
      <c r="E3002" t="s">
        <v>52</v>
      </c>
      <c r="F3002">
        <v>2015</v>
      </c>
      <c r="G3002" t="str">
        <f>"           715004995"</f>
        <v xml:space="preserve">           715004995</v>
      </c>
      <c r="H3002" s="3">
        <v>42181</v>
      </c>
      <c r="I3002" s="3">
        <v>42191</v>
      </c>
      <c r="J3002" s="3">
        <v>42188</v>
      </c>
      <c r="K3002" s="3">
        <v>42248</v>
      </c>
      <c r="L3002" s="5">
        <v>12880</v>
      </c>
      <c r="M3002">
        <v>244</v>
      </c>
      <c r="N3002" s="5">
        <v>3142720</v>
      </c>
      <c r="O3002" s="4">
        <v>12880</v>
      </c>
      <c r="P3002">
        <v>244</v>
      </c>
      <c r="Q3002" s="4">
        <v>3142720</v>
      </c>
      <c r="R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 s="3">
        <v>42562</v>
      </c>
      <c r="AC3002" t="s">
        <v>53</v>
      </c>
      <c r="AD3002" t="s">
        <v>53</v>
      </c>
      <c r="AK3002">
        <v>0</v>
      </c>
      <c r="AU3002" s="3">
        <v>42492</v>
      </c>
      <c r="AV3002" s="3">
        <v>42492</v>
      </c>
      <c r="AW3002" t="s">
        <v>54</v>
      </c>
      <c r="AX3002" t="str">
        <f t="shared" si="352"/>
        <v>FOR</v>
      </c>
      <c r="AY3002" t="s">
        <v>55</v>
      </c>
    </row>
    <row r="3003" spans="1:51">
      <c r="A3003">
        <v>104179</v>
      </c>
      <c r="B3003" t="s">
        <v>369</v>
      </c>
      <c r="C3003" t="str">
        <f>""</f>
        <v/>
      </c>
      <c r="D3003" t="str">
        <f>"VCCGPP52D17C675O"</f>
        <v>VCCGPP52D17C675O</v>
      </c>
      <c r="E3003" t="s">
        <v>52</v>
      </c>
      <c r="F3003">
        <v>2015</v>
      </c>
      <c r="G3003" t="str">
        <f>"                  16"</f>
        <v xml:space="preserve">                  16</v>
      </c>
      <c r="H3003" s="3">
        <v>42058</v>
      </c>
      <c r="I3003" s="3">
        <v>42527</v>
      </c>
      <c r="J3003" s="3">
        <v>42527</v>
      </c>
      <c r="K3003" s="3">
        <v>42587</v>
      </c>
      <c r="L3003" s="5">
        <v>5344</v>
      </c>
      <c r="M3003">
        <v>-59</v>
      </c>
      <c r="N3003" s="5">
        <v>-315296</v>
      </c>
      <c r="O3003" s="4">
        <v>5344</v>
      </c>
      <c r="P3003">
        <v>-59</v>
      </c>
      <c r="Q3003" s="4">
        <v>-315296</v>
      </c>
      <c r="R3003">
        <v>0</v>
      </c>
      <c r="V3003">
        <v>0</v>
      </c>
      <c r="W3003" s="4">
        <v>5344</v>
      </c>
      <c r="X3003">
        <v>0</v>
      </c>
      <c r="Y3003">
        <v>0</v>
      </c>
      <c r="Z3003" s="4">
        <v>5344</v>
      </c>
      <c r="AA3003">
        <v>0</v>
      </c>
      <c r="AB3003" s="3">
        <v>42562</v>
      </c>
      <c r="AC3003" t="s">
        <v>53</v>
      </c>
      <c r="AD3003" t="s">
        <v>53</v>
      </c>
      <c r="AK3003">
        <v>0</v>
      </c>
      <c r="AU3003" s="3">
        <v>42528</v>
      </c>
      <c r="AV3003" s="3">
        <v>42528</v>
      </c>
      <c r="AW3003" t="s">
        <v>54</v>
      </c>
      <c r="AX3003" t="str">
        <f>"ALTPRO"</f>
        <v>ALTPRO</v>
      </c>
      <c r="AY3003" t="s">
        <v>93</v>
      </c>
    </row>
    <row r="3004" spans="1:51" hidden="1">
      <c r="A3004">
        <v>104195</v>
      </c>
      <c r="B3004" t="s">
        <v>370</v>
      </c>
      <c r="C3004" t="str">
        <f t="shared" ref="C3004:D3023" si="355">"11206730159"</f>
        <v>11206730159</v>
      </c>
      <c r="D3004" t="str">
        <f t="shared" si="355"/>
        <v>11206730159</v>
      </c>
      <c r="E3004" t="s">
        <v>52</v>
      </c>
      <c r="F3004">
        <v>2015</v>
      </c>
      <c r="G3004" t="str">
        <f>"          7171150833"</f>
        <v xml:space="preserve">          7171150833</v>
      </c>
      <c r="H3004" s="3">
        <v>42038</v>
      </c>
      <c r="I3004" s="3">
        <v>42044</v>
      </c>
      <c r="J3004" s="3">
        <v>42044</v>
      </c>
      <c r="K3004" s="3">
        <v>42104</v>
      </c>
      <c r="L3004"/>
      <c r="N3004"/>
      <c r="O3004">
        <v>150</v>
      </c>
      <c r="P3004">
        <v>304</v>
      </c>
      <c r="Q3004" s="4">
        <v>45600</v>
      </c>
      <c r="R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 s="3">
        <v>42562</v>
      </c>
      <c r="AC3004" t="s">
        <v>53</v>
      </c>
      <c r="AD3004" t="s">
        <v>53</v>
      </c>
      <c r="AK3004">
        <v>0</v>
      </c>
      <c r="AU3004" s="3">
        <v>42408</v>
      </c>
      <c r="AV3004" s="3">
        <v>42408</v>
      </c>
      <c r="AW3004" t="s">
        <v>54</v>
      </c>
      <c r="AX3004" t="str">
        <f t="shared" ref="AX3004:AX3035" si="356">"FOR"</f>
        <v>FOR</v>
      </c>
      <c r="AY3004" t="s">
        <v>55</v>
      </c>
    </row>
    <row r="3005" spans="1:51" hidden="1">
      <c r="A3005">
        <v>104195</v>
      </c>
      <c r="B3005" t="s">
        <v>370</v>
      </c>
      <c r="C3005" t="str">
        <f t="shared" si="355"/>
        <v>11206730159</v>
      </c>
      <c r="D3005" t="str">
        <f t="shared" si="355"/>
        <v>11206730159</v>
      </c>
      <c r="E3005" t="s">
        <v>52</v>
      </c>
      <c r="F3005">
        <v>2015</v>
      </c>
      <c r="G3005" t="str">
        <f>"          7171150834"</f>
        <v xml:space="preserve">          7171150834</v>
      </c>
      <c r="H3005" s="3">
        <v>42038</v>
      </c>
      <c r="I3005" s="3">
        <v>42044</v>
      </c>
      <c r="J3005" s="3">
        <v>42044</v>
      </c>
      <c r="K3005" s="3">
        <v>42104</v>
      </c>
      <c r="L3005"/>
      <c r="N3005"/>
      <c r="O3005">
        <v>150</v>
      </c>
      <c r="P3005">
        <v>304</v>
      </c>
      <c r="Q3005" s="4">
        <v>45600</v>
      </c>
      <c r="R3005">
        <v>0</v>
      </c>
      <c r="V3005">
        <v>0</v>
      </c>
      <c r="W3005">
        <v>0</v>
      </c>
      <c r="X3005">
        <v>0</v>
      </c>
      <c r="Y3005">
        <v>0</v>
      </c>
      <c r="Z3005">
        <v>0</v>
      </c>
      <c r="AA3005">
        <v>0</v>
      </c>
      <c r="AB3005" s="3">
        <v>42562</v>
      </c>
      <c r="AC3005" t="s">
        <v>53</v>
      </c>
      <c r="AD3005" t="s">
        <v>53</v>
      </c>
      <c r="AK3005">
        <v>0</v>
      </c>
      <c r="AU3005" s="3">
        <v>42408</v>
      </c>
      <c r="AV3005" s="3">
        <v>42408</v>
      </c>
      <c r="AW3005" t="s">
        <v>54</v>
      </c>
      <c r="AX3005" t="str">
        <f t="shared" si="356"/>
        <v>FOR</v>
      </c>
      <c r="AY3005" t="s">
        <v>55</v>
      </c>
    </row>
    <row r="3006" spans="1:51" hidden="1">
      <c r="A3006">
        <v>104195</v>
      </c>
      <c r="B3006" t="s">
        <v>370</v>
      </c>
      <c r="C3006" t="str">
        <f t="shared" si="355"/>
        <v>11206730159</v>
      </c>
      <c r="D3006" t="str">
        <f t="shared" si="355"/>
        <v>11206730159</v>
      </c>
      <c r="E3006" t="s">
        <v>52</v>
      </c>
      <c r="F3006">
        <v>2015</v>
      </c>
      <c r="G3006" t="str">
        <f>"          7171150835"</f>
        <v xml:space="preserve">          7171150835</v>
      </c>
      <c r="H3006" s="3">
        <v>42038</v>
      </c>
      <c r="I3006" s="3">
        <v>42044</v>
      </c>
      <c r="J3006" s="3">
        <v>42044</v>
      </c>
      <c r="K3006" s="3">
        <v>42104</v>
      </c>
      <c r="L3006"/>
      <c r="N3006"/>
      <c r="O3006">
        <v>150</v>
      </c>
      <c r="P3006">
        <v>304</v>
      </c>
      <c r="Q3006" s="4">
        <v>45600</v>
      </c>
      <c r="R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 s="3">
        <v>42562</v>
      </c>
      <c r="AC3006" t="s">
        <v>53</v>
      </c>
      <c r="AD3006" t="s">
        <v>53</v>
      </c>
      <c r="AK3006">
        <v>0</v>
      </c>
      <c r="AU3006" s="3">
        <v>42408</v>
      </c>
      <c r="AV3006" s="3">
        <v>42408</v>
      </c>
      <c r="AW3006" t="s">
        <v>54</v>
      </c>
      <c r="AX3006" t="str">
        <f t="shared" si="356"/>
        <v>FOR</v>
      </c>
      <c r="AY3006" t="s">
        <v>55</v>
      </c>
    </row>
    <row r="3007" spans="1:51" hidden="1">
      <c r="A3007">
        <v>104195</v>
      </c>
      <c r="B3007" t="s">
        <v>370</v>
      </c>
      <c r="C3007" t="str">
        <f t="shared" si="355"/>
        <v>11206730159</v>
      </c>
      <c r="D3007" t="str">
        <f t="shared" si="355"/>
        <v>11206730159</v>
      </c>
      <c r="E3007" t="s">
        <v>52</v>
      </c>
      <c r="F3007">
        <v>2015</v>
      </c>
      <c r="G3007" t="str">
        <f>"          7171150836"</f>
        <v xml:space="preserve">          7171150836</v>
      </c>
      <c r="H3007" s="3">
        <v>42038</v>
      </c>
      <c r="I3007" s="3">
        <v>42044</v>
      </c>
      <c r="J3007" s="3">
        <v>42044</v>
      </c>
      <c r="K3007" s="3">
        <v>42104</v>
      </c>
      <c r="L3007"/>
      <c r="N3007"/>
      <c r="O3007">
        <v>860</v>
      </c>
      <c r="P3007">
        <v>304</v>
      </c>
      <c r="Q3007" s="4">
        <v>261440</v>
      </c>
      <c r="R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 s="3">
        <v>42562</v>
      </c>
      <c r="AC3007" t="s">
        <v>53</v>
      </c>
      <c r="AD3007" t="s">
        <v>53</v>
      </c>
      <c r="AK3007">
        <v>0</v>
      </c>
      <c r="AU3007" s="3">
        <v>42408</v>
      </c>
      <c r="AV3007" s="3">
        <v>42408</v>
      </c>
      <c r="AW3007" t="s">
        <v>54</v>
      </c>
      <c r="AX3007" t="str">
        <f t="shared" si="356"/>
        <v>FOR</v>
      </c>
      <c r="AY3007" t="s">
        <v>55</v>
      </c>
    </row>
    <row r="3008" spans="1:51" hidden="1">
      <c r="A3008">
        <v>104195</v>
      </c>
      <c r="B3008" t="s">
        <v>370</v>
      </c>
      <c r="C3008" t="str">
        <f t="shared" si="355"/>
        <v>11206730159</v>
      </c>
      <c r="D3008" t="str">
        <f t="shared" si="355"/>
        <v>11206730159</v>
      </c>
      <c r="E3008" t="s">
        <v>52</v>
      </c>
      <c r="F3008">
        <v>2015</v>
      </c>
      <c r="G3008" t="str">
        <f>"          7171150837"</f>
        <v xml:space="preserve">          7171150837</v>
      </c>
      <c r="H3008" s="3">
        <v>42038</v>
      </c>
      <c r="I3008" s="3">
        <v>42044</v>
      </c>
      <c r="J3008" s="3">
        <v>42044</v>
      </c>
      <c r="K3008" s="3">
        <v>42104</v>
      </c>
      <c r="L3008"/>
      <c r="N3008"/>
      <c r="O3008">
        <v>860</v>
      </c>
      <c r="P3008">
        <v>304</v>
      </c>
      <c r="Q3008" s="4">
        <v>261440</v>
      </c>
      <c r="R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 s="3">
        <v>42562</v>
      </c>
      <c r="AC3008" t="s">
        <v>53</v>
      </c>
      <c r="AD3008" t="s">
        <v>53</v>
      </c>
      <c r="AK3008">
        <v>0</v>
      </c>
      <c r="AU3008" s="3">
        <v>42408</v>
      </c>
      <c r="AV3008" s="3">
        <v>42408</v>
      </c>
      <c r="AW3008" t="s">
        <v>54</v>
      </c>
      <c r="AX3008" t="str">
        <f t="shared" si="356"/>
        <v>FOR</v>
      </c>
      <c r="AY3008" t="s">
        <v>55</v>
      </c>
    </row>
    <row r="3009" spans="1:51" hidden="1">
      <c r="A3009">
        <v>104195</v>
      </c>
      <c r="B3009" t="s">
        <v>370</v>
      </c>
      <c r="C3009" t="str">
        <f t="shared" si="355"/>
        <v>11206730159</v>
      </c>
      <c r="D3009" t="str">
        <f t="shared" si="355"/>
        <v>11206730159</v>
      </c>
      <c r="E3009" t="s">
        <v>52</v>
      </c>
      <c r="F3009">
        <v>2015</v>
      </c>
      <c r="G3009" t="str">
        <f>"          7171152692"</f>
        <v xml:space="preserve">          7171152692</v>
      </c>
      <c r="H3009" s="3">
        <v>42044</v>
      </c>
      <c r="I3009" s="3">
        <v>42052</v>
      </c>
      <c r="J3009" s="3">
        <v>42052</v>
      </c>
      <c r="K3009" s="3">
        <v>42112</v>
      </c>
      <c r="L3009"/>
      <c r="N3009"/>
      <c r="O3009">
        <v>150</v>
      </c>
      <c r="P3009">
        <v>296</v>
      </c>
      <c r="Q3009" s="4">
        <v>44400</v>
      </c>
      <c r="R3009">
        <v>0</v>
      </c>
      <c r="V3009">
        <v>0</v>
      </c>
      <c r="W3009">
        <v>0</v>
      </c>
      <c r="X3009">
        <v>0</v>
      </c>
      <c r="Y3009">
        <v>0</v>
      </c>
      <c r="Z3009">
        <v>0</v>
      </c>
      <c r="AA3009">
        <v>0</v>
      </c>
      <c r="AB3009" s="3">
        <v>42562</v>
      </c>
      <c r="AC3009" t="s">
        <v>53</v>
      </c>
      <c r="AD3009" t="s">
        <v>53</v>
      </c>
      <c r="AK3009">
        <v>0</v>
      </c>
      <c r="AU3009" s="3">
        <v>42408</v>
      </c>
      <c r="AV3009" s="3">
        <v>42408</v>
      </c>
      <c r="AW3009" t="s">
        <v>54</v>
      </c>
      <c r="AX3009" t="str">
        <f t="shared" si="356"/>
        <v>FOR</v>
      </c>
      <c r="AY3009" t="s">
        <v>55</v>
      </c>
    </row>
    <row r="3010" spans="1:51" hidden="1">
      <c r="A3010">
        <v>104195</v>
      </c>
      <c r="B3010" t="s">
        <v>370</v>
      </c>
      <c r="C3010" t="str">
        <f t="shared" si="355"/>
        <v>11206730159</v>
      </c>
      <c r="D3010" t="str">
        <f t="shared" si="355"/>
        <v>11206730159</v>
      </c>
      <c r="E3010" t="s">
        <v>52</v>
      </c>
      <c r="F3010">
        <v>2015</v>
      </c>
      <c r="G3010" t="str">
        <f>"          7171152693"</f>
        <v xml:space="preserve">          7171152693</v>
      </c>
      <c r="H3010" s="3">
        <v>42044</v>
      </c>
      <c r="I3010" s="3">
        <v>42052</v>
      </c>
      <c r="J3010" s="3">
        <v>42052</v>
      </c>
      <c r="K3010" s="3">
        <v>42112</v>
      </c>
      <c r="L3010"/>
      <c r="N3010"/>
      <c r="O3010">
        <v>860</v>
      </c>
      <c r="P3010">
        <v>296</v>
      </c>
      <c r="Q3010" s="4">
        <v>254560</v>
      </c>
      <c r="R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 s="3">
        <v>42562</v>
      </c>
      <c r="AC3010" t="s">
        <v>53</v>
      </c>
      <c r="AD3010" t="s">
        <v>53</v>
      </c>
      <c r="AK3010">
        <v>0</v>
      </c>
      <c r="AU3010" s="3">
        <v>42408</v>
      </c>
      <c r="AV3010" s="3">
        <v>42408</v>
      </c>
      <c r="AW3010" t="s">
        <v>54</v>
      </c>
      <c r="AX3010" t="str">
        <f t="shared" si="356"/>
        <v>FOR</v>
      </c>
      <c r="AY3010" t="s">
        <v>55</v>
      </c>
    </row>
    <row r="3011" spans="1:51" hidden="1">
      <c r="A3011">
        <v>104195</v>
      </c>
      <c r="B3011" t="s">
        <v>370</v>
      </c>
      <c r="C3011" t="str">
        <f t="shared" si="355"/>
        <v>11206730159</v>
      </c>
      <c r="D3011" t="str">
        <f t="shared" si="355"/>
        <v>11206730159</v>
      </c>
      <c r="E3011" t="s">
        <v>52</v>
      </c>
      <c r="F3011">
        <v>2015</v>
      </c>
      <c r="G3011" t="str">
        <f>"          7171159051"</f>
        <v xml:space="preserve">          7171159051</v>
      </c>
      <c r="H3011" s="3">
        <v>42061</v>
      </c>
      <c r="I3011" s="3">
        <v>42067</v>
      </c>
      <c r="J3011" s="3">
        <v>42067</v>
      </c>
      <c r="K3011" s="3">
        <v>42127</v>
      </c>
      <c r="L3011"/>
      <c r="N3011"/>
      <c r="O3011">
        <v>150</v>
      </c>
      <c r="P3011">
        <v>281</v>
      </c>
      <c r="Q3011" s="4">
        <v>42150</v>
      </c>
      <c r="R3011">
        <v>0</v>
      </c>
      <c r="V3011">
        <v>0</v>
      </c>
      <c r="W3011">
        <v>0</v>
      </c>
      <c r="X3011">
        <v>0</v>
      </c>
      <c r="Y3011">
        <v>0</v>
      </c>
      <c r="Z3011">
        <v>0</v>
      </c>
      <c r="AA3011">
        <v>0</v>
      </c>
      <c r="AB3011" s="3">
        <v>42562</v>
      </c>
      <c r="AC3011" t="s">
        <v>53</v>
      </c>
      <c r="AD3011" t="s">
        <v>53</v>
      </c>
      <c r="AK3011">
        <v>0</v>
      </c>
      <c r="AU3011" s="3">
        <v>42408</v>
      </c>
      <c r="AV3011" s="3">
        <v>42408</v>
      </c>
      <c r="AW3011" t="s">
        <v>54</v>
      </c>
      <c r="AX3011" t="str">
        <f t="shared" si="356"/>
        <v>FOR</v>
      </c>
      <c r="AY3011" t="s">
        <v>55</v>
      </c>
    </row>
    <row r="3012" spans="1:51" hidden="1">
      <c r="A3012">
        <v>104195</v>
      </c>
      <c r="B3012" t="s">
        <v>370</v>
      </c>
      <c r="C3012" t="str">
        <f t="shared" si="355"/>
        <v>11206730159</v>
      </c>
      <c r="D3012" t="str">
        <f t="shared" si="355"/>
        <v>11206730159</v>
      </c>
      <c r="E3012" t="s">
        <v>52</v>
      </c>
      <c r="F3012">
        <v>2015</v>
      </c>
      <c r="G3012" t="str">
        <f>"          7171159052"</f>
        <v xml:space="preserve">          7171159052</v>
      </c>
      <c r="H3012" s="3">
        <v>42061</v>
      </c>
      <c r="I3012" s="3">
        <v>42067</v>
      </c>
      <c r="J3012" s="3">
        <v>42067</v>
      </c>
      <c r="K3012" s="3">
        <v>42127</v>
      </c>
      <c r="L3012"/>
      <c r="N3012"/>
      <c r="O3012">
        <v>850</v>
      </c>
      <c r="P3012">
        <v>281</v>
      </c>
      <c r="Q3012" s="4">
        <v>238850</v>
      </c>
      <c r="R3012">
        <v>0</v>
      </c>
      <c r="V3012">
        <v>0</v>
      </c>
      <c r="W3012">
        <v>0</v>
      </c>
      <c r="X3012">
        <v>0</v>
      </c>
      <c r="Y3012">
        <v>0</v>
      </c>
      <c r="Z3012">
        <v>0</v>
      </c>
      <c r="AA3012">
        <v>0</v>
      </c>
      <c r="AB3012" s="3">
        <v>42562</v>
      </c>
      <c r="AC3012" t="s">
        <v>53</v>
      </c>
      <c r="AD3012" t="s">
        <v>53</v>
      </c>
      <c r="AK3012">
        <v>0</v>
      </c>
      <c r="AU3012" s="3">
        <v>42408</v>
      </c>
      <c r="AV3012" s="3">
        <v>42408</v>
      </c>
      <c r="AW3012" t="s">
        <v>54</v>
      </c>
      <c r="AX3012" t="str">
        <f t="shared" si="356"/>
        <v>FOR</v>
      </c>
      <c r="AY3012" t="s">
        <v>55</v>
      </c>
    </row>
    <row r="3013" spans="1:51" hidden="1">
      <c r="A3013">
        <v>104195</v>
      </c>
      <c r="B3013" t="s">
        <v>370</v>
      </c>
      <c r="C3013" t="str">
        <f t="shared" si="355"/>
        <v>11206730159</v>
      </c>
      <c r="D3013" t="str">
        <f t="shared" si="355"/>
        <v>11206730159</v>
      </c>
      <c r="E3013" t="s">
        <v>52</v>
      </c>
      <c r="F3013">
        <v>2015</v>
      </c>
      <c r="G3013" t="str">
        <f>"          7171159053"</f>
        <v xml:space="preserve">          7171159053</v>
      </c>
      <c r="H3013" s="3">
        <v>42061</v>
      </c>
      <c r="I3013" s="3">
        <v>42067</v>
      </c>
      <c r="J3013" s="3">
        <v>42067</v>
      </c>
      <c r="K3013" s="3">
        <v>42127</v>
      </c>
      <c r="L3013"/>
      <c r="N3013"/>
      <c r="O3013">
        <v>150</v>
      </c>
      <c r="P3013">
        <v>281</v>
      </c>
      <c r="Q3013" s="4">
        <v>42150</v>
      </c>
      <c r="R3013">
        <v>0</v>
      </c>
      <c r="V3013">
        <v>0</v>
      </c>
      <c r="W3013">
        <v>0</v>
      </c>
      <c r="X3013">
        <v>0</v>
      </c>
      <c r="Y3013">
        <v>0</v>
      </c>
      <c r="Z3013">
        <v>0</v>
      </c>
      <c r="AA3013">
        <v>0</v>
      </c>
      <c r="AB3013" s="3">
        <v>42562</v>
      </c>
      <c r="AC3013" t="s">
        <v>53</v>
      </c>
      <c r="AD3013" t="s">
        <v>53</v>
      </c>
      <c r="AK3013">
        <v>0</v>
      </c>
      <c r="AU3013" s="3">
        <v>42408</v>
      </c>
      <c r="AV3013" s="3">
        <v>42408</v>
      </c>
      <c r="AW3013" t="s">
        <v>54</v>
      </c>
      <c r="AX3013" t="str">
        <f t="shared" si="356"/>
        <v>FOR</v>
      </c>
      <c r="AY3013" t="s">
        <v>55</v>
      </c>
    </row>
    <row r="3014" spans="1:51" hidden="1">
      <c r="A3014">
        <v>104195</v>
      </c>
      <c r="B3014" t="s">
        <v>370</v>
      </c>
      <c r="C3014" t="str">
        <f t="shared" si="355"/>
        <v>11206730159</v>
      </c>
      <c r="D3014" t="str">
        <f t="shared" si="355"/>
        <v>11206730159</v>
      </c>
      <c r="E3014" t="s">
        <v>52</v>
      </c>
      <c r="F3014">
        <v>2015</v>
      </c>
      <c r="G3014" t="str">
        <f>"          7171159054"</f>
        <v xml:space="preserve">          7171159054</v>
      </c>
      <c r="H3014" s="3">
        <v>42061</v>
      </c>
      <c r="I3014" s="3">
        <v>42067</v>
      </c>
      <c r="J3014" s="3">
        <v>42067</v>
      </c>
      <c r="K3014" s="3">
        <v>42127</v>
      </c>
      <c r="L3014"/>
      <c r="N3014"/>
      <c r="O3014">
        <v>860</v>
      </c>
      <c r="P3014">
        <v>281</v>
      </c>
      <c r="Q3014" s="4">
        <v>241660</v>
      </c>
      <c r="R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 s="3">
        <v>42562</v>
      </c>
      <c r="AC3014" t="s">
        <v>53</v>
      </c>
      <c r="AD3014" t="s">
        <v>53</v>
      </c>
      <c r="AK3014">
        <v>0</v>
      </c>
      <c r="AU3014" s="3">
        <v>42408</v>
      </c>
      <c r="AV3014" s="3">
        <v>42408</v>
      </c>
      <c r="AW3014" t="s">
        <v>54</v>
      </c>
      <c r="AX3014" t="str">
        <f t="shared" si="356"/>
        <v>FOR</v>
      </c>
      <c r="AY3014" t="s">
        <v>55</v>
      </c>
    </row>
    <row r="3015" spans="1:51" hidden="1">
      <c r="A3015">
        <v>104195</v>
      </c>
      <c r="B3015" t="s">
        <v>370</v>
      </c>
      <c r="C3015" t="str">
        <f t="shared" si="355"/>
        <v>11206730159</v>
      </c>
      <c r="D3015" t="str">
        <f t="shared" si="355"/>
        <v>11206730159</v>
      </c>
      <c r="E3015" t="s">
        <v>52</v>
      </c>
      <c r="F3015">
        <v>2015</v>
      </c>
      <c r="G3015" t="str">
        <f>"          7171159055"</f>
        <v xml:space="preserve">          7171159055</v>
      </c>
      <c r="H3015" s="3">
        <v>42061</v>
      </c>
      <c r="I3015" s="3">
        <v>42067</v>
      </c>
      <c r="J3015" s="3">
        <v>42067</v>
      </c>
      <c r="K3015" s="3">
        <v>42127</v>
      </c>
      <c r="L3015"/>
      <c r="N3015"/>
      <c r="O3015">
        <v>150</v>
      </c>
      <c r="P3015">
        <v>281</v>
      </c>
      <c r="Q3015" s="4">
        <v>42150</v>
      </c>
      <c r="R3015">
        <v>0</v>
      </c>
      <c r="V3015">
        <v>0</v>
      </c>
      <c r="W3015">
        <v>0</v>
      </c>
      <c r="X3015">
        <v>0</v>
      </c>
      <c r="Y3015">
        <v>0</v>
      </c>
      <c r="Z3015">
        <v>0</v>
      </c>
      <c r="AA3015">
        <v>0</v>
      </c>
      <c r="AB3015" s="3">
        <v>42562</v>
      </c>
      <c r="AC3015" t="s">
        <v>53</v>
      </c>
      <c r="AD3015" t="s">
        <v>53</v>
      </c>
      <c r="AK3015">
        <v>0</v>
      </c>
      <c r="AU3015" s="3">
        <v>42408</v>
      </c>
      <c r="AV3015" s="3">
        <v>42408</v>
      </c>
      <c r="AW3015" t="s">
        <v>54</v>
      </c>
      <c r="AX3015" t="str">
        <f t="shared" si="356"/>
        <v>FOR</v>
      </c>
      <c r="AY3015" t="s">
        <v>55</v>
      </c>
    </row>
    <row r="3016" spans="1:51" hidden="1">
      <c r="A3016">
        <v>104195</v>
      </c>
      <c r="B3016" t="s">
        <v>370</v>
      </c>
      <c r="C3016" t="str">
        <f t="shared" si="355"/>
        <v>11206730159</v>
      </c>
      <c r="D3016" t="str">
        <f t="shared" si="355"/>
        <v>11206730159</v>
      </c>
      <c r="E3016" t="s">
        <v>52</v>
      </c>
      <c r="F3016">
        <v>2015</v>
      </c>
      <c r="G3016" t="str">
        <f>"          7171163177"</f>
        <v xml:space="preserve">          7171163177</v>
      </c>
      <c r="H3016" s="3">
        <v>42073</v>
      </c>
      <c r="I3016" s="3">
        <v>42081</v>
      </c>
      <c r="J3016" s="3">
        <v>42081</v>
      </c>
      <c r="K3016" s="3">
        <v>42141</v>
      </c>
      <c r="L3016"/>
      <c r="N3016"/>
      <c r="O3016" s="4">
        <v>1100</v>
      </c>
      <c r="P3016">
        <v>274</v>
      </c>
      <c r="Q3016" s="4">
        <v>301400</v>
      </c>
      <c r="R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 s="3">
        <v>42562</v>
      </c>
      <c r="AC3016" t="s">
        <v>53</v>
      </c>
      <c r="AD3016" t="s">
        <v>53</v>
      </c>
      <c r="AK3016">
        <v>0</v>
      </c>
      <c r="AU3016" s="3">
        <v>42415</v>
      </c>
      <c r="AV3016" s="3">
        <v>42415</v>
      </c>
      <c r="AW3016" t="s">
        <v>54</v>
      </c>
      <c r="AX3016" t="str">
        <f t="shared" si="356"/>
        <v>FOR</v>
      </c>
      <c r="AY3016" t="s">
        <v>55</v>
      </c>
    </row>
    <row r="3017" spans="1:51" hidden="1">
      <c r="A3017">
        <v>104195</v>
      </c>
      <c r="B3017" t="s">
        <v>370</v>
      </c>
      <c r="C3017" t="str">
        <f t="shared" si="355"/>
        <v>11206730159</v>
      </c>
      <c r="D3017" t="str">
        <f t="shared" si="355"/>
        <v>11206730159</v>
      </c>
      <c r="E3017" t="s">
        <v>52</v>
      </c>
      <c r="F3017">
        <v>2015</v>
      </c>
      <c r="G3017" t="str">
        <f>"          7171163178"</f>
        <v xml:space="preserve">          7171163178</v>
      </c>
      <c r="H3017" s="3">
        <v>42073</v>
      </c>
      <c r="I3017" s="3">
        <v>42081</v>
      </c>
      <c r="J3017" s="3">
        <v>42081</v>
      </c>
      <c r="K3017" s="3">
        <v>42141</v>
      </c>
      <c r="L3017"/>
      <c r="N3017"/>
      <c r="O3017">
        <v>750</v>
      </c>
      <c r="P3017">
        <v>274</v>
      </c>
      <c r="Q3017" s="4">
        <v>205500</v>
      </c>
      <c r="R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 s="3">
        <v>42562</v>
      </c>
      <c r="AC3017" t="s">
        <v>53</v>
      </c>
      <c r="AD3017" t="s">
        <v>53</v>
      </c>
      <c r="AK3017">
        <v>0</v>
      </c>
      <c r="AU3017" s="3">
        <v>42415</v>
      </c>
      <c r="AV3017" s="3">
        <v>42415</v>
      </c>
      <c r="AW3017" t="s">
        <v>54</v>
      </c>
      <c r="AX3017" t="str">
        <f t="shared" si="356"/>
        <v>FOR</v>
      </c>
      <c r="AY3017" t="s">
        <v>55</v>
      </c>
    </row>
    <row r="3018" spans="1:51" hidden="1">
      <c r="A3018">
        <v>104195</v>
      </c>
      <c r="B3018" t="s">
        <v>370</v>
      </c>
      <c r="C3018" t="str">
        <f t="shared" si="355"/>
        <v>11206730159</v>
      </c>
      <c r="D3018" t="str">
        <f t="shared" si="355"/>
        <v>11206730159</v>
      </c>
      <c r="E3018" t="s">
        <v>52</v>
      </c>
      <c r="F3018">
        <v>2015</v>
      </c>
      <c r="G3018" t="str">
        <f>"          7171164162"</f>
        <v xml:space="preserve">          7171164162</v>
      </c>
      <c r="H3018" s="3">
        <v>42075</v>
      </c>
      <c r="I3018" s="3">
        <v>42081</v>
      </c>
      <c r="J3018" s="3">
        <v>42081</v>
      </c>
      <c r="K3018" s="3">
        <v>42141</v>
      </c>
      <c r="L3018"/>
      <c r="N3018"/>
      <c r="O3018">
        <v>860</v>
      </c>
      <c r="P3018">
        <v>274</v>
      </c>
      <c r="Q3018" s="4">
        <v>235640</v>
      </c>
      <c r="R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 s="3">
        <v>42562</v>
      </c>
      <c r="AC3018" t="s">
        <v>53</v>
      </c>
      <c r="AD3018" t="s">
        <v>53</v>
      </c>
      <c r="AK3018">
        <v>0</v>
      </c>
      <c r="AU3018" s="3">
        <v>42415</v>
      </c>
      <c r="AV3018" s="3">
        <v>42415</v>
      </c>
      <c r="AW3018" t="s">
        <v>54</v>
      </c>
      <c r="AX3018" t="str">
        <f t="shared" si="356"/>
        <v>FOR</v>
      </c>
      <c r="AY3018" t="s">
        <v>55</v>
      </c>
    </row>
    <row r="3019" spans="1:51" hidden="1">
      <c r="A3019">
        <v>104195</v>
      </c>
      <c r="B3019" t="s">
        <v>370</v>
      </c>
      <c r="C3019" t="str">
        <f t="shared" si="355"/>
        <v>11206730159</v>
      </c>
      <c r="D3019" t="str">
        <f t="shared" si="355"/>
        <v>11206730159</v>
      </c>
      <c r="E3019" t="s">
        <v>52</v>
      </c>
      <c r="F3019">
        <v>2015</v>
      </c>
      <c r="G3019" t="str">
        <f>"          7171164163"</f>
        <v xml:space="preserve">          7171164163</v>
      </c>
      <c r="H3019" s="3">
        <v>42075</v>
      </c>
      <c r="I3019" s="3">
        <v>42081</v>
      </c>
      <c r="J3019" s="3">
        <v>42081</v>
      </c>
      <c r="K3019" s="3">
        <v>42141</v>
      </c>
      <c r="L3019"/>
      <c r="N3019"/>
      <c r="O3019">
        <v>150</v>
      </c>
      <c r="P3019">
        <v>274</v>
      </c>
      <c r="Q3019" s="4">
        <v>41100</v>
      </c>
      <c r="R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 s="3">
        <v>42562</v>
      </c>
      <c r="AC3019" t="s">
        <v>53</v>
      </c>
      <c r="AD3019" t="s">
        <v>53</v>
      </c>
      <c r="AK3019">
        <v>0</v>
      </c>
      <c r="AU3019" s="3">
        <v>42415</v>
      </c>
      <c r="AV3019" s="3">
        <v>42415</v>
      </c>
      <c r="AW3019" t="s">
        <v>54</v>
      </c>
      <c r="AX3019" t="str">
        <f t="shared" si="356"/>
        <v>FOR</v>
      </c>
      <c r="AY3019" t="s">
        <v>55</v>
      </c>
    </row>
    <row r="3020" spans="1:51" hidden="1">
      <c r="A3020">
        <v>104195</v>
      </c>
      <c r="B3020" t="s">
        <v>370</v>
      </c>
      <c r="C3020" t="str">
        <f t="shared" si="355"/>
        <v>11206730159</v>
      </c>
      <c r="D3020" t="str">
        <f t="shared" si="355"/>
        <v>11206730159</v>
      </c>
      <c r="E3020" t="s">
        <v>52</v>
      </c>
      <c r="F3020">
        <v>2015</v>
      </c>
      <c r="G3020" t="str">
        <f>"          7171164164"</f>
        <v xml:space="preserve">          7171164164</v>
      </c>
      <c r="H3020" s="3">
        <v>42075</v>
      </c>
      <c r="I3020" s="3">
        <v>42081</v>
      </c>
      <c r="J3020" s="3">
        <v>42081</v>
      </c>
      <c r="K3020" s="3">
        <v>42141</v>
      </c>
      <c r="L3020"/>
      <c r="N3020"/>
      <c r="O3020">
        <v>150</v>
      </c>
      <c r="P3020">
        <v>274</v>
      </c>
      <c r="Q3020" s="4">
        <v>41100</v>
      </c>
      <c r="R3020">
        <v>0</v>
      </c>
      <c r="V3020">
        <v>0</v>
      </c>
      <c r="W3020">
        <v>0</v>
      </c>
      <c r="X3020">
        <v>0</v>
      </c>
      <c r="Y3020">
        <v>0</v>
      </c>
      <c r="Z3020">
        <v>0</v>
      </c>
      <c r="AA3020">
        <v>0</v>
      </c>
      <c r="AB3020" s="3">
        <v>42562</v>
      </c>
      <c r="AC3020" t="s">
        <v>53</v>
      </c>
      <c r="AD3020" t="s">
        <v>53</v>
      </c>
      <c r="AK3020">
        <v>0</v>
      </c>
      <c r="AU3020" s="3">
        <v>42415</v>
      </c>
      <c r="AV3020" s="3">
        <v>42415</v>
      </c>
      <c r="AW3020" t="s">
        <v>54</v>
      </c>
      <c r="AX3020" t="str">
        <f t="shared" si="356"/>
        <v>FOR</v>
      </c>
      <c r="AY3020" t="s">
        <v>55</v>
      </c>
    </row>
    <row r="3021" spans="1:51" hidden="1">
      <c r="A3021">
        <v>104195</v>
      </c>
      <c r="B3021" t="s">
        <v>370</v>
      </c>
      <c r="C3021" t="str">
        <f t="shared" si="355"/>
        <v>11206730159</v>
      </c>
      <c r="D3021" t="str">
        <f t="shared" si="355"/>
        <v>11206730159</v>
      </c>
      <c r="E3021" t="s">
        <v>52</v>
      </c>
      <c r="F3021">
        <v>2015</v>
      </c>
      <c r="G3021" t="str">
        <f>"          7171170067"</f>
        <v xml:space="preserve">          7171170067</v>
      </c>
      <c r="H3021" s="3">
        <v>42093</v>
      </c>
      <c r="I3021" s="3">
        <v>42097</v>
      </c>
      <c r="J3021" s="3">
        <v>42097</v>
      </c>
      <c r="K3021" s="3">
        <v>42157</v>
      </c>
      <c r="L3021"/>
      <c r="N3021"/>
      <c r="O3021" s="4">
        <v>5500</v>
      </c>
      <c r="P3021">
        <v>258</v>
      </c>
      <c r="Q3021" s="4">
        <v>1419000</v>
      </c>
      <c r="R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 s="3">
        <v>42562</v>
      </c>
      <c r="AC3021" t="s">
        <v>53</v>
      </c>
      <c r="AD3021" t="s">
        <v>53</v>
      </c>
      <c r="AK3021">
        <v>0</v>
      </c>
      <c r="AU3021" s="3">
        <v>42415</v>
      </c>
      <c r="AV3021" s="3">
        <v>42415</v>
      </c>
      <c r="AW3021" t="s">
        <v>54</v>
      </c>
      <c r="AX3021" t="str">
        <f t="shared" si="356"/>
        <v>FOR</v>
      </c>
      <c r="AY3021" t="s">
        <v>55</v>
      </c>
    </row>
    <row r="3022" spans="1:51" hidden="1">
      <c r="A3022">
        <v>104195</v>
      </c>
      <c r="B3022" t="s">
        <v>370</v>
      </c>
      <c r="C3022" t="str">
        <f t="shared" si="355"/>
        <v>11206730159</v>
      </c>
      <c r="D3022" t="str">
        <f t="shared" si="355"/>
        <v>11206730159</v>
      </c>
      <c r="E3022" t="s">
        <v>52</v>
      </c>
      <c r="F3022">
        <v>2015</v>
      </c>
      <c r="G3022" t="str">
        <f>"          7171172542"</f>
        <v xml:space="preserve">          7171172542</v>
      </c>
      <c r="H3022" s="3">
        <v>42101</v>
      </c>
      <c r="I3022" s="3">
        <v>42107</v>
      </c>
      <c r="J3022" s="3">
        <v>42103</v>
      </c>
      <c r="K3022" s="3">
        <v>42163</v>
      </c>
      <c r="L3022"/>
      <c r="N3022"/>
      <c r="O3022">
        <v>150</v>
      </c>
      <c r="P3022">
        <v>268</v>
      </c>
      <c r="Q3022" s="4">
        <v>40200</v>
      </c>
      <c r="R3022">
        <v>0</v>
      </c>
      <c r="V3022">
        <v>0</v>
      </c>
      <c r="W3022">
        <v>0</v>
      </c>
      <c r="X3022">
        <v>0</v>
      </c>
      <c r="Y3022">
        <v>0</v>
      </c>
      <c r="Z3022">
        <v>0</v>
      </c>
      <c r="AA3022">
        <v>0</v>
      </c>
      <c r="AB3022" s="3">
        <v>42562</v>
      </c>
      <c r="AC3022" t="s">
        <v>53</v>
      </c>
      <c r="AD3022" t="s">
        <v>53</v>
      </c>
      <c r="AK3022">
        <v>0</v>
      </c>
      <c r="AU3022" s="3">
        <v>42431</v>
      </c>
      <c r="AV3022" s="3">
        <v>42431</v>
      </c>
      <c r="AW3022" t="s">
        <v>54</v>
      </c>
      <c r="AX3022" t="str">
        <f t="shared" si="356"/>
        <v>FOR</v>
      </c>
      <c r="AY3022" t="s">
        <v>55</v>
      </c>
    </row>
    <row r="3023" spans="1:51" hidden="1">
      <c r="A3023">
        <v>104195</v>
      </c>
      <c r="B3023" t="s">
        <v>370</v>
      </c>
      <c r="C3023" t="str">
        <f t="shared" si="355"/>
        <v>11206730159</v>
      </c>
      <c r="D3023" t="str">
        <f t="shared" si="355"/>
        <v>11206730159</v>
      </c>
      <c r="E3023" t="s">
        <v>52</v>
      </c>
      <c r="F3023">
        <v>2015</v>
      </c>
      <c r="G3023" t="str">
        <f>"          7171172543"</f>
        <v xml:space="preserve">          7171172543</v>
      </c>
      <c r="H3023" s="3">
        <v>42101</v>
      </c>
      <c r="I3023" s="3">
        <v>42107</v>
      </c>
      <c r="J3023" s="3">
        <v>42103</v>
      </c>
      <c r="K3023" s="3">
        <v>42163</v>
      </c>
      <c r="L3023"/>
      <c r="N3023"/>
      <c r="O3023">
        <v>150</v>
      </c>
      <c r="P3023">
        <v>268</v>
      </c>
      <c r="Q3023" s="4">
        <v>40200</v>
      </c>
      <c r="R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 s="3">
        <v>42562</v>
      </c>
      <c r="AC3023" t="s">
        <v>53</v>
      </c>
      <c r="AD3023" t="s">
        <v>53</v>
      </c>
      <c r="AK3023">
        <v>0</v>
      </c>
      <c r="AU3023" s="3">
        <v>42431</v>
      </c>
      <c r="AV3023" s="3">
        <v>42431</v>
      </c>
      <c r="AW3023" t="s">
        <v>54</v>
      </c>
      <c r="AX3023" t="str">
        <f t="shared" si="356"/>
        <v>FOR</v>
      </c>
      <c r="AY3023" t="s">
        <v>55</v>
      </c>
    </row>
    <row r="3024" spans="1:51" hidden="1">
      <c r="A3024">
        <v>104195</v>
      </c>
      <c r="B3024" t="s">
        <v>370</v>
      </c>
      <c r="C3024" t="str">
        <f t="shared" ref="C3024:D3040" si="357">"11206730159"</f>
        <v>11206730159</v>
      </c>
      <c r="D3024" t="str">
        <f t="shared" si="357"/>
        <v>11206730159</v>
      </c>
      <c r="E3024" t="s">
        <v>52</v>
      </c>
      <c r="F3024">
        <v>2015</v>
      </c>
      <c r="G3024" t="str">
        <f>"          7171172544"</f>
        <v xml:space="preserve">          7171172544</v>
      </c>
      <c r="H3024" s="3">
        <v>42101</v>
      </c>
      <c r="I3024" s="3">
        <v>42107</v>
      </c>
      <c r="J3024" s="3">
        <v>42103</v>
      </c>
      <c r="K3024" s="3">
        <v>42163</v>
      </c>
      <c r="L3024"/>
      <c r="N3024"/>
      <c r="O3024">
        <v>860</v>
      </c>
      <c r="P3024">
        <v>268</v>
      </c>
      <c r="Q3024" s="4">
        <v>230480</v>
      </c>
      <c r="R3024">
        <v>0</v>
      </c>
      <c r="V3024">
        <v>0</v>
      </c>
      <c r="W3024">
        <v>0</v>
      </c>
      <c r="X3024">
        <v>0</v>
      </c>
      <c r="Y3024">
        <v>0</v>
      </c>
      <c r="Z3024">
        <v>0</v>
      </c>
      <c r="AA3024">
        <v>0</v>
      </c>
      <c r="AB3024" s="3">
        <v>42562</v>
      </c>
      <c r="AC3024" t="s">
        <v>53</v>
      </c>
      <c r="AD3024" t="s">
        <v>53</v>
      </c>
      <c r="AK3024">
        <v>0</v>
      </c>
      <c r="AU3024" s="3">
        <v>42431</v>
      </c>
      <c r="AV3024" s="3">
        <v>42431</v>
      </c>
      <c r="AW3024" t="s">
        <v>54</v>
      </c>
      <c r="AX3024" t="str">
        <f t="shared" si="356"/>
        <v>FOR</v>
      </c>
      <c r="AY3024" t="s">
        <v>55</v>
      </c>
    </row>
    <row r="3025" spans="1:51" hidden="1">
      <c r="A3025">
        <v>104195</v>
      </c>
      <c r="B3025" t="s">
        <v>370</v>
      </c>
      <c r="C3025" t="str">
        <f t="shared" si="357"/>
        <v>11206730159</v>
      </c>
      <c r="D3025" t="str">
        <f t="shared" si="357"/>
        <v>11206730159</v>
      </c>
      <c r="E3025" t="s">
        <v>52</v>
      </c>
      <c r="F3025">
        <v>2015</v>
      </c>
      <c r="G3025" t="str">
        <f>"          7171172545"</f>
        <v xml:space="preserve">          7171172545</v>
      </c>
      <c r="H3025" s="3">
        <v>42101</v>
      </c>
      <c r="I3025" s="3">
        <v>42107</v>
      </c>
      <c r="J3025" s="3">
        <v>42103</v>
      </c>
      <c r="K3025" s="3">
        <v>42163</v>
      </c>
      <c r="L3025"/>
      <c r="N3025"/>
      <c r="O3025">
        <v>150</v>
      </c>
      <c r="P3025">
        <v>268</v>
      </c>
      <c r="Q3025" s="4">
        <v>40200</v>
      </c>
      <c r="R3025">
        <v>0</v>
      </c>
      <c r="V3025">
        <v>0</v>
      </c>
      <c r="W3025">
        <v>0</v>
      </c>
      <c r="X3025">
        <v>0</v>
      </c>
      <c r="Y3025">
        <v>0</v>
      </c>
      <c r="Z3025">
        <v>0</v>
      </c>
      <c r="AA3025">
        <v>0</v>
      </c>
      <c r="AB3025" s="3">
        <v>42562</v>
      </c>
      <c r="AC3025" t="s">
        <v>53</v>
      </c>
      <c r="AD3025" t="s">
        <v>53</v>
      </c>
      <c r="AK3025">
        <v>0</v>
      </c>
      <c r="AU3025" s="3">
        <v>42431</v>
      </c>
      <c r="AV3025" s="3">
        <v>42431</v>
      </c>
      <c r="AW3025" t="s">
        <v>54</v>
      </c>
      <c r="AX3025" t="str">
        <f t="shared" si="356"/>
        <v>FOR</v>
      </c>
      <c r="AY3025" t="s">
        <v>55</v>
      </c>
    </row>
    <row r="3026" spans="1:51" hidden="1">
      <c r="A3026">
        <v>104195</v>
      </c>
      <c r="B3026" t="s">
        <v>370</v>
      </c>
      <c r="C3026" t="str">
        <f t="shared" si="357"/>
        <v>11206730159</v>
      </c>
      <c r="D3026" t="str">
        <f t="shared" si="357"/>
        <v>11206730159</v>
      </c>
      <c r="E3026" t="s">
        <v>52</v>
      </c>
      <c r="F3026">
        <v>2015</v>
      </c>
      <c r="G3026" t="str">
        <f>"          7171172546"</f>
        <v xml:space="preserve">          7171172546</v>
      </c>
      <c r="H3026" s="3">
        <v>42101</v>
      </c>
      <c r="I3026" s="3">
        <v>42107</v>
      </c>
      <c r="J3026" s="3">
        <v>42103</v>
      </c>
      <c r="K3026" s="3">
        <v>42163</v>
      </c>
      <c r="L3026"/>
      <c r="N3026"/>
      <c r="O3026">
        <v>860</v>
      </c>
      <c r="P3026">
        <v>268</v>
      </c>
      <c r="Q3026" s="4">
        <v>230480</v>
      </c>
      <c r="R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 s="3">
        <v>42562</v>
      </c>
      <c r="AC3026" t="s">
        <v>53</v>
      </c>
      <c r="AD3026" t="s">
        <v>53</v>
      </c>
      <c r="AK3026">
        <v>0</v>
      </c>
      <c r="AU3026" s="3">
        <v>42431</v>
      </c>
      <c r="AV3026" s="3">
        <v>42431</v>
      </c>
      <c r="AW3026" t="s">
        <v>54</v>
      </c>
      <c r="AX3026" t="str">
        <f t="shared" si="356"/>
        <v>FOR</v>
      </c>
      <c r="AY3026" t="s">
        <v>55</v>
      </c>
    </row>
    <row r="3027" spans="1:51" hidden="1">
      <c r="A3027">
        <v>104195</v>
      </c>
      <c r="B3027" t="s">
        <v>370</v>
      </c>
      <c r="C3027" t="str">
        <f t="shared" si="357"/>
        <v>11206730159</v>
      </c>
      <c r="D3027" t="str">
        <f t="shared" si="357"/>
        <v>11206730159</v>
      </c>
      <c r="E3027" t="s">
        <v>52</v>
      </c>
      <c r="F3027">
        <v>2015</v>
      </c>
      <c r="G3027" t="str">
        <f>"          7171177241"</f>
        <v xml:space="preserve">          7171177241</v>
      </c>
      <c r="H3027" s="3">
        <v>42115</v>
      </c>
      <c r="I3027" s="3">
        <v>42135</v>
      </c>
      <c r="J3027" s="3">
        <v>42132</v>
      </c>
      <c r="K3027" s="3">
        <v>42192</v>
      </c>
      <c r="L3027"/>
      <c r="N3027"/>
      <c r="O3027">
        <v>150</v>
      </c>
      <c r="P3027">
        <v>239</v>
      </c>
      <c r="Q3027" s="4">
        <v>35850</v>
      </c>
      <c r="R3027">
        <v>0</v>
      </c>
      <c r="V3027">
        <v>0</v>
      </c>
      <c r="W3027">
        <v>0</v>
      </c>
      <c r="X3027">
        <v>0</v>
      </c>
      <c r="Y3027">
        <v>0</v>
      </c>
      <c r="Z3027">
        <v>0</v>
      </c>
      <c r="AA3027">
        <v>0</v>
      </c>
      <c r="AB3027" s="3">
        <v>42562</v>
      </c>
      <c r="AC3027" t="s">
        <v>53</v>
      </c>
      <c r="AD3027" t="s">
        <v>53</v>
      </c>
      <c r="AK3027">
        <v>0</v>
      </c>
      <c r="AU3027" s="3">
        <v>42431</v>
      </c>
      <c r="AV3027" s="3">
        <v>42431</v>
      </c>
      <c r="AW3027" t="s">
        <v>54</v>
      </c>
      <c r="AX3027" t="str">
        <f t="shared" si="356"/>
        <v>FOR</v>
      </c>
      <c r="AY3027" t="s">
        <v>55</v>
      </c>
    </row>
    <row r="3028" spans="1:51" hidden="1">
      <c r="A3028">
        <v>104195</v>
      </c>
      <c r="B3028" t="s">
        <v>370</v>
      </c>
      <c r="C3028" t="str">
        <f t="shared" si="357"/>
        <v>11206730159</v>
      </c>
      <c r="D3028" t="str">
        <f t="shared" si="357"/>
        <v>11206730159</v>
      </c>
      <c r="E3028" t="s">
        <v>52</v>
      </c>
      <c r="F3028">
        <v>2015</v>
      </c>
      <c r="G3028" t="str">
        <f>"          7171177242"</f>
        <v xml:space="preserve">          7171177242</v>
      </c>
      <c r="H3028" s="3">
        <v>42115</v>
      </c>
      <c r="I3028" s="3">
        <v>42135</v>
      </c>
      <c r="J3028" s="3">
        <v>42132</v>
      </c>
      <c r="K3028" s="3">
        <v>42192</v>
      </c>
      <c r="L3028"/>
      <c r="N3028"/>
      <c r="O3028">
        <v>860</v>
      </c>
      <c r="P3028">
        <v>239</v>
      </c>
      <c r="Q3028" s="4">
        <v>205540</v>
      </c>
      <c r="R3028">
        <v>0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 s="3">
        <v>42562</v>
      </c>
      <c r="AC3028" t="s">
        <v>53</v>
      </c>
      <c r="AD3028" t="s">
        <v>53</v>
      </c>
      <c r="AK3028">
        <v>0</v>
      </c>
      <c r="AU3028" s="3">
        <v>42431</v>
      </c>
      <c r="AV3028" s="3">
        <v>42431</v>
      </c>
      <c r="AW3028" t="s">
        <v>54</v>
      </c>
      <c r="AX3028" t="str">
        <f t="shared" si="356"/>
        <v>FOR</v>
      </c>
      <c r="AY3028" t="s">
        <v>55</v>
      </c>
    </row>
    <row r="3029" spans="1:51" hidden="1">
      <c r="A3029">
        <v>104195</v>
      </c>
      <c r="B3029" t="s">
        <v>370</v>
      </c>
      <c r="C3029" t="str">
        <f t="shared" si="357"/>
        <v>11206730159</v>
      </c>
      <c r="D3029" t="str">
        <f t="shared" si="357"/>
        <v>11206730159</v>
      </c>
      <c r="E3029" t="s">
        <v>52</v>
      </c>
      <c r="F3029">
        <v>2015</v>
      </c>
      <c r="G3029" t="str">
        <f>"          7171185950"</f>
        <v xml:space="preserve">          7171185950</v>
      </c>
      <c r="H3029" s="3">
        <v>42142</v>
      </c>
      <c r="I3029" s="3">
        <v>42160</v>
      </c>
      <c r="J3029" s="3">
        <v>42149</v>
      </c>
      <c r="K3029" s="3">
        <v>42209</v>
      </c>
      <c r="L3029"/>
      <c r="N3029"/>
      <c r="O3029" s="4">
        <v>1540</v>
      </c>
      <c r="P3029">
        <v>243</v>
      </c>
      <c r="Q3029" s="4">
        <v>374220</v>
      </c>
      <c r="R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 s="3">
        <v>42562</v>
      </c>
      <c r="AC3029" t="s">
        <v>53</v>
      </c>
      <c r="AD3029" t="s">
        <v>53</v>
      </c>
      <c r="AK3029">
        <v>0</v>
      </c>
      <c r="AU3029" s="3">
        <v>42452</v>
      </c>
      <c r="AV3029" s="3">
        <v>42452</v>
      </c>
      <c r="AW3029" t="s">
        <v>54</v>
      </c>
      <c r="AX3029" t="str">
        <f t="shared" si="356"/>
        <v>FOR</v>
      </c>
      <c r="AY3029" t="s">
        <v>55</v>
      </c>
    </row>
    <row r="3030" spans="1:51" hidden="1">
      <c r="A3030">
        <v>104195</v>
      </c>
      <c r="B3030" t="s">
        <v>370</v>
      </c>
      <c r="C3030" t="str">
        <f t="shared" si="357"/>
        <v>11206730159</v>
      </c>
      <c r="D3030" t="str">
        <f t="shared" si="357"/>
        <v>11206730159</v>
      </c>
      <c r="E3030" t="s">
        <v>52</v>
      </c>
      <c r="F3030">
        <v>2015</v>
      </c>
      <c r="G3030" t="str">
        <f>"          7171187377"</f>
        <v xml:space="preserve">          7171187377</v>
      </c>
      <c r="H3030" s="3">
        <v>42145</v>
      </c>
      <c r="I3030" s="3">
        <v>42160</v>
      </c>
      <c r="J3030" s="3">
        <v>42152</v>
      </c>
      <c r="K3030" s="3">
        <v>42212</v>
      </c>
      <c r="L3030"/>
      <c r="N3030"/>
      <c r="O3030">
        <v>150</v>
      </c>
      <c r="P3030">
        <v>240</v>
      </c>
      <c r="Q3030" s="4">
        <v>36000</v>
      </c>
      <c r="R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 s="3">
        <v>42562</v>
      </c>
      <c r="AC3030" t="s">
        <v>53</v>
      </c>
      <c r="AD3030" t="s">
        <v>53</v>
      </c>
      <c r="AK3030">
        <v>0</v>
      </c>
      <c r="AU3030" s="3">
        <v>42452</v>
      </c>
      <c r="AV3030" s="3">
        <v>42452</v>
      </c>
      <c r="AW3030" t="s">
        <v>54</v>
      </c>
      <c r="AX3030" t="str">
        <f t="shared" si="356"/>
        <v>FOR</v>
      </c>
      <c r="AY3030" t="s">
        <v>55</v>
      </c>
    </row>
    <row r="3031" spans="1:51" hidden="1">
      <c r="A3031">
        <v>104195</v>
      </c>
      <c r="B3031" t="s">
        <v>370</v>
      </c>
      <c r="C3031" t="str">
        <f t="shared" si="357"/>
        <v>11206730159</v>
      </c>
      <c r="D3031" t="str">
        <f t="shared" si="357"/>
        <v>11206730159</v>
      </c>
      <c r="E3031" t="s">
        <v>52</v>
      </c>
      <c r="F3031">
        <v>2015</v>
      </c>
      <c r="G3031" t="str">
        <f>"          7171187378"</f>
        <v xml:space="preserve">          7171187378</v>
      </c>
      <c r="H3031" s="3">
        <v>42145</v>
      </c>
      <c r="I3031" s="3">
        <v>42160</v>
      </c>
      <c r="J3031" s="3">
        <v>42151</v>
      </c>
      <c r="K3031" s="3">
        <v>42211</v>
      </c>
      <c r="L3031"/>
      <c r="N3031"/>
      <c r="O3031">
        <v>860</v>
      </c>
      <c r="P3031">
        <v>241</v>
      </c>
      <c r="Q3031" s="4">
        <v>207260</v>
      </c>
      <c r="R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 s="3">
        <v>42562</v>
      </c>
      <c r="AC3031" t="s">
        <v>53</v>
      </c>
      <c r="AD3031" t="s">
        <v>53</v>
      </c>
      <c r="AK3031">
        <v>0</v>
      </c>
      <c r="AU3031" s="3">
        <v>42452</v>
      </c>
      <c r="AV3031" s="3">
        <v>42452</v>
      </c>
      <c r="AW3031" t="s">
        <v>54</v>
      </c>
      <c r="AX3031" t="str">
        <f t="shared" si="356"/>
        <v>FOR</v>
      </c>
      <c r="AY3031" t="s">
        <v>55</v>
      </c>
    </row>
    <row r="3032" spans="1:51" hidden="1">
      <c r="A3032">
        <v>104195</v>
      </c>
      <c r="B3032" t="s">
        <v>370</v>
      </c>
      <c r="C3032" t="str">
        <f t="shared" si="357"/>
        <v>11206730159</v>
      </c>
      <c r="D3032" t="str">
        <f t="shared" si="357"/>
        <v>11206730159</v>
      </c>
      <c r="E3032" t="s">
        <v>52</v>
      </c>
      <c r="F3032">
        <v>2015</v>
      </c>
      <c r="G3032" t="str">
        <f>"          7171187379"</f>
        <v xml:space="preserve">          7171187379</v>
      </c>
      <c r="H3032" s="3">
        <v>42145</v>
      </c>
      <c r="I3032" s="3">
        <v>42160</v>
      </c>
      <c r="J3032" s="3">
        <v>42149</v>
      </c>
      <c r="K3032" s="3">
        <v>42209</v>
      </c>
      <c r="L3032"/>
      <c r="N3032"/>
      <c r="O3032">
        <v>150</v>
      </c>
      <c r="P3032">
        <v>243</v>
      </c>
      <c r="Q3032" s="4">
        <v>36450</v>
      </c>
      <c r="R3032">
        <v>0</v>
      </c>
      <c r="V3032">
        <v>0</v>
      </c>
      <c r="W3032">
        <v>0</v>
      </c>
      <c r="X3032">
        <v>0</v>
      </c>
      <c r="Y3032">
        <v>0</v>
      </c>
      <c r="Z3032">
        <v>0</v>
      </c>
      <c r="AA3032">
        <v>0</v>
      </c>
      <c r="AB3032" s="3">
        <v>42562</v>
      </c>
      <c r="AC3032" t="s">
        <v>53</v>
      </c>
      <c r="AD3032" t="s">
        <v>53</v>
      </c>
      <c r="AK3032">
        <v>0</v>
      </c>
      <c r="AU3032" s="3">
        <v>42452</v>
      </c>
      <c r="AV3032" s="3">
        <v>42452</v>
      </c>
      <c r="AW3032" t="s">
        <v>54</v>
      </c>
      <c r="AX3032" t="str">
        <f t="shared" si="356"/>
        <v>FOR</v>
      </c>
      <c r="AY3032" t="s">
        <v>55</v>
      </c>
    </row>
    <row r="3033" spans="1:51" hidden="1">
      <c r="A3033">
        <v>104195</v>
      </c>
      <c r="B3033" t="s">
        <v>370</v>
      </c>
      <c r="C3033" t="str">
        <f t="shared" si="357"/>
        <v>11206730159</v>
      </c>
      <c r="D3033" t="str">
        <f t="shared" si="357"/>
        <v>11206730159</v>
      </c>
      <c r="E3033" t="s">
        <v>52</v>
      </c>
      <c r="F3033">
        <v>2015</v>
      </c>
      <c r="G3033" t="str">
        <f>"          7171187380"</f>
        <v xml:space="preserve">          7171187380</v>
      </c>
      <c r="H3033" s="3">
        <v>42145</v>
      </c>
      <c r="I3033" s="3">
        <v>42160</v>
      </c>
      <c r="J3033" s="3">
        <v>42151</v>
      </c>
      <c r="K3033" s="3">
        <v>42211</v>
      </c>
      <c r="L3033"/>
      <c r="N3033"/>
      <c r="O3033">
        <v>150</v>
      </c>
      <c r="P3033">
        <v>241</v>
      </c>
      <c r="Q3033" s="4">
        <v>36150</v>
      </c>
      <c r="R3033">
        <v>0</v>
      </c>
      <c r="V3033">
        <v>0</v>
      </c>
      <c r="W3033">
        <v>0</v>
      </c>
      <c r="X3033">
        <v>0</v>
      </c>
      <c r="Y3033">
        <v>0</v>
      </c>
      <c r="Z3033">
        <v>0</v>
      </c>
      <c r="AA3033">
        <v>0</v>
      </c>
      <c r="AB3033" s="3">
        <v>42562</v>
      </c>
      <c r="AC3033" t="s">
        <v>53</v>
      </c>
      <c r="AD3033" t="s">
        <v>53</v>
      </c>
      <c r="AK3033">
        <v>0</v>
      </c>
      <c r="AU3033" s="3">
        <v>42452</v>
      </c>
      <c r="AV3033" s="3">
        <v>42452</v>
      </c>
      <c r="AW3033" t="s">
        <v>54</v>
      </c>
      <c r="AX3033" t="str">
        <f t="shared" si="356"/>
        <v>FOR</v>
      </c>
      <c r="AY3033" t="s">
        <v>55</v>
      </c>
    </row>
    <row r="3034" spans="1:51" hidden="1">
      <c r="A3034">
        <v>104195</v>
      </c>
      <c r="B3034" t="s">
        <v>370</v>
      </c>
      <c r="C3034" t="str">
        <f t="shared" si="357"/>
        <v>11206730159</v>
      </c>
      <c r="D3034" t="str">
        <f t="shared" si="357"/>
        <v>11206730159</v>
      </c>
      <c r="E3034" t="s">
        <v>52</v>
      </c>
      <c r="F3034">
        <v>2015</v>
      </c>
      <c r="G3034" t="str">
        <f>"          7171187381"</f>
        <v xml:space="preserve">          7171187381</v>
      </c>
      <c r="H3034" s="3">
        <v>42145</v>
      </c>
      <c r="I3034" s="3">
        <v>42160</v>
      </c>
      <c r="J3034" s="3">
        <v>42149</v>
      </c>
      <c r="K3034" s="3">
        <v>42209</v>
      </c>
      <c r="L3034"/>
      <c r="N3034"/>
      <c r="O3034">
        <v>150</v>
      </c>
      <c r="P3034">
        <v>243</v>
      </c>
      <c r="Q3034" s="4">
        <v>36450</v>
      </c>
      <c r="R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 s="3">
        <v>42562</v>
      </c>
      <c r="AC3034" t="s">
        <v>53</v>
      </c>
      <c r="AD3034" t="s">
        <v>53</v>
      </c>
      <c r="AK3034">
        <v>0</v>
      </c>
      <c r="AU3034" s="3">
        <v>42452</v>
      </c>
      <c r="AV3034" s="3">
        <v>42452</v>
      </c>
      <c r="AW3034" t="s">
        <v>54</v>
      </c>
      <c r="AX3034" t="str">
        <f t="shared" si="356"/>
        <v>FOR</v>
      </c>
      <c r="AY3034" t="s">
        <v>55</v>
      </c>
    </row>
    <row r="3035" spans="1:51" hidden="1">
      <c r="A3035">
        <v>104195</v>
      </c>
      <c r="B3035" t="s">
        <v>370</v>
      </c>
      <c r="C3035" t="str">
        <f t="shared" si="357"/>
        <v>11206730159</v>
      </c>
      <c r="D3035" t="str">
        <f t="shared" si="357"/>
        <v>11206730159</v>
      </c>
      <c r="E3035" t="s">
        <v>52</v>
      </c>
      <c r="F3035">
        <v>2015</v>
      </c>
      <c r="G3035" t="str">
        <f>"          7171187382"</f>
        <v xml:space="preserve">          7171187382</v>
      </c>
      <c r="H3035" s="3">
        <v>42145</v>
      </c>
      <c r="I3035" s="3">
        <v>42160</v>
      </c>
      <c r="J3035" s="3">
        <v>42149</v>
      </c>
      <c r="K3035" s="3">
        <v>42209</v>
      </c>
      <c r="L3035"/>
      <c r="N3035"/>
      <c r="O3035">
        <v>860</v>
      </c>
      <c r="P3035">
        <v>243</v>
      </c>
      <c r="Q3035" s="4">
        <v>208980</v>
      </c>
      <c r="R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 s="3">
        <v>42562</v>
      </c>
      <c r="AC3035" t="s">
        <v>53</v>
      </c>
      <c r="AD3035" t="s">
        <v>53</v>
      </c>
      <c r="AK3035">
        <v>0</v>
      </c>
      <c r="AU3035" s="3">
        <v>42452</v>
      </c>
      <c r="AV3035" s="3">
        <v>42452</v>
      </c>
      <c r="AW3035" t="s">
        <v>54</v>
      </c>
      <c r="AX3035" t="str">
        <f t="shared" si="356"/>
        <v>FOR</v>
      </c>
      <c r="AY3035" t="s">
        <v>55</v>
      </c>
    </row>
    <row r="3036" spans="1:51">
      <c r="A3036">
        <v>104195</v>
      </c>
      <c r="B3036" t="s">
        <v>370</v>
      </c>
      <c r="C3036" t="str">
        <f t="shared" si="357"/>
        <v>11206730159</v>
      </c>
      <c r="D3036" t="str">
        <f t="shared" si="357"/>
        <v>11206730159</v>
      </c>
      <c r="E3036" t="s">
        <v>52</v>
      </c>
      <c r="F3036">
        <v>2015</v>
      </c>
      <c r="G3036" t="str">
        <f>"          7171192570"</f>
        <v xml:space="preserve">          7171192570</v>
      </c>
      <c r="H3036" s="3">
        <v>42163</v>
      </c>
      <c r="I3036" s="3">
        <v>42165</v>
      </c>
      <c r="J3036" s="3">
        <v>42164</v>
      </c>
      <c r="K3036" s="3">
        <v>42224</v>
      </c>
      <c r="L3036" s="1">
        <v>320.75</v>
      </c>
      <c r="M3036">
        <v>296</v>
      </c>
      <c r="N3036" s="5">
        <v>94942</v>
      </c>
      <c r="O3036">
        <v>320.75</v>
      </c>
      <c r="P3036">
        <v>296</v>
      </c>
      <c r="Q3036" s="4">
        <v>94942</v>
      </c>
      <c r="R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 s="3">
        <v>42562</v>
      </c>
      <c r="AC3036" t="s">
        <v>53</v>
      </c>
      <c r="AD3036" t="s">
        <v>53</v>
      </c>
      <c r="AK3036">
        <v>0</v>
      </c>
      <c r="AU3036" s="3">
        <v>42520</v>
      </c>
      <c r="AV3036" s="3">
        <v>42520</v>
      </c>
      <c r="AW3036" t="s">
        <v>54</v>
      </c>
      <c r="AX3036" t="str">
        <f t="shared" ref="AX3036:AX3067" si="358">"FOR"</f>
        <v>FOR</v>
      </c>
      <c r="AY3036" t="s">
        <v>55</v>
      </c>
    </row>
    <row r="3037" spans="1:51">
      <c r="A3037">
        <v>104195</v>
      </c>
      <c r="B3037" t="s">
        <v>370</v>
      </c>
      <c r="C3037" t="str">
        <f t="shared" si="357"/>
        <v>11206730159</v>
      </c>
      <c r="D3037" t="str">
        <f t="shared" si="357"/>
        <v>11206730159</v>
      </c>
      <c r="E3037" t="s">
        <v>52</v>
      </c>
      <c r="F3037">
        <v>2015</v>
      </c>
      <c r="G3037" t="str">
        <f>"          7171192571"</f>
        <v xml:space="preserve">          7171192571</v>
      </c>
      <c r="H3037" s="3">
        <v>42163</v>
      </c>
      <c r="I3037" s="3">
        <v>42165</v>
      </c>
      <c r="J3037" s="3">
        <v>42164</v>
      </c>
      <c r="K3037" s="3">
        <v>42224</v>
      </c>
      <c r="L3037" s="1">
        <v>860</v>
      </c>
      <c r="M3037">
        <v>296</v>
      </c>
      <c r="N3037" s="5">
        <v>254560</v>
      </c>
      <c r="O3037">
        <v>860</v>
      </c>
      <c r="P3037">
        <v>296</v>
      </c>
      <c r="Q3037" s="4">
        <v>254560</v>
      </c>
      <c r="R3037">
        <v>0</v>
      </c>
      <c r="V3037">
        <v>0</v>
      </c>
      <c r="W3037">
        <v>0</v>
      </c>
      <c r="X3037">
        <v>0</v>
      </c>
      <c r="Y3037">
        <v>0</v>
      </c>
      <c r="Z3037">
        <v>0</v>
      </c>
      <c r="AA3037">
        <v>0</v>
      </c>
      <c r="AB3037" s="3">
        <v>42562</v>
      </c>
      <c r="AC3037" t="s">
        <v>53</v>
      </c>
      <c r="AD3037" t="s">
        <v>53</v>
      </c>
      <c r="AK3037">
        <v>0</v>
      </c>
      <c r="AU3037" s="3">
        <v>42520</v>
      </c>
      <c r="AV3037" s="3">
        <v>42520</v>
      </c>
      <c r="AW3037" t="s">
        <v>54</v>
      </c>
      <c r="AX3037" t="str">
        <f t="shared" si="358"/>
        <v>FOR</v>
      </c>
      <c r="AY3037" t="s">
        <v>55</v>
      </c>
    </row>
    <row r="3038" spans="1:51">
      <c r="A3038">
        <v>104195</v>
      </c>
      <c r="B3038" t="s">
        <v>370</v>
      </c>
      <c r="C3038" t="str">
        <f t="shared" si="357"/>
        <v>11206730159</v>
      </c>
      <c r="D3038" t="str">
        <f t="shared" si="357"/>
        <v>11206730159</v>
      </c>
      <c r="E3038" t="s">
        <v>52</v>
      </c>
      <c r="F3038">
        <v>2015</v>
      </c>
      <c r="G3038" t="str">
        <f>"          7171192572"</f>
        <v xml:space="preserve">          7171192572</v>
      </c>
      <c r="H3038" s="3">
        <v>42163</v>
      </c>
      <c r="I3038" s="3">
        <v>42165</v>
      </c>
      <c r="J3038" s="3">
        <v>42164</v>
      </c>
      <c r="K3038" s="3">
        <v>42224</v>
      </c>
      <c r="L3038" s="1">
        <v>150</v>
      </c>
      <c r="M3038">
        <v>296</v>
      </c>
      <c r="N3038" s="5">
        <v>44400</v>
      </c>
      <c r="O3038">
        <v>150</v>
      </c>
      <c r="P3038">
        <v>296</v>
      </c>
      <c r="Q3038" s="4">
        <v>44400</v>
      </c>
      <c r="R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 s="3">
        <v>42562</v>
      </c>
      <c r="AC3038" t="s">
        <v>53</v>
      </c>
      <c r="AD3038" t="s">
        <v>53</v>
      </c>
      <c r="AK3038">
        <v>0</v>
      </c>
      <c r="AU3038" s="3">
        <v>42520</v>
      </c>
      <c r="AV3038" s="3">
        <v>42520</v>
      </c>
      <c r="AW3038" t="s">
        <v>54</v>
      </c>
      <c r="AX3038" t="str">
        <f t="shared" si="358"/>
        <v>FOR</v>
      </c>
      <c r="AY3038" t="s">
        <v>55</v>
      </c>
    </row>
    <row r="3039" spans="1:51">
      <c r="A3039">
        <v>104195</v>
      </c>
      <c r="B3039" t="s">
        <v>370</v>
      </c>
      <c r="C3039" t="str">
        <f t="shared" si="357"/>
        <v>11206730159</v>
      </c>
      <c r="D3039" t="str">
        <f t="shared" si="357"/>
        <v>11206730159</v>
      </c>
      <c r="E3039" t="s">
        <v>52</v>
      </c>
      <c r="F3039">
        <v>2015</v>
      </c>
      <c r="G3039" t="str">
        <f>"          7171192573"</f>
        <v xml:space="preserve">          7171192573</v>
      </c>
      <c r="H3039" s="3">
        <v>42163</v>
      </c>
      <c r="I3039" s="3">
        <v>42165</v>
      </c>
      <c r="J3039" s="3">
        <v>42164</v>
      </c>
      <c r="K3039" s="3">
        <v>42224</v>
      </c>
      <c r="L3039" s="1">
        <v>150</v>
      </c>
      <c r="M3039">
        <v>296</v>
      </c>
      <c r="N3039" s="5">
        <v>44400</v>
      </c>
      <c r="O3039">
        <v>150</v>
      </c>
      <c r="P3039">
        <v>296</v>
      </c>
      <c r="Q3039" s="4">
        <v>44400</v>
      </c>
      <c r="R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 s="3">
        <v>42562</v>
      </c>
      <c r="AC3039" t="s">
        <v>53</v>
      </c>
      <c r="AD3039" t="s">
        <v>53</v>
      </c>
      <c r="AK3039">
        <v>0</v>
      </c>
      <c r="AU3039" s="3">
        <v>42520</v>
      </c>
      <c r="AV3039" s="3">
        <v>42520</v>
      </c>
      <c r="AW3039" t="s">
        <v>54</v>
      </c>
      <c r="AX3039" t="str">
        <f t="shared" si="358"/>
        <v>FOR</v>
      </c>
      <c r="AY3039" t="s">
        <v>55</v>
      </c>
    </row>
    <row r="3040" spans="1:51">
      <c r="A3040">
        <v>104195</v>
      </c>
      <c r="B3040" t="s">
        <v>370</v>
      </c>
      <c r="C3040" t="str">
        <f t="shared" si="357"/>
        <v>11206730159</v>
      </c>
      <c r="D3040" t="str">
        <f t="shared" si="357"/>
        <v>11206730159</v>
      </c>
      <c r="E3040" t="s">
        <v>52</v>
      </c>
      <c r="F3040">
        <v>2015</v>
      </c>
      <c r="G3040" t="str">
        <f>"          7171192574"</f>
        <v xml:space="preserve">          7171192574</v>
      </c>
      <c r="H3040" s="3">
        <v>42163</v>
      </c>
      <c r="I3040" s="3">
        <v>42165</v>
      </c>
      <c r="J3040" s="3">
        <v>42164</v>
      </c>
      <c r="K3040" s="3">
        <v>42224</v>
      </c>
      <c r="L3040" s="1">
        <v>150</v>
      </c>
      <c r="M3040">
        <v>296</v>
      </c>
      <c r="N3040" s="5">
        <v>44400</v>
      </c>
      <c r="O3040">
        <v>150</v>
      </c>
      <c r="P3040">
        <v>296</v>
      </c>
      <c r="Q3040" s="4">
        <v>44400</v>
      </c>
      <c r="R3040">
        <v>0</v>
      </c>
      <c r="V3040">
        <v>0</v>
      </c>
      <c r="W3040">
        <v>0</v>
      </c>
      <c r="X3040">
        <v>0</v>
      </c>
      <c r="Y3040">
        <v>0</v>
      </c>
      <c r="Z3040">
        <v>0</v>
      </c>
      <c r="AA3040">
        <v>0</v>
      </c>
      <c r="AB3040" s="3">
        <v>42562</v>
      </c>
      <c r="AC3040" t="s">
        <v>53</v>
      </c>
      <c r="AD3040" t="s">
        <v>53</v>
      </c>
      <c r="AK3040">
        <v>0</v>
      </c>
      <c r="AU3040" s="3">
        <v>42520</v>
      </c>
      <c r="AV3040" s="3">
        <v>42520</v>
      </c>
      <c r="AW3040" t="s">
        <v>54</v>
      </c>
      <c r="AX3040" t="str">
        <f t="shared" si="358"/>
        <v>FOR</v>
      </c>
      <c r="AY3040" t="s">
        <v>55</v>
      </c>
    </row>
    <row r="3041" spans="1:51" hidden="1">
      <c r="A3041">
        <v>104198</v>
      </c>
      <c r="B3041" t="s">
        <v>371</v>
      </c>
      <c r="C3041" t="str">
        <f>"05038691001"</f>
        <v>05038691001</v>
      </c>
      <c r="D3041" t="str">
        <f>"05038691001"</f>
        <v>05038691001</v>
      </c>
      <c r="E3041" t="s">
        <v>52</v>
      </c>
      <c r="F3041">
        <v>2015</v>
      </c>
      <c r="G3041" t="str">
        <f>"                2060"</f>
        <v xml:space="preserve">                2060</v>
      </c>
      <c r="H3041" s="3">
        <v>42047</v>
      </c>
      <c r="I3041" s="3">
        <v>42073</v>
      </c>
      <c r="J3041" s="3">
        <v>42073</v>
      </c>
      <c r="K3041" s="3">
        <v>42133</v>
      </c>
      <c r="L3041"/>
      <c r="N3041"/>
      <c r="O3041">
        <v>611.27</v>
      </c>
      <c r="P3041">
        <v>271</v>
      </c>
      <c r="Q3041" s="4">
        <v>165654.17000000001</v>
      </c>
      <c r="R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 s="3">
        <v>42562</v>
      </c>
      <c r="AC3041" t="s">
        <v>53</v>
      </c>
      <c r="AD3041" t="s">
        <v>53</v>
      </c>
      <c r="AK3041">
        <v>0</v>
      </c>
      <c r="AU3041" s="3">
        <v>42404</v>
      </c>
      <c r="AV3041" s="3">
        <v>42404</v>
      </c>
      <c r="AW3041" t="s">
        <v>54</v>
      </c>
      <c r="AX3041" t="str">
        <f t="shared" si="358"/>
        <v>FOR</v>
      </c>
      <c r="AY3041" t="s">
        <v>55</v>
      </c>
    </row>
    <row r="3042" spans="1:51" hidden="1">
      <c r="A3042">
        <v>104207</v>
      </c>
      <c r="B3042" t="s">
        <v>372</v>
      </c>
      <c r="C3042" t="str">
        <f>"10767630154"</f>
        <v>10767630154</v>
      </c>
      <c r="D3042" t="str">
        <f>"10767630154"</f>
        <v>10767630154</v>
      </c>
      <c r="E3042" t="s">
        <v>52</v>
      </c>
      <c r="F3042">
        <v>2015</v>
      </c>
      <c r="G3042" t="str">
        <f>"              P02185"</f>
        <v xml:space="preserve">              P02185</v>
      </c>
      <c r="H3042" s="3">
        <v>42272</v>
      </c>
      <c r="I3042" s="3">
        <v>42277</v>
      </c>
      <c r="J3042" s="3">
        <v>42276</v>
      </c>
      <c r="K3042" s="3">
        <v>42336</v>
      </c>
      <c r="L3042"/>
      <c r="N3042"/>
      <c r="O3042" s="4">
        <v>5224.05</v>
      </c>
      <c r="P3042">
        <v>67</v>
      </c>
      <c r="Q3042" s="4">
        <v>350011.35</v>
      </c>
      <c r="R3042">
        <v>0</v>
      </c>
      <c r="V3042">
        <v>0</v>
      </c>
      <c r="W3042">
        <v>0</v>
      </c>
      <c r="X3042">
        <v>0</v>
      </c>
      <c r="Y3042">
        <v>0</v>
      </c>
      <c r="Z3042">
        <v>0</v>
      </c>
      <c r="AA3042">
        <v>0</v>
      </c>
      <c r="AB3042" s="3">
        <v>42562</v>
      </c>
      <c r="AC3042" t="s">
        <v>53</v>
      </c>
      <c r="AD3042" t="s">
        <v>53</v>
      </c>
      <c r="AK3042">
        <v>0</v>
      </c>
      <c r="AU3042" s="3">
        <v>42403</v>
      </c>
      <c r="AV3042" s="3">
        <v>42403</v>
      </c>
      <c r="AW3042" t="s">
        <v>54</v>
      </c>
      <c r="AX3042" t="str">
        <f t="shared" si="358"/>
        <v>FOR</v>
      </c>
      <c r="AY3042" t="s">
        <v>55</v>
      </c>
    </row>
    <row r="3043" spans="1:51" hidden="1">
      <c r="A3043">
        <v>104207</v>
      </c>
      <c r="B3043" t="s">
        <v>372</v>
      </c>
      <c r="C3043" t="str">
        <f>"10767630154"</f>
        <v>10767630154</v>
      </c>
      <c r="D3043" t="str">
        <f>"10767630154"</f>
        <v>10767630154</v>
      </c>
      <c r="E3043" t="s">
        <v>52</v>
      </c>
      <c r="F3043">
        <v>2015</v>
      </c>
      <c r="G3043" t="str">
        <f>"              P02425"</f>
        <v xml:space="preserve">              P02425</v>
      </c>
      <c r="H3043" s="3">
        <v>42293</v>
      </c>
      <c r="I3043" s="3">
        <v>42296</v>
      </c>
      <c r="J3043" s="3">
        <v>42296</v>
      </c>
      <c r="K3043" s="3">
        <v>42356</v>
      </c>
      <c r="L3043"/>
      <c r="N3043"/>
      <c r="O3043">
        <v>569.5</v>
      </c>
      <c r="P3043">
        <v>47</v>
      </c>
      <c r="Q3043" s="4">
        <v>26766.5</v>
      </c>
      <c r="R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 s="3">
        <v>42562</v>
      </c>
      <c r="AC3043" t="s">
        <v>53</v>
      </c>
      <c r="AD3043" t="s">
        <v>53</v>
      </c>
      <c r="AK3043">
        <v>0</v>
      </c>
      <c r="AU3043" s="3">
        <v>42403</v>
      </c>
      <c r="AV3043" s="3">
        <v>42403</v>
      </c>
      <c r="AW3043" t="s">
        <v>54</v>
      </c>
      <c r="AX3043" t="str">
        <f t="shared" si="358"/>
        <v>FOR</v>
      </c>
      <c r="AY3043" t="s">
        <v>55</v>
      </c>
    </row>
    <row r="3044" spans="1:51" hidden="1">
      <c r="A3044">
        <v>104211</v>
      </c>
      <c r="B3044" t="s">
        <v>373</v>
      </c>
      <c r="C3044" t="str">
        <f>"02871910655"</f>
        <v>02871910655</v>
      </c>
      <c r="D3044" t="str">
        <f>"02871910655"</f>
        <v>02871910655</v>
      </c>
      <c r="E3044" t="s">
        <v>52</v>
      </c>
      <c r="F3044">
        <v>2015</v>
      </c>
      <c r="G3044" t="str">
        <f>"                81/S"</f>
        <v xml:space="preserve">                81/S</v>
      </c>
      <c r="H3044" s="3">
        <v>42135</v>
      </c>
      <c r="I3044" s="3">
        <v>42160</v>
      </c>
      <c r="J3044" s="3">
        <v>42149</v>
      </c>
      <c r="K3044" s="3">
        <v>42209</v>
      </c>
      <c r="L3044"/>
      <c r="N3044"/>
      <c r="O3044" s="4">
        <v>1200</v>
      </c>
      <c r="P3044">
        <v>244</v>
      </c>
      <c r="Q3044" s="4">
        <v>292800</v>
      </c>
      <c r="R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 s="3">
        <v>42562</v>
      </c>
      <c r="AC3044" t="s">
        <v>53</v>
      </c>
      <c r="AD3044" t="s">
        <v>53</v>
      </c>
      <c r="AK3044">
        <v>0</v>
      </c>
      <c r="AU3044" s="3">
        <v>42453</v>
      </c>
      <c r="AV3044" s="3">
        <v>42453</v>
      </c>
      <c r="AW3044" t="s">
        <v>54</v>
      </c>
      <c r="AX3044" t="str">
        <f t="shared" si="358"/>
        <v>FOR</v>
      </c>
      <c r="AY3044" t="s">
        <v>55</v>
      </c>
    </row>
    <row r="3045" spans="1:51">
      <c r="A3045">
        <v>104211</v>
      </c>
      <c r="B3045" t="s">
        <v>373</v>
      </c>
      <c r="C3045" t="str">
        <f>"02871910655"</f>
        <v>02871910655</v>
      </c>
      <c r="D3045" t="str">
        <f>"02871910655"</f>
        <v>02871910655</v>
      </c>
      <c r="E3045" t="s">
        <v>52</v>
      </c>
      <c r="F3045">
        <v>2015</v>
      </c>
      <c r="G3045" t="str">
        <f>"               129/S"</f>
        <v xml:space="preserve">               129/S</v>
      </c>
      <c r="H3045" s="3">
        <v>42163</v>
      </c>
      <c r="I3045" s="3">
        <v>42167</v>
      </c>
      <c r="J3045" s="3">
        <v>42167</v>
      </c>
      <c r="K3045" s="3">
        <v>42227</v>
      </c>
      <c r="L3045" s="1">
        <v>600</v>
      </c>
      <c r="M3045">
        <v>300</v>
      </c>
      <c r="N3045" s="5">
        <v>180000</v>
      </c>
      <c r="O3045">
        <v>600</v>
      </c>
      <c r="P3045">
        <v>300</v>
      </c>
      <c r="Q3045" s="4">
        <v>180000</v>
      </c>
      <c r="R3045">
        <v>132</v>
      </c>
      <c r="V3045">
        <v>0</v>
      </c>
      <c r="W3045">
        <v>0</v>
      </c>
      <c r="X3045">
        <v>0</v>
      </c>
      <c r="Y3045">
        <v>0</v>
      </c>
      <c r="Z3045">
        <v>0</v>
      </c>
      <c r="AA3045">
        <v>0</v>
      </c>
      <c r="AB3045" s="3">
        <v>42562</v>
      </c>
      <c r="AC3045" t="s">
        <v>53</v>
      </c>
      <c r="AD3045" t="s">
        <v>53</v>
      </c>
      <c r="AK3045">
        <v>132</v>
      </c>
      <c r="AU3045" s="3">
        <v>42527</v>
      </c>
      <c r="AV3045" s="3">
        <v>42527</v>
      </c>
      <c r="AW3045" t="s">
        <v>54</v>
      </c>
      <c r="AX3045" t="str">
        <f t="shared" si="358"/>
        <v>FOR</v>
      </c>
      <c r="AY3045" t="s">
        <v>55</v>
      </c>
    </row>
    <row r="3046" spans="1:51">
      <c r="A3046">
        <v>104229</v>
      </c>
      <c r="B3046" t="s">
        <v>374</v>
      </c>
      <c r="C3046" t="str">
        <f>"03350760967"</f>
        <v>03350760967</v>
      </c>
      <c r="D3046" t="str">
        <f>"03350760967"</f>
        <v>03350760967</v>
      </c>
      <c r="E3046" t="s">
        <v>52</v>
      </c>
      <c r="F3046">
        <v>2015</v>
      </c>
      <c r="G3046" t="str">
        <f>"          3000003509"</f>
        <v xml:space="preserve">          3000003509</v>
      </c>
      <c r="H3046" s="3">
        <v>42334</v>
      </c>
      <c r="I3046" s="3">
        <v>42338</v>
      </c>
      <c r="J3046" s="3">
        <v>42335</v>
      </c>
      <c r="K3046" s="3">
        <v>42395</v>
      </c>
      <c r="L3046" s="1">
        <v>115.2</v>
      </c>
      <c r="M3046">
        <v>132</v>
      </c>
      <c r="N3046" s="5">
        <v>15206.4</v>
      </c>
      <c r="O3046">
        <v>115.2</v>
      </c>
      <c r="P3046">
        <v>132</v>
      </c>
      <c r="Q3046" s="4">
        <v>15206.4</v>
      </c>
      <c r="R3046">
        <v>25.34</v>
      </c>
      <c r="V3046">
        <v>0</v>
      </c>
      <c r="W3046">
        <v>0</v>
      </c>
      <c r="X3046">
        <v>0</v>
      </c>
      <c r="Y3046">
        <v>0</v>
      </c>
      <c r="Z3046">
        <v>0</v>
      </c>
      <c r="AA3046">
        <v>0</v>
      </c>
      <c r="AB3046" s="3">
        <v>42562</v>
      </c>
      <c r="AC3046" t="s">
        <v>53</v>
      </c>
      <c r="AD3046" t="s">
        <v>53</v>
      </c>
      <c r="AJ3046">
        <v>25.34</v>
      </c>
      <c r="AK3046">
        <v>0</v>
      </c>
      <c r="AU3046" s="3">
        <v>42527</v>
      </c>
      <c r="AV3046" s="3">
        <v>42527</v>
      </c>
      <c r="AW3046" t="s">
        <v>54</v>
      </c>
      <c r="AX3046" t="str">
        <f t="shared" si="358"/>
        <v>FOR</v>
      </c>
      <c r="AY3046" t="s">
        <v>55</v>
      </c>
    </row>
    <row r="3047" spans="1:51">
      <c r="A3047">
        <v>104229</v>
      </c>
      <c r="B3047" t="s">
        <v>374</v>
      </c>
      <c r="C3047" t="str">
        <f>"03350760967"</f>
        <v>03350760967</v>
      </c>
      <c r="D3047" t="str">
        <f>"03350760967"</f>
        <v>03350760967</v>
      </c>
      <c r="E3047" t="s">
        <v>52</v>
      </c>
      <c r="F3047">
        <v>2015</v>
      </c>
      <c r="G3047" t="str">
        <f>"          3000003956"</f>
        <v xml:space="preserve">          3000003956</v>
      </c>
      <c r="H3047" s="3">
        <v>42354</v>
      </c>
      <c r="I3047" s="3">
        <v>42359</v>
      </c>
      <c r="J3047" s="3">
        <v>42355</v>
      </c>
      <c r="K3047" s="3">
        <v>42415</v>
      </c>
      <c r="L3047" s="1">
        <v>200</v>
      </c>
      <c r="M3047">
        <v>112</v>
      </c>
      <c r="N3047" s="5">
        <v>22400</v>
      </c>
      <c r="O3047">
        <v>200</v>
      </c>
      <c r="P3047">
        <v>112</v>
      </c>
      <c r="Q3047" s="4">
        <v>22400</v>
      </c>
      <c r="R3047">
        <v>44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 s="3">
        <v>42562</v>
      </c>
      <c r="AC3047" t="s">
        <v>53</v>
      </c>
      <c r="AD3047" t="s">
        <v>53</v>
      </c>
      <c r="AI3047">
        <v>44</v>
      </c>
      <c r="AK3047">
        <v>0</v>
      </c>
      <c r="AU3047" s="3">
        <v>42527</v>
      </c>
      <c r="AV3047" s="3">
        <v>42527</v>
      </c>
      <c r="AW3047" t="s">
        <v>54</v>
      </c>
      <c r="AX3047" t="str">
        <f t="shared" si="358"/>
        <v>FOR</v>
      </c>
      <c r="AY3047" t="s">
        <v>55</v>
      </c>
    </row>
    <row r="3048" spans="1:51" hidden="1">
      <c r="A3048">
        <v>104230</v>
      </c>
      <c r="B3048" t="s">
        <v>375</v>
      </c>
      <c r="C3048" t="str">
        <f t="shared" ref="C3048:D3051" si="359">"03841180106"</f>
        <v>03841180106</v>
      </c>
      <c r="D3048" t="str">
        <f t="shared" si="359"/>
        <v>03841180106</v>
      </c>
      <c r="E3048" t="s">
        <v>52</v>
      </c>
      <c r="F3048">
        <v>2015</v>
      </c>
      <c r="G3048" t="str">
        <f>"              150965"</f>
        <v xml:space="preserve">              150965</v>
      </c>
      <c r="H3048" s="3">
        <v>42058</v>
      </c>
      <c r="I3048" s="3">
        <v>42097</v>
      </c>
      <c r="J3048" s="3">
        <v>42097</v>
      </c>
      <c r="K3048" s="3">
        <v>42157</v>
      </c>
      <c r="L3048"/>
      <c r="N3048"/>
      <c r="O3048" s="4">
        <v>1063.5999999999999</v>
      </c>
      <c r="P3048">
        <v>251</v>
      </c>
      <c r="Q3048" s="4">
        <v>266963.59999999998</v>
      </c>
      <c r="R3048">
        <v>0</v>
      </c>
      <c r="V3048">
        <v>0</v>
      </c>
      <c r="W3048">
        <v>0</v>
      </c>
      <c r="X3048">
        <v>0</v>
      </c>
      <c r="Y3048">
        <v>0</v>
      </c>
      <c r="Z3048">
        <v>0</v>
      </c>
      <c r="AA3048">
        <v>0</v>
      </c>
      <c r="AB3048" s="3">
        <v>42562</v>
      </c>
      <c r="AC3048" t="s">
        <v>53</v>
      </c>
      <c r="AD3048" t="s">
        <v>53</v>
      </c>
      <c r="AK3048">
        <v>0</v>
      </c>
      <c r="AU3048" s="3">
        <v>42408</v>
      </c>
      <c r="AV3048" s="3">
        <v>42408</v>
      </c>
      <c r="AW3048" t="s">
        <v>54</v>
      </c>
      <c r="AX3048" t="str">
        <f t="shared" si="358"/>
        <v>FOR</v>
      </c>
      <c r="AY3048" t="s">
        <v>55</v>
      </c>
    </row>
    <row r="3049" spans="1:51" hidden="1">
      <c r="A3049">
        <v>104230</v>
      </c>
      <c r="B3049" t="s">
        <v>375</v>
      </c>
      <c r="C3049" t="str">
        <f t="shared" si="359"/>
        <v>03841180106</v>
      </c>
      <c r="D3049" t="str">
        <f t="shared" si="359"/>
        <v>03841180106</v>
      </c>
      <c r="E3049" t="s">
        <v>52</v>
      </c>
      <c r="F3049">
        <v>2015</v>
      </c>
      <c r="G3049" t="str">
        <f>"              152574"</f>
        <v xml:space="preserve">              152574</v>
      </c>
      <c r="H3049" s="3">
        <v>42151</v>
      </c>
      <c r="I3049" s="3">
        <v>42160</v>
      </c>
      <c r="J3049" s="3">
        <v>42152</v>
      </c>
      <c r="K3049" s="3">
        <v>42212</v>
      </c>
      <c r="L3049"/>
      <c r="N3049"/>
      <c r="O3049">
        <v>925</v>
      </c>
      <c r="P3049">
        <v>240</v>
      </c>
      <c r="Q3049" s="4">
        <v>222000</v>
      </c>
      <c r="R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 s="3">
        <v>42562</v>
      </c>
      <c r="AC3049" t="s">
        <v>53</v>
      </c>
      <c r="AD3049" t="s">
        <v>53</v>
      </c>
      <c r="AK3049">
        <v>0</v>
      </c>
      <c r="AU3049" s="3">
        <v>42452</v>
      </c>
      <c r="AV3049" s="3">
        <v>42452</v>
      </c>
      <c r="AW3049" t="s">
        <v>54</v>
      </c>
      <c r="AX3049" t="str">
        <f t="shared" si="358"/>
        <v>FOR</v>
      </c>
      <c r="AY3049" t="s">
        <v>55</v>
      </c>
    </row>
    <row r="3050" spans="1:51" hidden="1">
      <c r="A3050">
        <v>104230</v>
      </c>
      <c r="B3050" t="s">
        <v>375</v>
      </c>
      <c r="C3050" t="str">
        <f t="shared" si="359"/>
        <v>03841180106</v>
      </c>
      <c r="D3050" t="str">
        <f t="shared" si="359"/>
        <v>03841180106</v>
      </c>
      <c r="E3050" t="s">
        <v>52</v>
      </c>
      <c r="F3050">
        <v>2015</v>
      </c>
      <c r="G3050" t="str">
        <f>"              154379"</f>
        <v xml:space="preserve">              154379</v>
      </c>
      <c r="H3050" s="3">
        <v>42268</v>
      </c>
      <c r="I3050" s="3">
        <v>42272</v>
      </c>
      <c r="J3050" s="3">
        <v>42271</v>
      </c>
      <c r="K3050" s="3">
        <v>42331</v>
      </c>
      <c r="L3050"/>
      <c r="N3050"/>
      <c r="O3050">
        <v>370</v>
      </c>
      <c r="P3050">
        <v>121</v>
      </c>
      <c r="Q3050" s="4">
        <v>44770</v>
      </c>
      <c r="R3050">
        <v>0</v>
      </c>
      <c r="V3050">
        <v>0</v>
      </c>
      <c r="W3050">
        <v>0</v>
      </c>
      <c r="X3050">
        <v>0</v>
      </c>
      <c r="Y3050">
        <v>0</v>
      </c>
      <c r="Z3050">
        <v>0</v>
      </c>
      <c r="AA3050">
        <v>0</v>
      </c>
      <c r="AB3050" s="3">
        <v>42562</v>
      </c>
      <c r="AC3050" t="s">
        <v>53</v>
      </c>
      <c r="AD3050" t="s">
        <v>53</v>
      </c>
      <c r="AK3050">
        <v>0</v>
      </c>
      <c r="AU3050" s="3">
        <v>42452</v>
      </c>
      <c r="AV3050" s="3">
        <v>42452</v>
      </c>
      <c r="AW3050" t="s">
        <v>54</v>
      </c>
      <c r="AX3050" t="str">
        <f t="shared" si="358"/>
        <v>FOR</v>
      </c>
      <c r="AY3050" t="s">
        <v>55</v>
      </c>
    </row>
    <row r="3051" spans="1:51" hidden="1">
      <c r="A3051">
        <v>104230</v>
      </c>
      <c r="B3051" t="s">
        <v>375</v>
      </c>
      <c r="C3051" t="str">
        <f t="shared" si="359"/>
        <v>03841180106</v>
      </c>
      <c r="D3051" t="str">
        <f t="shared" si="359"/>
        <v>03841180106</v>
      </c>
      <c r="E3051" t="s">
        <v>52</v>
      </c>
      <c r="F3051">
        <v>2015</v>
      </c>
      <c r="G3051" t="str">
        <f>"              155611"</f>
        <v xml:space="preserve">              155611</v>
      </c>
      <c r="H3051" s="3">
        <v>42338</v>
      </c>
      <c r="I3051" s="3">
        <v>42353</v>
      </c>
      <c r="J3051" s="3">
        <v>42348</v>
      </c>
      <c r="K3051" s="3">
        <v>42408</v>
      </c>
      <c r="L3051"/>
      <c r="N3051"/>
      <c r="O3051">
        <v>925</v>
      </c>
      <c r="P3051">
        <v>44</v>
      </c>
      <c r="Q3051" s="4">
        <v>40700</v>
      </c>
      <c r="R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 s="3">
        <v>42562</v>
      </c>
      <c r="AC3051" t="s">
        <v>53</v>
      </c>
      <c r="AD3051" t="s">
        <v>53</v>
      </c>
      <c r="AK3051">
        <v>0</v>
      </c>
      <c r="AU3051" s="3">
        <v>42452</v>
      </c>
      <c r="AV3051" s="3">
        <v>42452</v>
      </c>
      <c r="AW3051" t="s">
        <v>54</v>
      </c>
      <c r="AX3051" t="str">
        <f t="shared" si="358"/>
        <v>FOR</v>
      </c>
      <c r="AY3051" t="s">
        <v>55</v>
      </c>
    </row>
    <row r="3052" spans="1:51" hidden="1">
      <c r="A3052">
        <v>104232</v>
      </c>
      <c r="B3052" t="s">
        <v>376</v>
      </c>
      <c r="C3052" t="str">
        <f>"00789580966"</f>
        <v>00789580966</v>
      </c>
      <c r="D3052" t="str">
        <f>"04754860155"</f>
        <v>04754860155</v>
      </c>
      <c r="E3052" t="s">
        <v>52</v>
      </c>
      <c r="F3052">
        <v>2015</v>
      </c>
      <c r="G3052" t="str">
        <f>"          2015002857"</f>
        <v xml:space="preserve">          2015002857</v>
      </c>
      <c r="H3052" s="3">
        <v>42038</v>
      </c>
      <c r="I3052" s="3">
        <v>42054</v>
      </c>
      <c r="J3052" s="3">
        <v>42054</v>
      </c>
      <c r="K3052" s="3">
        <v>42114</v>
      </c>
      <c r="L3052"/>
      <c r="N3052"/>
      <c r="O3052" s="4">
        <v>2451.69</v>
      </c>
      <c r="P3052">
        <v>290</v>
      </c>
      <c r="Q3052" s="4">
        <v>710990.1</v>
      </c>
      <c r="R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 s="3">
        <v>42562</v>
      </c>
      <c r="AC3052" t="s">
        <v>53</v>
      </c>
      <c r="AD3052" t="s">
        <v>53</v>
      </c>
      <c r="AK3052">
        <v>0</v>
      </c>
      <c r="AU3052" s="3">
        <v>42404</v>
      </c>
      <c r="AV3052" s="3">
        <v>42404</v>
      </c>
      <c r="AW3052" t="s">
        <v>54</v>
      </c>
      <c r="AX3052" t="str">
        <f t="shared" si="358"/>
        <v>FOR</v>
      </c>
      <c r="AY3052" t="s">
        <v>55</v>
      </c>
    </row>
    <row r="3053" spans="1:51" hidden="1">
      <c r="A3053">
        <v>104232</v>
      </c>
      <c r="B3053" t="s">
        <v>376</v>
      </c>
      <c r="C3053" t="str">
        <f>"00789580966"</f>
        <v>00789580966</v>
      </c>
      <c r="D3053" t="str">
        <f>"04754860155"</f>
        <v>04754860155</v>
      </c>
      <c r="E3053" t="s">
        <v>52</v>
      </c>
      <c r="F3053">
        <v>2015</v>
      </c>
      <c r="G3053" t="str">
        <f>"          2015005549"</f>
        <v xml:space="preserve">          2015005549</v>
      </c>
      <c r="H3053" s="3">
        <v>42068</v>
      </c>
      <c r="I3053" s="3">
        <v>42087</v>
      </c>
      <c r="J3053" s="3">
        <v>42087</v>
      </c>
      <c r="K3053" s="3">
        <v>42147</v>
      </c>
      <c r="L3053"/>
      <c r="N3053"/>
      <c r="O3053" s="4">
        <v>2451.69</v>
      </c>
      <c r="P3053">
        <v>268</v>
      </c>
      <c r="Q3053" s="4">
        <v>657052.92000000004</v>
      </c>
      <c r="R3053">
        <v>0</v>
      </c>
      <c r="V3053">
        <v>0</v>
      </c>
      <c r="W3053">
        <v>0</v>
      </c>
      <c r="X3053">
        <v>0</v>
      </c>
      <c r="Y3053">
        <v>0</v>
      </c>
      <c r="Z3053">
        <v>0</v>
      </c>
      <c r="AA3053">
        <v>0</v>
      </c>
      <c r="AB3053" s="3">
        <v>42562</v>
      </c>
      <c r="AC3053" t="s">
        <v>53</v>
      </c>
      <c r="AD3053" t="s">
        <v>53</v>
      </c>
      <c r="AK3053">
        <v>0</v>
      </c>
      <c r="AU3053" s="3">
        <v>42415</v>
      </c>
      <c r="AV3053" s="3">
        <v>42415</v>
      </c>
      <c r="AW3053" t="s">
        <v>54</v>
      </c>
      <c r="AX3053" t="str">
        <f t="shared" si="358"/>
        <v>FOR</v>
      </c>
      <c r="AY3053" t="s">
        <v>55</v>
      </c>
    </row>
    <row r="3054" spans="1:51" hidden="1">
      <c r="A3054">
        <v>104232</v>
      </c>
      <c r="B3054" t="s">
        <v>376</v>
      </c>
      <c r="C3054" t="str">
        <f>"00789580966"</f>
        <v>00789580966</v>
      </c>
      <c r="D3054" t="str">
        <f>"04754860155"</f>
        <v>04754860155</v>
      </c>
      <c r="E3054" t="s">
        <v>52</v>
      </c>
      <c r="F3054">
        <v>2015</v>
      </c>
      <c r="G3054" t="str">
        <f>"          2015007914"</f>
        <v xml:space="preserve">          2015007914</v>
      </c>
      <c r="H3054" s="3">
        <v>42096</v>
      </c>
      <c r="I3054" s="3">
        <v>42191</v>
      </c>
      <c r="J3054" s="3">
        <v>42187</v>
      </c>
      <c r="K3054" s="3">
        <v>42247</v>
      </c>
      <c r="L3054"/>
      <c r="N3054"/>
      <c r="O3054" s="4">
        <v>2451.69</v>
      </c>
      <c r="P3054">
        <v>183</v>
      </c>
      <c r="Q3054" s="4">
        <v>448659.27</v>
      </c>
      <c r="R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 s="3">
        <v>42562</v>
      </c>
      <c r="AC3054" t="s">
        <v>53</v>
      </c>
      <c r="AD3054" t="s">
        <v>53</v>
      </c>
      <c r="AK3054">
        <v>0</v>
      </c>
      <c r="AU3054" s="3">
        <v>42430</v>
      </c>
      <c r="AV3054" s="3">
        <v>42430</v>
      </c>
      <c r="AW3054" t="s">
        <v>54</v>
      </c>
      <c r="AX3054" t="str">
        <f t="shared" si="358"/>
        <v>FOR</v>
      </c>
      <c r="AY3054" t="s">
        <v>55</v>
      </c>
    </row>
    <row r="3055" spans="1:51">
      <c r="A3055">
        <v>104243</v>
      </c>
      <c r="B3055" t="s">
        <v>377</v>
      </c>
      <c r="C3055" t="str">
        <f t="shared" ref="C3055:C3074" si="360">"02426070120"</f>
        <v>02426070120</v>
      </c>
      <c r="D3055" t="str">
        <f t="shared" ref="D3055:D3074" si="361">"12300580151"</f>
        <v>12300580151</v>
      </c>
      <c r="E3055" t="s">
        <v>52</v>
      </c>
      <c r="F3055">
        <v>2014</v>
      </c>
      <c r="G3055" t="str">
        <f>"            90015976"</f>
        <v xml:space="preserve">            90015976</v>
      </c>
      <c r="H3055" s="3">
        <v>41857</v>
      </c>
      <c r="I3055" s="3">
        <v>41877</v>
      </c>
      <c r="J3055" s="3">
        <v>41877</v>
      </c>
      <c r="K3055" s="3">
        <v>41967</v>
      </c>
      <c r="L3055" s="5">
        <v>3250.57</v>
      </c>
      <c r="M3055">
        <v>563</v>
      </c>
      <c r="N3055" s="5">
        <v>1830070.91</v>
      </c>
      <c r="O3055" s="4">
        <v>3250.57</v>
      </c>
      <c r="P3055">
        <v>563</v>
      </c>
      <c r="Q3055" s="4">
        <v>1830070.91</v>
      </c>
      <c r="R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 s="3">
        <v>42562</v>
      </c>
      <c r="AC3055" t="s">
        <v>53</v>
      </c>
      <c r="AD3055" t="s">
        <v>53</v>
      </c>
      <c r="AK3055">
        <v>0</v>
      </c>
      <c r="AU3055" s="3">
        <v>42530</v>
      </c>
      <c r="AV3055" s="3">
        <v>42530</v>
      </c>
      <c r="AW3055" t="s">
        <v>54</v>
      </c>
      <c r="AX3055" t="str">
        <f t="shared" si="358"/>
        <v>FOR</v>
      </c>
      <c r="AY3055" t="s">
        <v>55</v>
      </c>
    </row>
    <row r="3056" spans="1:51" hidden="1">
      <c r="A3056">
        <v>104243</v>
      </c>
      <c r="B3056" t="s">
        <v>377</v>
      </c>
      <c r="C3056" t="str">
        <f t="shared" si="360"/>
        <v>02426070120</v>
      </c>
      <c r="D3056" t="str">
        <f t="shared" si="361"/>
        <v>12300580151</v>
      </c>
      <c r="E3056" t="s">
        <v>52</v>
      </c>
      <c r="F3056">
        <v>2015</v>
      </c>
      <c r="G3056" t="str">
        <f>"            90002147"</f>
        <v xml:space="preserve">            90002147</v>
      </c>
      <c r="H3056" s="3">
        <v>42039</v>
      </c>
      <c r="I3056" s="3">
        <v>42054</v>
      </c>
      <c r="J3056" s="3">
        <v>42054</v>
      </c>
      <c r="K3056" s="3">
        <v>42114</v>
      </c>
      <c r="L3056"/>
      <c r="N3056"/>
      <c r="O3056">
        <v>719.2</v>
      </c>
      <c r="P3056">
        <v>290</v>
      </c>
      <c r="Q3056" s="4">
        <v>208568</v>
      </c>
      <c r="R3056">
        <v>0</v>
      </c>
      <c r="V3056">
        <v>0</v>
      </c>
      <c r="W3056">
        <v>0</v>
      </c>
      <c r="X3056">
        <v>0</v>
      </c>
      <c r="Y3056">
        <v>0</v>
      </c>
      <c r="Z3056">
        <v>0</v>
      </c>
      <c r="AA3056">
        <v>0</v>
      </c>
      <c r="AB3056" s="3">
        <v>42562</v>
      </c>
      <c r="AC3056" t="s">
        <v>53</v>
      </c>
      <c r="AD3056" t="s">
        <v>53</v>
      </c>
      <c r="AK3056">
        <v>0</v>
      </c>
      <c r="AU3056" s="3">
        <v>42404</v>
      </c>
      <c r="AV3056" s="3">
        <v>42404</v>
      </c>
      <c r="AW3056" t="s">
        <v>54</v>
      </c>
      <c r="AX3056" t="str">
        <f t="shared" si="358"/>
        <v>FOR</v>
      </c>
      <c r="AY3056" t="s">
        <v>55</v>
      </c>
    </row>
    <row r="3057" spans="1:51" hidden="1">
      <c r="A3057">
        <v>104243</v>
      </c>
      <c r="B3057" t="s">
        <v>377</v>
      </c>
      <c r="C3057" t="str">
        <f t="shared" si="360"/>
        <v>02426070120</v>
      </c>
      <c r="D3057" t="str">
        <f t="shared" si="361"/>
        <v>12300580151</v>
      </c>
      <c r="E3057" t="s">
        <v>52</v>
      </c>
      <c r="F3057">
        <v>2015</v>
      </c>
      <c r="G3057" t="str">
        <f>"            90002148"</f>
        <v xml:space="preserve">            90002148</v>
      </c>
      <c r="H3057" s="3">
        <v>42039</v>
      </c>
      <c r="I3057" s="3">
        <v>42054</v>
      </c>
      <c r="J3057" s="3">
        <v>42054</v>
      </c>
      <c r="K3057" s="3">
        <v>42114</v>
      </c>
      <c r="L3057"/>
      <c r="N3057"/>
      <c r="O3057">
        <v>992</v>
      </c>
      <c r="P3057">
        <v>290</v>
      </c>
      <c r="Q3057" s="4">
        <v>287680</v>
      </c>
      <c r="R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 s="3">
        <v>42562</v>
      </c>
      <c r="AC3057" t="s">
        <v>53</v>
      </c>
      <c r="AD3057" t="s">
        <v>53</v>
      </c>
      <c r="AK3057">
        <v>0</v>
      </c>
      <c r="AU3057" s="3">
        <v>42404</v>
      </c>
      <c r="AV3057" s="3">
        <v>42404</v>
      </c>
      <c r="AW3057" t="s">
        <v>54</v>
      </c>
      <c r="AX3057" t="str">
        <f t="shared" si="358"/>
        <v>FOR</v>
      </c>
      <c r="AY3057" t="s">
        <v>55</v>
      </c>
    </row>
    <row r="3058" spans="1:51" hidden="1">
      <c r="A3058">
        <v>104243</v>
      </c>
      <c r="B3058" t="s">
        <v>377</v>
      </c>
      <c r="C3058" t="str">
        <f t="shared" si="360"/>
        <v>02426070120</v>
      </c>
      <c r="D3058" t="str">
        <f t="shared" si="361"/>
        <v>12300580151</v>
      </c>
      <c r="E3058" t="s">
        <v>52</v>
      </c>
      <c r="F3058">
        <v>2015</v>
      </c>
      <c r="G3058" t="str">
        <f>"            90002149"</f>
        <v xml:space="preserve">            90002149</v>
      </c>
      <c r="H3058" s="3">
        <v>42039</v>
      </c>
      <c r="I3058" s="3">
        <v>42054</v>
      </c>
      <c r="J3058" s="3">
        <v>42054</v>
      </c>
      <c r="K3058" s="3">
        <v>42114</v>
      </c>
      <c r="L3058"/>
      <c r="N3058"/>
      <c r="O3058">
        <v>830.8</v>
      </c>
      <c r="P3058">
        <v>290</v>
      </c>
      <c r="Q3058" s="4">
        <v>240932</v>
      </c>
      <c r="R3058">
        <v>0</v>
      </c>
      <c r="V3058">
        <v>0</v>
      </c>
      <c r="W3058">
        <v>0</v>
      </c>
      <c r="X3058">
        <v>0</v>
      </c>
      <c r="Y3058">
        <v>0</v>
      </c>
      <c r="Z3058">
        <v>0</v>
      </c>
      <c r="AA3058">
        <v>0</v>
      </c>
      <c r="AB3058" s="3">
        <v>42562</v>
      </c>
      <c r="AC3058" t="s">
        <v>53</v>
      </c>
      <c r="AD3058" t="s">
        <v>53</v>
      </c>
      <c r="AK3058">
        <v>0</v>
      </c>
      <c r="AU3058" s="3">
        <v>42404</v>
      </c>
      <c r="AV3058" s="3">
        <v>42404</v>
      </c>
      <c r="AW3058" t="s">
        <v>54</v>
      </c>
      <c r="AX3058" t="str">
        <f t="shared" si="358"/>
        <v>FOR</v>
      </c>
      <c r="AY3058" t="s">
        <v>55</v>
      </c>
    </row>
    <row r="3059" spans="1:51" hidden="1">
      <c r="A3059">
        <v>104243</v>
      </c>
      <c r="B3059" t="s">
        <v>377</v>
      </c>
      <c r="C3059" t="str">
        <f t="shared" si="360"/>
        <v>02426070120</v>
      </c>
      <c r="D3059" t="str">
        <f t="shared" si="361"/>
        <v>12300580151</v>
      </c>
      <c r="E3059" t="s">
        <v>52</v>
      </c>
      <c r="F3059">
        <v>2015</v>
      </c>
      <c r="G3059" t="str">
        <f>"            90002409"</f>
        <v xml:space="preserve">            90002409</v>
      </c>
      <c r="H3059" s="3">
        <v>42044</v>
      </c>
      <c r="I3059" s="3">
        <v>42066</v>
      </c>
      <c r="J3059" s="3">
        <v>42066</v>
      </c>
      <c r="K3059" s="3">
        <v>42126</v>
      </c>
      <c r="L3059"/>
      <c r="N3059"/>
      <c r="O3059">
        <v>111.6</v>
      </c>
      <c r="P3059">
        <v>278</v>
      </c>
      <c r="Q3059" s="4">
        <v>31024.799999999999</v>
      </c>
      <c r="R3059">
        <v>0</v>
      </c>
      <c r="V3059">
        <v>0</v>
      </c>
      <c r="W3059">
        <v>0</v>
      </c>
      <c r="X3059">
        <v>0</v>
      </c>
      <c r="Y3059">
        <v>0</v>
      </c>
      <c r="Z3059">
        <v>0</v>
      </c>
      <c r="AA3059">
        <v>0</v>
      </c>
      <c r="AB3059" s="3">
        <v>42562</v>
      </c>
      <c r="AC3059" t="s">
        <v>53</v>
      </c>
      <c r="AD3059" t="s">
        <v>53</v>
      </c>
      <c r="AK3059">
        <v>0</v>
      </c>
      <c r="AU3059" s="3">
        <v>42404</v>
      </c>
      <c r="AV3059" s="3">
        <v>42404</v>
      </c>
      <c r="AW3059" t="s">
        <v>54</v>
      </c>
      <c r="AX3059" t="str">
        <f t="shared" si="358"/>
        <v>FOR</v>
      </c>
      <c r="AY3059" t="s">
        <v>55</v>
      </c>
    </row>
    <row r="3060" spans="1:51" hidden="1">
      <c r="A3060">
        <v>104243</v>
      </c>
      <c r="B3060" t="s">
        <v>377</v>
      </c>
      <c r="C3060" t="str">
        <f t="shared" si="360"/>
        <v>02426070120</v>
      </c>
      <c r="D3060" t="str">
        <f t="shared" si="361"/>
        <v>12300580151</v>
      </c>
      <c r="E3060" t="s">
        <v>52</v>
      </c>
      <c r="F3060">
        <v>2015</v>
      </c>
      <c r="G3060" t="str">
        <f>"            90002902"</f>
        <v xml:space="preserve">            90002902</v>
      </c>
      <c r="H3060" s="3">
        <v>42053</v>
      </c>
      <c r="I3060" s="3">
        <v>42069</v>
      </c>
      <c r="J3060" s="3">
        <v>42069</v>
      </c>
      <c r="K3060" s="3">
        <v>42129</v>
      </c>
      <c r="L3060"/>
      <c r="N3060"/>
      <c r="O3060">
        <v>793.6</v>
      </c>
      <c r="P3060">
        <v>275</v>
      </c>
      <c r="Q3060" s="4">
        <v>218240</v>
      </c>
      <c r="R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 s="3">
        <v>42562</v>
      </c>
      <c r="AC3060" t="s">
        <v>53</v>
      </c>
      <c r="AD3060" t="s">
        <v>53</v>
      </c>
      <c r="AK3060">
        <v>0</v>
      </c>
      <c r="AU3060" s="3">
        <v>42404</v>
      </c>
      <c r="AV3060" s="3">
        <v>42404</v>
      </c>
      <c r="AW3060" t="s">
        <v>54</v>
      </c>
      <c r="AX3060" t="str">
        <f t="shared" si="358"/>
        <v>FOR</v>
      </c>
      <c r="AY3060" t="s">
        <v>55</v>
      </c>
    </row>
    <row r="3061" spans="1:51" hidden="1">
      <c r="A3061">
        <v>104243</v>
      </c>
      <c r="B3061" t="s">
        <v>377</v>
      </c>
      <c r="C3061" t="str">
        <f t="shared" si="360"/>
        <v>02426070120</v>
      </c>
      <c r="D3061" t="str">
        <f t="shared" si="361"/>
        <v>12300580151</v>
      </c>
      <c r="E3061" t="s">
        <v>52</v>
      </c>
      <c r="F3061">
        <v>2015</v>
      </c>
      <c r="G3061" t="str">
        <f>"            90003331"</f>
        <v xml:space="preserve">            90003331</v>
      </c>
      <c r="H3061" s="3">
        <v>42059</v>
      </c>
      <c r="I3061" s="3">
        <v>42073</v>
      </c>
      <c r="J3061" s="3">
        <v>42073</v>
      </c>
      <c r="K3061" s="3">
        <v>42133</v>
      </c>
      <c r="L3061"/>
      <c r="N3061"/>
      <c r="O3061" s="4">
        <v>4704</v>
      </c>
      <c r="P3061">
        <v>271</v>
      </c>
      <c r="Q3061" s="4">
        <v>1274784</v>
      </c>
      <c r="R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 s="3">
        <v>42562</v>
      </c>
      <c r="AC3061" t="s">
        <v>53</v>
      </c>
      <c r="AD3061" t="s">
        <v>53</v>
      </c>
      <c r="AK3061">
        <v>0</v>
      </c>
      <c r="AU3061" s="3">
        <v>42404</v>
      </c>
      <c r="AV3061" s="3">
        <v>42404</v>
      </c>
      <c r="AW3061" t="s">
        <v>54</v>
      </c>
      <c r="AX3061" t="str">
        <f t="shared" si="358"/>
        <v>FOR</v>
      </c>
      <c r="AY3061" t="s">
        <v>55</v>
      </c>
    </row>
    <row r="3062" spans="1:51" hidden="1">
      <c r="A3062">
        <v>104243</v>
      </c>
      <c r="B3062" t="s">
        <v>377</v>
      </c>
      <c r="C3062" t="str">
        <f t="shared" si="360"/>
        <v>02426070120</v>
      </c>
      <c r="D3062" t="str">
        <f t="shared" si="361"/>
        <v>12300580151</v>
      </c>
      <c r="E3062" t="s">
        <v>52</v>
      </c>
      <c r="F3062">
        <v>2015</v>
      </c>
      <c r="G3062" t="str">
        <f>"            90004933"</f>
        <v xml:space="preserve">            90004933</v>
      </c>
      <c r="H3062" s="3">
        <v>42080</v>
      </c>
      <c r="I3062" s="3">
        <v>42097</v>
      </c>
      <c r="J3062" s="3">
        <v>42097</v>
      </c>
      <c r="K3062" s="3">
        <v>42157</v>
      </c>
      <c r="L3062"/>
      <c r="N3062"/>
      <c r="O3062">
        <v>448</v>
      </c>
      <c r="P3062">
        <v>258</v>
      </c>
      <c r="Q3062" s="4">
        <v>115584</v>
      </c>
      <c r="R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 s="3">
        <v>42562</v>
      </c>
      <c r="AC3062" t="s">
        <v>53</v>
      </c>
      <c r="AD3062" t="s">
        <v>53</v>
      </c>
      <c r="AK3062">
        <v>0</v>
      </c>
      <c r="AU3062" s="3">
        <v>42415</v>
      </c>
      <c r="AV3062" s="3">
        <v>42415</v>
      </c>
      <c r="AW3062" t="s">
        <v>54</v>
      </c>
      <c r="AX3062" t="str">
        <f t="shared" si="358"/>
        <v>FOR</v>
      </c>
      <c r="AY3062" t="s">
        <v>55</v>
      </c>
    </row>
    <row r="3063" spans="1:51" hidden="1">
      <c r="A3063">
        <v>104243</v>
      </c>
      <c r="B3063" t="s">
        <v>377</v>
      </c>
      <c r="C3063" t="str">
        <f t="shared" si="360"/>
        <v>02426070120</v>
      </c>
      <c r="D3063" t="str">
        <f t="shared" si="361"/>
        <v>12300580151</v>
      </c>
      <c r="E3063" t="s">
        <v>52</v>
      </c>
      <c r="F3063">
        <v>2015</v>
      </c>
      <c r="G3063" t="str">
        <f>"            90005069"</f>
        <v xml:space="preserve">            90005069</v>
      </c>
      <c r="H3063" s="3">
        <v>42082</v>
      </c>
      <c r="I3063" s="3">
        <v>42097</v>
      </c>
      <c r="J3063" s="3">
        <v>42097</v>
      </c>
      <c r="K3063" s="3">
        <v>42157</v>
      </c>
      <c r="L3063"/>
      <c r="N3063"/>
      <c r="O3063">
        <v>448</v>
      </c>
      <c r="P3063">
        <v>258</v>
      </c>
      <c r="Q3063" s="4">
        <v>115584</v>
      </c>
      <c r="R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 s="3">
        <v>42562</v>
      </c>
      <c r="AC3063" t="s">
        <v>53</v>
      </c>
      <c r="AD3063" t="s">
        <v>53</v>
      </c>
      <c r="AK3063">
        <v>0</v>
      </c>
      <c r="AU3063" s="3">
        <v>42415</v>
      </c>
      <c r="AV3063" s="3">
        <v>42415</v>
      </c>
      <c r="AW3063" t="s">
        <v>54</v>
      </c>
      <c r="AX3063" t="str">
        <f t="shared" si="358"/>
        <v>FOR</v>
      </c>
      <c r="AY3063" t="s">
        <v>55</v>
      </c>
    </row>
    <row r="3064" spans="1:51" hidden="1">
      <c r="A3064">
        <v>104243</v>
      </c>
      <c r="B3064" t="s">
        <v>377</v>
      </c>
      <c r="C3064" t="str">
        <f t="shared" si="360"/>
        <v>02426070120</v>
      </c>
      <c r="D3064" t="str">
        <f t="shared" si="361"/>
        <v>12300580151</v>
      </c>
      <c r="E3064" t="s">
        <v>52</v>
      </c>
      <c r="F3064">
        <v>2015</v>
      </c>
      <c r="G3064" t="str">
        <f>"            90005310"</f>
        <v xml:space="preserve">            90005310</v>
      </c>
      <c r="H3064" s="3">
        <v>42086</v>
      </c>
      <c r="I3064" s="3">
        <v>42108</v>
      </c>
      <c r="J3064" s="3">
        <v>42108</v>
      </c>
      <c r="K3064" s="3">
        <v>42168</v>
      </c>
      <c r="L3064"/>
      <c r="N3064"/>
      <c r="O3064">
        <v>198.4</v>
      </c>
      <c r="P3064">
        <v>247</v>
      </c>
      <c r="Q3064" s="4">
        <v>49004.800000000003</v>
      </c>
      <c r="R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 s="3">
        <v>42562</v>
      </c>
      <c r="AC3064" t="s">
        <v>53</v>
      </c>
      <c r="AD3064" t="s">
        <v>53</v>
      </c>
      <c r="AK3064">
        <v>0</v>
      </c>
      <c r="AU3064" s="3">
        <v>42415</v>
      </c>
      <c r="AV3064" s="3">
        <v>42415</v>
      </c>
      <c r="AW3064" t="s">
        <v>54</v>
      </c>
      <c r="AX3064" t="str">
        <f t="shared" si="358"/>
        <v>FOR</v>
      </c>
      <c r="AY3064" t="s">
        <v>55</v>
      </c>
    </row>
    <row r="3065" spans="1:51" hidden="1">
      <c r="A3065">
        <v>104243</v>
      </c>
      <c r="B3065" t="s">
        <v>377</v>
      </c>
      <c r="C3065" t="str">
        <f t="shared" si="360"/>
        <v>02426070120</v>
      </c>
      <c r="D3065" t="str">
        <f t="shared" si="361"/>
        <v>12300580151</v>
      </c>
      <c r="E3065" t="s">
        <v>52</v>
      </c>
      <c r="F3065">
        <v>2015</v>
      </c>
      <c r="G3065" t="str">
        <f>"            90006132"</f>
        <v xml:space="preserve">            90006132</v>
      </c>
      <c r="H3065" s="3">
        <v>42094</v>
      </c>
      <c r="I3065" s="3">
        <v>42121</v>
      </c>
      <c r="J3065" s="3">
        <v>42119</v>
      </c>
      <c r="K3065" s="3">
        <v>42179</v>
      </c>
      <c r="L3065"/>
      <c r="N3065"/>
      <c r="O3065">
        <v>496</v>
      </c>
      <c r="P3065">
        <v>236</v>
      </c>
      <c r="Q3065" s="4">
        <v>117056</v>
      </c>
      <c r="R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 s="3">
        <v>42562</v>
      </c>
      <c r="AC3065" t="s">
        <v>53</v>
      </c>
      <c r="AD3065" t="s">
        <v>53</v>
      </c>
      <c r="AK3065">
        <v>0</v>
      </c>
      <c r="AU3065" s="3">
        <v>42415</v>
      </c>
      <c r="AV3065" s="3">
        <v>42415</v>
      </c>
      <c r="AW3065" t="s">
        <v>54</v>
      </c>
      <c r="AX3065" t="str">
        <f t="shared" si="358"/>
        <v>FOR</v>
      </c>
      <c r="AY3065" t="s">
        <v>55</v>
      </c>
    </row>
    <row r="3066" spans="1:51" hidden="1">
      <c r="A3066">
        <v>104243</v>
      </c>
      <c r="B3066" t="s">
        <v>377</v>
      </c>
      <c r="C3066" t="str">
        <f t="shared" si="360"/>
        <v>02426070120</v>
      </c>
      <c r="D3066" t="str">
        <f t="shared" si="361"/>
        <v>12300580151</v>
      </c>
      <c r="E3066" t="s">
        <v>52</v>
      </c>
      <c r="F3066">
        <v>2015</v>
      </c>
      <c r="G3066" t="str">
        <f>"            90006936"</f>
        <v xml:space="preserve">            90006936</v>
      </c>
      <c r="H3066" s="3">
        <v>42110</v>
      </c>
      <c r="I3066" s="3">
        <v>42121</v>
      </c>
      <c r="J3066" s="3">
        <v>42119</v>
      </c>
      <c r="K3066" s="3">
        <v>42179</v>
      </c>
      <c r="L3066"/>
      <c r="N3066"/>
      <c r="O3066">
        <v>409.2</v>
      </c>
      <c r="P3066">
        <v>273</v>
      </c>
      <c r="Q3066" s="4">
        <v>111711.6</v>
      </c>
      <c r="R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 s="3">
        <v>42562</v>
      </c>
      <c r="AC3066" t="s">
        <v>53</v>
      </c>
      <c r="AD3066" t="s">
        <v>53</v>
      </c>
      <c r="AK3066">
        <v>0</v>
      </c>
      <c r="AU3066" s="3">
        <v>42452</v>
      </c>
      <c r="AV3066" s="3">
        <v>42452</v>
      </c>
      <c r="AW3066" t="s">
        <v>54</v>
      </c>
      <c r="AX3066" t="str">
        <f t="shared" si="358"/>
        <v>FOR</v>
      </c>
      <c r="AY3066" t="s">
        <v>55</v>
      </c>
    </row>
    <row r="3067" spans="1:51" hidden="1">
      <c r="A3067">
        <v>104243</v>
      </c>
      <c r="B3067" t="s">
        <v>377</v>
      </c>
      <c r="C3067" t="str">
        <f t="shared" si="360"/>
        <v>02426070120</v>
      </c>
      <c r="D3067" t="str">
        <f t="shared" si="361"/>
        <v>12300580151</v>
      </c>
      <c r="E3067" t="s">
        <v>52</v>
      </c>
      <c r="F3067">
        <v>2015</v>
      </c>
      <c r="G3067" t="str">
        <f>"            90008744"</f>
        <v xml:space="preserve">            90008744</v>
      </c>
      <c r="H3067" s="3">
        <v>42136</v>
      </c>
      <c r="I3067" s="3">
        <v>42185</v>
      </c>
      <c r="J3067" s="3">
        <v>42181</v>
      </c>
      <c r="K3067" s="3">
        <v>42241</v>
      </c>
      <c r="L3067"/>
      <c r="N3067"/>
      <c r="O3067">
        <v>558</v>
      </c>
      <c r="P3067">
        <v>211</v>
      </c>
      <c r="Q3067" s="4">
        <v>117738</v>
      </c>
      <c r="R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 s="3">
        <v>42562</v>
      </c>
      <c r="AC3067" t="s">
        <v>53</v>
      </c>
      <c r="AD3067" t="s">
        <v>53</v>
      </c>
      <c r="AK3067">
        <v>0</v>
      </c>
      <c r="AU3067" s="3">
        <v>42452</v>
      </c>
      <c r="AV3067" s="3">
        <v>42452</v>
      </c>
      <c r="AW3067" t="s">
        <v>54</v>
      </c>
      <c r="AX3067" t="str">
        <f t="shared" si="358"/>
        <v>FOR</v>
      </c>
      <c r="AY3067" t="s">
        <v>55</v>
      </c>
    </row>
    <row r="3068" spans="1:51" hidden="1">
      <c r="A3068">
        <v>104243</v>
      </c>
      <c r="B3068" t="s">
        <v>377</v>
      </c>
      <c r="C3068" t="str">
        <f t="shared" si="360"/>
        <v>02426070120</v>
      </c>
      <c r="D3068" t="str">
        <f t="shared" si="361"/>
        <v>12300580151</v>
      </c>
      <c r="E3068" t="s">
        <v>52</v>
      </c>
      <c r="F3068">
        <v>2015</v>
      </c>
      <c r="G3068" t="str">
        <f>"            90008745"</f>
        <v xml:space="preserve">            90008745</v>
      </c>
      <c r="H3068" s="3">
        <v>42136</v>
      </c>
      <c r="I3068" s="3">
        <v>42185</v>
      </c>
      <c r="J3068" s="3">
        <v>42181</v>
      </c>
      <c r="K3068" s="3">
        <v>42241</v>
      </c>
      <c r="L3068"/>
      <c r="N3068"/>
      <c r="O3068">
        <v>496</v>
      </c>
      <c r="P3068">
        <v>211</v>
      </c>
      <c r="Q3068" s="4">
        <v>104656</v>
      </c>
      <c r="R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 s="3">
        <v>42562</v>
      </c>
      <c r="AC3068" t="s">
        <v>53</v>
      </c>
      <c r="AD3068" t="s">
        <v>53</v>
      </c>
      <c r="AK3068">
        <v>0</v>
      </c>
      <c r="AU3068" s="3">
        <v>42452</v>
      </c>
      <c r="AV3068" s="3">
        <v>42452</v>
      </c>
      <c r="AW3068" t="s">
        <v>54</v>
      </c>
      <c r="AX3068" t="str">
        <f t="shared" ref="AX3068:AX3098" si="362">"FOR"</f>
        <v>FOR</v>
      </c>
      <c r="AY3068" t="s">
        <v>55</v>
      </c>
    </row>
    <row r="3069" spans="1:51" hidden="1">
      <c r="A3069">
        <v>104243</v>
      </c>
      <c r="B3069" t="s">
        <v>377</v>
      </c>
      <c r="C3069" t="str">
        <f t="shared" si="360"/>
        <v>02426070120</v>
      </c>
      <c r="D3069" t="str">
        <f t="shared" si="361"/>
        <v>12300580151</v>
      </c>
      <c r="E3069" t="s">
        <v>52</v>
      </c>
      <c r="F3069">
        <v>2015</v>
      </c>
      <c r="G3069" t="str">
        <f>"            90009641"</f>
        <v xml:space="preserve">            90009641</v>
      </c>
      <c r="H3069" s="3">
        <v>42150</v>
      </c>
      <c r="I3069" s="3">
        <v>42185</v>
      </c>
      <c r="J3069" s="3">
        <v>42181</v>
      </c>
      <c r="K3069" s="3">
        <v>42241</v>
      </c>
      <c r="L3069"/>
      <c r="N3069"/>
      <c r="O3069" s="4">
        <v>1010</v>
      </c>
      <c r="P3069">
        <v>211</v>
      </c>
      <c r="Q3069" s="4">
        <v>213110</v>
      </c>
      <c r="R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 s="3">
        <v>42562</v>
      </c>
      <c r="AC3069" t="s">
        <v>53</v>
      </c>
      <c r="AD3069" t="s">
        <v>53</v>
      </c>
      <c r="AK3069">
        <v>0</v>
      </c>
      <c r="AU3069" s="3">
        <v>42452</v>
      </c>
      <c r="AV3069" s="3">
        <v>42452</v>
      </c>
      <c r="AW3069" t="s">
        <v>54</v>
      </c>
      <c r="AX3069" t="str">
        <f t="shared" si="362"/>
        <v>FOR</v>
      </c>
      <c r="AY3069" t="s">
        <v>55</v>
      </c>
    </row>
    <row r="3070" spans="1:51" hidden="1">
      <c r="A3070">
        <v>104243</v>
      </c>
      <c r="B3070" t="s">
        <v>377</v>
      </c>
      <c r="C3070" t="str">
        <f t="shared" si="360"/>
        <v>02426070120</v>
      </c>
      <c r="D3070" t="str">
        <f t="shared" si="361"/>
        <v>12300580151</v>
      </c>
      <c r="E3070" t="s">
        <v>52</v>
      </c>
      <c r="F3070">
        <v>2015</v>
      </c>
      <c r="G3070" t="str">
        <f>"            90009642"</f>
        <v xml:space="preserve">            90009642</v>
      </c>
      <c r="H3070" s="3">
        <v>42150</v>
      </c>
      <c r="I3070" s="3">
        <v>42185</v>
      </c>
      <c r="J3070" s="3">
        <v>42181</v>
      </c>
      <c r="K3070" s="3">
        <v>42241</v>
      </c>
      <c r="L3070"/>
      <c r="N3070"/>
      <c r="O3070">
        <v>480</v>
      </c>
      <c r="P3070">
        <v>211</v>
      </c>
      <c r="Q3070" s="4">
        <v>101280</v>
      </c>
      <c r="R3070">
        <v>0</v>
      </c>
      <c r="V3070">
        <v>0</v>
      </c>
      <c r="W3070">
        <v>0</v>
      </c>
      <c r="X3070">
        <v>0</v>
      </c>
      <c r="Y3070">
        <v>0</v>
      </c>
      <c r="Z3070">
        <v>0</v>
      </c>
      <c r="AA3070">
        <v>0</v>
      </c>
      <c r="AB3070" s="3">
        <v>42562</v>
      </c>
      <c r="AC3070" t="s">
        <v>53</v>
      </c>
      <c r="AD3070" t="s">
        <v>53</v>
      </c>
      <c r="AK3070">
        <v>0</v>
      </c>
      <c r="AU3070" s="3">
        <v>42452</v>
      </c>
      <c r="AV3070" s="3">
        <v>42452</v>
      </c>
      <c r="AW3070" t="s">
        <v>54</v>
      </c>
      <c r="AX3070" t="str">
        <f t="shared" si="362"/>
        <v>FOR</v>
      </c>
      <c r="AY3070" t="s">
        <v>55</v>
      </c>
    </row>
    <row r="3071" spans="1:51">
      <c r="A3071">
        <v>104243</v>
      </c>
      <c r="B3071" t="s">
        <v>377</v>
      </c>
      <c r="C3071" t="str">
        <f t="shared" si="360"/>
        <v>02426070120</v>
      </c>
      <c r="D3071" t="str">
        <f t="shared" si="361"/>
        <v>12300580151</v>
      </c>
      <c r="E3071" t="s">
        <v>52</v>
      </c>
      <c r="F3071">
        <v>2015</v>
      </c>
      <c r="G3071" t="str">
        <f>"            90010697"</f>
        <v xml:space="preserve">            90010697</v>
      </c>
      <c r="H3071" s="3">
        <v>42164</v>
      </c>
      <c r="I3071" s="3">
        <v>42185</v>
      </c>
      <c r="J3071" s="3">
        <v>42181</v>
      </c>
      <c r="K3071" s="3">
        <v>42241</v>
      </c>
      <c r="L3071" s="1">
        <v>480</v>
      </c>
      <c r="M3071">
        <v>286</v>
      </c>
      <c r="N3071" s="5">
        <v>137280</v>
      </c>
      <c r="O3071">
        <v>480</v>
      </c>
      <c r="P3071">
        <v>286</v>
      </c>
      <c r="Q3071" s="4">
        <v>137280</v>
      </c>
      <c r="R3071">
        <v>105.6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 s="3">
        <v>42562</v>
      </c>
      <c r="AC3071" t="s">
        <v>53</v>
      </c>
      <c r="AD3071" t="s">
        <v>53</v>
      </c>
      <c r="AK3071">
        <v>105.6</v>
      </c>
      <c r="AU3071" s="3">
        <v>42527</v>
      </c>
      <c r="AV3071" s="3">
        <v>42527</v>
      </c>
      <c r="AW3071" t="s">
        <v>54</v>
      </c>
      <c r="AX3071" t="str">
        <f t="shared" si="362"/>
        <v>FOR</v>
      </c>
      <c r="AY3071" t="s">
        <v>55</v>
      </c>
    </row>
    <row r="3072" spans="1:51">
      <c r="A3072">
        <v>104243</v>
      </c>
      <c r="B3072" t="s">
        <v>377</v>
      </c>
      <c r="C3072" t="str">
        <f t="shared" si="360"/>
        <v>02426070120</v>
      </c>
      <c r="D3072" t="str">
        <f t="shared" si="361"/>
        <v>12300580151</v>
      </c>
      <c r="E3072" t="s">
        <v>52</v>
      </c>
      <c r="F3072">
        <v>2015</v>
      </c>
      <c r="G3072" t="str">
        <f>"            90010698"</f>
        <v xml:space="preserve">            90010698</v>
      </c>
      <c r="H3072" s="3">
        <v>42164</v>
      </c>
      <c r="I3072" s="3">
        <v>42185</v>
      </c>
      <c r="J3072" s="3">
        <v>42181</v>
      </c>
      <c r="K3072" s="3">
        <v>42241</v>
      </c>
      <c r="L3072" s="1">
        <v>540</v>
      </c>
      <c r="M3072">
        <v>286</v>
      </c>
      <c r="N3072" s="5">
        <v>154440</v>
      </c>
      <c r="O3072">
        <v>540</v>
      </c>
      <c r="P3072">
        <v>286</v>
      </c>
      <c r="Q3072" s="4">
        <v>154440</v>
      </c>
      <c r="R3072">
        <v>118.8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 s="3">
        <v>42562</v>
      </c>
      <c r="AC3072" t="s">
        <v>53</v>
      </c>
      <c r="AD3072" t="s">
        <v>53</v>
      </c>
      <c r="AK3072">
        <v>118.8</v>
      </c>
      <c r="AU3072" s="3">
        <v>42527</v>
      </c>
      <c r="AV3072" s="3">
        <v>42527</v>
      </c>
      <c r="AW3072" t="s">
        <v>54</v>
      </c>
      <c r="AX3072" t="str">
        <f t="shared" si="362"/>
        <v>FOR</v>
      </c>
      <c r="AY3072" t="s">
        <v>55</v>
      </c>
    </row>
    <row r="3073" spans="1:51">
      <c r="A3073">
        <v>104243</v>
      </c>
      <c r="B3073" t="s">
        <v>377</v>
      </c>
      <c r="C3073" t="str">
        <f t="shared" si="360"/>
        <v>02426070120</v>
      </c>
      <c r="D3073" t="str">
        <f t="shared" si="361"/>
        <v>12300580151</v>
      </c>
      <c r="E3073" t="s">
        <v>52</v>
      </c>
      <c r="F3073">
        <v>2015</v>
      </c>
      <c r="G3073" t="str">
        <f>"            90010699"</f>
        <v xml:space="preserve">            90010699</v>
      </c>
      <c r="H3073" s="3">
        <v>42164</v>
      </c>
      <c r="I3073" s="3">
        <v>42185</v>
      </c>
      <c r="J3073" s="3">
        <v>42181</v>
      </c>
      <c r="K3073" s="3">
        <v>42241</v>
      </c>
      <c r="L3073" s="1">
        <v>960</v>
      </c>
      <c r="M3073">
        <v>286</v>
      </c>
      <c r="N3073" s="5">
        <v>274560</v>
      </c>
      <c r="O3073">
        <v>960</v>
      </c>
      <c r="P3073">
        <v>286</v>
      </c>
      <c r="Q3073" s="4">
        <v>274560</v>
      </c>
      <c r="R3073">
        <v>211.2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 s="3">
        <v>42562</v>
      </c>
      <c r="AC3073" t="s">
        <v>53</v>
      </c>
      <c r="AD3073" t="s">
        <v>53</v>
      </c>
      <c r="AK3073">
        <v>211.2</v>
      </c>
      <c r="AU3073" s="3">
        <v>42527</v>
      </c>
      <c r="AV3073" s="3">
        <v>42527</v>
      </c>
      <c r="AW3073" t="s">
        <v>54</v>
      </c>
      <c r="AX3073" t="str">
        <f t="shared" si="362"/>
        <v>FOR</v>
      </c>
      <c r="AY3073" t="s">
        <v>55</v>
      </c>
    </row>
    <row r="3074" spans="1:51">
      <c r="A3074">
        <v>104243</v>
      </c>
      <c r="B3074" t="s">
        <v>377</v>
      </c>
      <c r="C3074" t="str">
        <f t="shared" si="360"/>
        <v>02426070120</v>
      </c>
      <c r="D3074" t="str">
        <f t="shared" si="361"/>
        <v>12300580151</v>
      </c>
      <c r="E3074" t="s">
        <v>52</v>
      </c>
      <c r="F3074">
        <v>2015</v>
      </c>
      <c r="G3074" t="str">
        <f>"            90010781"</f>
        <v xml:space="preserve">            90010781</v>
      </c>
      <c r="H3074" s="3">
        <v>42165</v>
      </c>
      <c r="I3074" s="3">
        <v>42185</v>
      </c>
      <c r="J3074" s="3">
        <v>42181</v>
      </c>
      <c r="K3074" s="3">
        <v>42241</v>
      </c>
      <c r="L3074" s="5">
        <v>2020</v>
      </c>
      <c r="M3074">
        <v>286</v>
      </c>
      <c r="N3074" s="5">
        <v>577720</v>
      </c>
      <c r="O3074" s="4">
        <v>2020</v>
      </c>
      <c r="P3074">
        <v>286</v>
      </c>
      <c r="Q3074" s="4">
        <v>577720</v>
      </c>
      <c r="R3074">
        <v>444.4</v>
      </c>
      <c r="V3074">
        <v>0</v>
      </c>
      <c r="W3074">
        <v>0</v>
      </c>
      <c r="X3074">
        <v>0</v>
      </c>
      <c r="Y3074">
        <v>0</v>
      </c>
      <c r="Z3074">
        <v>0</v>
      </c>
      <c r="AA3074">
        <v>0</v>
      </c>
      <c r="AB3074" s="3">
        <v>42562</v>
      </c>
      <c r="AC3074" t="s">
        <v>53</v>
      </c>
      <c r="AD3074" t="s">
        <v>53</v>
      </c>
      <c r="AK3074">
        <v>444.4</v>
      </c>
      <c r="AU3074" s="3">
        <v>42527</v>
      </c>
      <c r="AV3074" s="3">
        <v>42527</v>
      </c>
      <c r="AW3074" t="s">
        <v>54</v>
      </c>
      <c r="AX3074" t="str">
        <f t="shared" si="362"/>
        <v>FOR</v>
      </c>
      <c r="AY3074" t="s">
        <v>55</v>
      </c>
    </row>
    <row r="3075" spans="1:51" hidden="1">
      <c r="A3075">
        <v>104253</v>
      </c>
      <c r="B3075" t="s">
        <v>378</v>
      </c>
      <c r="C3075" t="str">
        <f>"12575740159"</f>
        <v>12575740159</v>
      </c>
      <c r="D3075" t="str">
        <f>"97204800151"</f>
        <v>97204800151</v>
      </c>
      <c r="E3075" t="s">
        <v>52</v>
      </c>
      <c r="F3075">
        <v>2015</v>
      </c>
      <c r="G3075" t="str">
        <f>"          9031502105"</f>
        <v xml:space="preserve">          9031502105</v>
      </c>
      <c r="H3075" s="3">
        <v>42254</v>
      </c>
      <c r="I3075" s="3">
        <v>42265</v>
      </c>
      <c r="J3075" s="3">
        <v>42264</v>
      </c>
      <c r="K3075" s="3">
        <v>42324</v>
      </c>
      <c r="L3075"/>
      <c r="N3075"/>
      <c r="O3075" s="4">
        <v>1344</v>
      </c>
      <c r="P3075">
        <v>91</v>
      </c>
      <c r="Q3075" s="4">
        <v>122304</v>
      </c>
      <c r="R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 s="3">
        <v>42562</v>
      </c>
      <c r="AC3075" t="s">
        <v>53</v>
      </c>
      <c r="AD3075" t="s">
        <v>53</v>
      </c>
      <c r="AK3075">
        <v>0</v>
      </c>
      <c r="AU3075" s="3">
        <v>42415</v>
      </c>
      <c r="AV3075" s="3">
        <v>42415</v>
      </c>
      <c r="AW3075" t="s">
        <v>54</v>
      </c>
      <c r="AX3075" t="str">
        <f t="shared" si="362"/>
        <v>FOR</v>
      </c>
      <c r="AY3075" t="s">
        <v>55</v>
      </c>
    </row>
    <row r="3076" spans="1:51" hidden="1">
      <c r="A3076">
        <v>104253</v>
      </c>
      <c r="B3076" t="s">
        <v>378</v>
      </c>
      <c r="C3076" t="str">
        <f>"12575740159"</f>
        <v>12575740159</v>
      </c>
      <c r="D3076" t="str">
        <f>"97204800151"</f>
        <v>97204800151</v>
      </c>
      <c r="E3076" t="s">
        <v>52</v>
      </c>
      <c r="F3076">
        <v>2015</v>
      </c>
      <c r="G3076" t="str">
        <f>"          9031502366"</f>
        <v xml:space="preserve">          9031502366</v>
      </c>
      <c r="H3076" s="3">
        <v>42285</v>
      </c>
      <c r="I3076" s="3">
        <v>42296</v>
      </c>
      <c r="J3076" s="3">
        <v>42296</v>
      </c>
      <c r="K3076" s="3">
        <v>42356</v>
      </c>
      <c r="L3076"/>
      <c r="N3076"/>
      <c r="O3076">
        <v>672</v>
      </c>
      <c r="P3076">
        <v>59</v>
      </c>
      <c r="Q3076" s="4">
        <v>39648</v>
      </c>
      <c r="R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 s="3">
        <v>42562</v>
      </c>
      <c r="AC3076" t="s">
        <v>53</v>
      </c>
      <c r="AD3076" t="s">
        <v>53</v>
      </c>
      <c r="AK3076">
        <v>0</v>
      </c>
      <c r="AU3076" s="3">
        <v>42415</v>
      </c>
      <c r="AV3076" s="3">
        <v>42415</v>
      </c>
      <c r="AW3076" t="s">
        <v>54</v>
      </c>
      <c r="AX3076" t="str">
        <f t="shared" si="362"/>
        <v>FOR</v>
      </c>
      <c r="AY3076" t="s">
        <v>55</v>
      </c>
    </row>
    <row r="3077" spans="1:51">
      <c r="A3077">
        <v>104274</v>
      </c>
      <c r="B3077" t="s">
        <v>379</v>
      </c>
      <c r="C3077" t="str">
        <f>"01423300183"</f>
        <v>01423300183</v>
      </c>
      <c r="D3077" t="str">
        <f>""</f>
        <v/>
      </c>
      <c r="E3077" t="s">
        <v>52</v>
      </c>
      <c r="F3077">
        <v>2015</v>
      </c>
      <c r="G3077" t="str">
        <f>"             3401/PA"</f>
        <v xml:space="preserve">             3401/PA</v>
      </c>
      <c r="H3077" s="3">
        <v>42362</v>
      </c>
      <c r="I3077" s="3">
        <v>42368</v>
      </c>
      <c r="J3077" s="3">
        <v>42367</v>
      </c>
      <c r="K3077" s="3">
        <v>42427</v>
      </c>
      <c r="L3077" s="1">
        <v>423.55</v>
      </c>
      <c r="M3077">
        <v>65</v>
      </c>
      <c r="N3077" s="5">
        <v>27530.75</v>
      </c>
      <c r="O3077">
        <v>423.55</v>
      </c>
      <c r="P3077">
        <v>65</v>
      </c>
      <c r="Q3077" s="4">
        <v>27530.75</v>
      </c>
      <c r="R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 s="3">
        <v>42562</v>
      </c>
      <c r="AC3077" t="s">
        <v>53</v>
      </c>
      <c r="AD3077" t="s">
        <v>53</v>
      </c>
      <c r="AK3077">
        <v>0</v>
      </c>
      <c r="AU3077" s="3">
        <v>42492</v>
      </c>
      <c r="AV3077" s="3">
        <v>42492</v>
      </c>
      <c r="AW3077" t="s">
        <v>54</v>
      </c>
      <c r="AX3077" t="str">
        <f t="shared" si="362"/>
        <v>FOR</v>
      </c>
      <c r="AY3077" t="s">
        <v>55</v>
      </c>
    </row>
    <row r="3078" spans="1:51" hidden="1">
      <c r="A3078">
        <v>104285</v>
      </c>
      <c r="B3078" t="s">
        <v>380</v>
      </c>
      <c r="C3078" t="str">
        <f t="shared" ref="C3078:D3084" si="363">"01835220482"</f>
        <v>01835220482</v>
      </c>
      <c r="D3078" t="str">
        <f t="shared" si="363"/>
        <v>01835220482</v>
      </c>
      <c r="E3078" t="s">
        <v>52</v>
      </c>
      <c r="F3078">
        <v>2015</v>
      </c>
      <c r="G3078" t="str">
        <f>"                1404"</f>
        <v xml:space="preserve">                1404</v>
      </c>
      <c r="H3078" s="3">
        <v>42062</v>
      </c>
      <c r="I3078" s="3">
        <v>42089</v>
      </c>
      <c r="J3078" s="3">
        <v>42089</v>
      </c>
      <c r="K3078" s="3">
        <v>42149</v>
      </c>
      <c r="L3078"/>
      <c r="N3078"/>
      <c r="O3078" s="4">
        <v>1363.25</v>
      </c>
      <c r="P3078">
        <v>259</v>
      </c>
      <c r="Q3078" s="4">
        <v>353081.75</v>
      </c>
      <c r="R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 s="3">
        <v>42562</v>
      </c>
      <c r="AC3078" t="s">
        <v>53</v>
      </c>
      <c r="AD3078" t="s">
        <v>53</v>
      </c>
      <c r="AK3078">
        <v>0</v>
      </c>
      <c r="AU3078" s="3">
        <v>42408</v>
      </c>
      <c r="AV3078" s="3">
        <v>42408</v>
      </c>
      <c r="AW3078" t="s">
        <v>54</v>
      </c>
      <c r="AX3078" t="str">
        <f t="shared" si="362"/>
        <v>FOR</v>
      </c>
      <c r="AY3078" t="s">
        <v>55</v>
      </c>
    </row>
    <row r="3079" spans="1:51" hidden="1">
      <c r="A3079">
        <v>104285</v>
      </c>
      <c r="B3079" t="s">
        <v>380</v>
      </c>
      <c r="C3079" t="str">
        <f t="shared" si="363"/>
        <v>01835220482</v>
      </c>
      <c r="D3079" t="str">
        <f t="shared" si="363"/>
        <v>01835220482</v>
      </c>
      <c r="E3079" t="s">
        <v>52</v>
      </c>
      <c r="F3079">
        <v>2015</v>
      </c>
      <c r="G3079" t="str">
        <f>"           V90000552"</f>
        <v xml:space="preserve">           V90000552</v>
      </c>
      <c r="H3079" s="3">
        <v>42123</v>
      </c>
      <c r="I3079" s="3">
        <v>42128</v>
      </c>
      <c r="J3079" s="3">
        <v>42128</v>
      </c>
      <c r="K3079" s="3">
        <v>42188</v>
      </c>
      <c r="L3079"/>
      <c r="N3079"/>
      <c r="O3079">
        <v>717.5</v>
      </c>
      <c r="P3079">
        <v>227</v>
      </c>
      <c r="Q3079" s="4">
        <v>162872.5</v>
      </c>
      <c r="R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 s="3">
        <v>42562</v>
      </c>
      <c r="AC3079" t="s">
        <v>53</v>
      </c>
      <c r="AD3079" t="s">
        <v>53</v>
      </c>
      <c r="AK3079">
        <v>0</v>
      </c>
      <c r="AU3079" s="3">
        <v>42415</v>
      </c>
      <c r="AV3079" s="3">
        <v>42415</v>
      </c>
      <c r="AW3079" t="s">
        <v>54</v>
      </c>
      <c r="AX3079" t="str">
        <f t="shared" si="362"/>
        <v>FOR</v>
      </c>
      <c r="AY3079" t="s">
        <v>55</v>
      </c>
    </row>
    <row r="3080" spans="1:51" hidden="1">
      <c r="A3080">
        <v>104285</v>
      </c>
      <c r="B3080" t="s">
        <v>380</v>
      </c>
      <c r="C3080" t="str">
        <f t="shared" si="363"/>
        <v>01835220482</v>
      </c>
      <c r="D3080" t="str">
        <f t="shared" si="363"/>
        <v>01835220482</v>
      </c>
      <c r="E3080" t="s">
        <v>52</v>
      </c>
      <c r="F3080">
        <v>2015</v>
      </c>
      <c r="G3080" t="str">
        <f>"           V90001228"</f>
        <v xml:space="preserve">           V90001228</v>
      </c>
      <c r="H3080" s="3">
        <v>42152</v>
      </c>
      <c r="I3080" s="3">
        <v>42160</v>
      </c>
      <c r="J3080" s="3">
        <v>42152</v>
      </c>
      <c r="K3080" s="3">
        <v>42212</v>
      </c>
      <c r="L3080"/>
      <c r="N3080"/>
      <c r="O3080">
        <v>205.2</v>
      </c>
      <c r="P3080">
        <v>203</v>
      </c>
      <c r="Q3080" s="4">
        <v>41655.599999999999</v>
      </c>
      <c r="R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 s="3">
        <v>42562</v>
      </c>
      <c r="AC3080" t="s">
        <v>53</v>
      </c>
      <c r="AD3080" t="s">
        <v>53</v>
      </c>
      <c r="AK3080">
        <v>0</v>
      </c>
      <c r="AU3080" s="3">
        <v>42415</v>
      </c>
      <c r="AV3080" s="3">
        <v>42415</v>
      </c>
      <c r="AW3080" t="s">
        <v>54</v>
      </c>
      <c r="AX3080" t="str">
        <f t="shared" si="362"/>
        <v>FOR</v>
      </c>
      <c r="AY3080" t="s">
        <v>55</v>
      </c>
    </row>
    <row r="3081" spans="1:51" hidden="1">
      <c r="A3081">
        <v>104285</v>
      </c>
      <c r="B3081" t="s">
        <v>380</v>
      </c>
      <c r="C3081" t="str">
        <f t="shared" si="363"/>
        <v>01835220482</v>
      </c>
      <c r="D3081" t="str">
        <f t="shared" si="363"/>
        <v>01835220482</v>
      </c>
      <c r="E3081" t="s">
        <v>52</v>
      </c>
      <c r="F3081">
        <v>2015</v>
      </c>
      <c r="G3081" t="str">
        <f>"           V90002125"</f>
        <v xml:space="preserve">           V90002125</v>
      </c>
      <c r="H3081" s="3">
        <v>42185</v>
      </c>
      <c r="I3081" s="3">
        <v>42191</v>
      </c>
      <c r="J3081" s="3">
        <v>42186</v>
      </c>
      <c r="K3081" s="3">
        <v>42246</v>
      </c>
      <c r="L3081"/>
      <c r="N3081"/>
      <c r="O3081" s="4">
        <v>1435</v>
      </c>
      <c r="P3081">
        <v>169</v>
      </c>
      <c r="Q3081" s="4">
        <v>242515</v>
      </c>
      <c r="R3081">
        <v>0</v>
      </c>
      <c r="V3081">
        <v>0</v>
      </c>
      <c r="W3081">
        <v>0</v>
      </c>
      <c r="X3081">
        <v>0</v>
      </c>
      <c r="Y3081">
        <v>0</v>
      </c>
      <c r="Z3081">
        <v>0</v>
      </c>
      <c r="AA3081">
        <v>0</v>
      </c>
      <c r="AB3081" s="3">
        <v>42562</v>
      </c>
      <c r="AC3081" t="s">
        <v>53</v>
      </c>
      <c r="AD3081" t="s">
        <v>53</v>
      </c>
      <c r="AK3081">
        <v>0</v>
      </c>
      <c r="AU3081" s="3">
        <v>42415</v>
      </c>
      <c r="AV3081" s="3">
        <v>42415</v>
      </c>
      <c r="AW3081" t="s">
        <v>54</v>
      </c>
      <c r="AX3081" t="str">
        <f t="shared" si="362"/>
        <v>FOR</v>
      </c>
      <c r="AY3081" t="s">
        <v>55</v>
      </c>
    </row>
    <row r="3082" spans="1:51" hidden="1">
      <c r="A3082">
        <v>104285</v>
      </c>
      <c r="B3082" t="s">
        <v>380</v>
      </c>
      <c r="C3082" t="str">
        <f t="shared" si="363"/>
        <v>01835220482</v>
      </c>
      <c r="D3082" t="str">
        <f t="shared" si="363"/>
        <v>01835220482</v>
      </c>
      <c r="E3082" t="s">
        <v>52</v>
      </c>
      <c r="F3082">
        <v>2015</v>
      </c>
      <c r="G3082" t="str">
        <f>"           V90004064"</f>
        <v xml:space="preserve">           V90004064</v>
      </c>
      <c r="H3082" s="3">
        <v>42276</v>
      </c>
      <c r="I3082" s="3">
        <v>42277</v>
      </c>
      <c r="J3082" s="3">
        <v>42276</v>
      </c>
      <c r="K3082" s="3">
        <v>42336</v>
      </c>
      <c r="L3082"/>
      <c r="N3082"/>
      <c r="O3082">
        <v>717.5</v>
      </c>
      <c r="P3082">
        <v>79</v>
      </c>
      <c r="Q3082" s="4">
        <v>56682.5</v>
      </c>
      <c r="R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 s="3">
        <v>42562</v>
      </c>
      <c r="AC3082" t="s">
        <v>53</v>
      </c>
      <c r="AD3082" t="s">
        <v>53</v>
      </c>
      <c r="AK3082">
        <v>0</v>
      </c>
      <c r="AU3082" s="3">
        <v>42415</v>
      </c>
      <c r="AV3082" s="3">
        <v>42415</v>
      </c>
      <c r="AW3082" t="s">
        <v>54</v>
      </c>
      <c r="AX3082" t="str">
        <f t="shared" si="362"/>
        <v>FOR</v>
      </c>
      <c r="AY3082" t="s">
        <v>55</v>
      </c>
    </row>
    <row r="3083" spans="1:51" hidden="1">
      <c r="A3083">
        <v>104285</v>
      </c>
      <c r="B3083" t="s">
        <v>380</v>
      </c>
      <c r="C3083" t="str">
        <f t="shared" si="363"/>
        <v>01835220482</v>
      </c>
      <c r="D3083" t="str">
        <f t="shared" si="363"/>
        <v>01835220482</v>
      </c>
      <c r="E3083" t="s">
        <v>52</v>
      </c>
      <c r="F3083">
        <v>2015</v>
      </c>
      <c r="G3083" t="str">
        <f>"           V90006005"</f>
        <v xml:space="preserve">           V90006005</v>
      </c>
      <c r="H3083" s="3">
        <v>42360</v>
      </c>
      <c r="I3083" s="3">
        <v>42361</v>
      </c>
      <c r="J3083" s="3">
        <v>42361</v>
      </c>
      <c r="K3083" s="3">
        <v>42421</v>
      </c>
      <c r="L3083"/>
      <c r="N3083"/>
      <c r="O3083" s="4">
        <v>1004.5</v>
      </c>
      <c r="P3083">
        <v>-6</v>
      </c>
      <c r="Q3083" s="4">
        <v>-6027</v>
      </c>
      <c r="R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 s="3">
        <v>42562</v>
      </c>
      <c r="AC3083" t="s">
        <v>53</v>
      </c>
      <c r="AD3083" t="s">
        <v>53</v>
      </c>
      <c r="AK3083">
        <v>0</v>
      </c>
      <c r="AU3083" s="3">
        <v>42415</v>
      </c>
      <c r="AV3083" s="3">
        <v>42415</v>
      </c>
      <c r="AW3083" t="s">
        <v>54</v>
      </c>
      <c r="AX3083" t="str">
        <f t="shared" si="362"/>
        <v>FOR</v>
      </c>
      <c r="AY3083" t="s">
        <v>55</v>
      </c>
    </row>
    <row r="3084" spans="1:51">
      <c r="A3084">
        <v>104285</v>
      </c>
      <c r="B3084" t="s">
        <v>380</v>
      </c>
      <c r="C3084" t="str">
        <f t="shared" si="363"/>
        <v>01835220482</v>
      </c>
      <c r="D3084" t="str">
        <f t="shared" si="363"/>
        <v>01835220482</v>
      </c>
      <c r="E3084" t="s">
        <v>52</v>
      </c>
      <c r="F3084">
        <v>2016</v>
      </c>
      <c r="G3084" t="str">
        <f>"           V90000330"</f>
        <v xml:space="preserve">           V90000330</v>
      </c>
      <c r="H3084" s="3">
        <v>42398</v>
      </c>
      <c r="I3084" s="3">
        <v>42410</v>
      </c>
      <c r="J3084" s="3">
        <v>42401</v>
      </c>
      <c r="K3084" s="3">
        <v>42461</v>
      </c>
      <c r="L3084" s="5">
        <v>1291.5</v>
      </c>
      <c r="M3084">
        <v>59</v>
      </c>
      <c r="N3084" s="5">
        <v>76198.5</v>
      </c>
      <c r="O3084" s="4">
        <v>1291.5</v>
      </c>
      <c r="P3084">
        <v>59</v>
      </c>
      <c r="Q3084" s="4">
        <v>76198.5</v>
      </c>
      <c r="R3084">
        <v>0</v>
      </c>
      <c r="V3084">
        <v>0</v>
      </c>
      <c r="W3084">
        <v>0</v>
      </c>
      <c r="X3084">
        <v>0</v>
      </c>
      <c r="Y3084" s="4">
        <v>1575.63</v>
      </c>
      <c r="Z3084" s="4">
        <v>1575.63</v>
      </c>
      <c r="AA3084" s="4">
        <v>1575.63</v>
      </c>
      <c r="AB3084" s="3">
        <v>42562</v>
      </c>
      <c r="AC3084" t="s">
        <v>53</v>
      </c>
      <c r="AD3084" t="s">
        <v>53</v>
      </c>
      <c r="AK3084">
        <v>0</v>
      </c>
      <c r="AU3084" s="3">
        <v>42520</v>
      </c>
      <c r="AV3084" s="3">
        <v>42520</v>
      </c>
      <c r="AW3084" t="s">
        <v>54</v>
      </c>
      <c r="AX3084" t="str">
        <f t="shared" si="362"/>
        <v>FOR</v>
      </c>
      <c r="AY3084" t="s">
        <v>55</v>
      </c>
    </row>
    <row r="3085" spans="1:51" hidden="1">
      <c r="A3085">
        <v>104296</v>
      </c>
      <c r="B3085" t="s">
        <v>381</v>
      </c>
      <c r="C3085" t="str">
        <f>"03663500969"</f>
        <v>03663500969</v>
      </c>
      <c r="D3085" t="str">
        <f>"93027710016"</f>
        <v>93027710016</v>
      </c>
      <c r="E3085" t="s">
        <v>52</v>
      </c>
      <c r="F3085">
        <v>2015</v>
      </c>
      <c r="G3085" t="str">
        <f>"            15302376"</f>
        <v xml:space="preserve">            15302376</v>
      </c>
      <c r="H3085" s="3">
        <v>42173</v>
      </c>
      <c r="I3085" s="3">
        <v>42265</v>
      </c>
      <c r="J3085" s="3">
        <v>42265</v>
      </c>
      <c r="K3085" s="3">
        <v>42325</v>
      </c>
      <c r="L3085"/>
      <c r="N3085"/>
      <c r="O3085" s="4">
        <v>47972.959999999999</v>
      </c>
      <c r="P3085">
        <v>76</v>
      </c>
      <c r="Q3085" s="4">
        <v>3645944.96</v>
      </c>
      <c r="R3085">
        <v>0</v>
      </c>
      <c r="V3085">
        <v>0</v>
      </c>
      <c r="W3085">
        <v>0</v>
      </c>
      <c r="X3085">
        <v>0</v>
      </c>
      <c r="Y3085">
        <v>0</v>
      </c>
      <c r="Z3085">
        <v>0</v>
      </c>
      <c r="AA3085">
        <v>0</v>
      </c>
      <c r="AB3085" s="3">
        <v>42562</v>
      </c>
      <c r="AC3085" t="s">
        <v>53</v>
      </c>
      <c r="AD3085" t="s">
        <v>53</v>
      </c>
      <c r="AK3085">
        <v>0</v>
      </c>
      <c r="AU3085" s="3">
        <v>42401</v>
      </c>
      <c r="AV3085" s="3">
        <v>42401</v>
      </c>
      <c r="AW3085" t="s">
        <v>54</v>
      </c>
      <c r="AX3085" t="str">
        <f t="shared" si="362"/>
        <v>FOR</v>
      </c>
      <c r="AY3085" t="s">
        <v>55</v>
      </c>
    </row>
    <row r="3086" spans="1:51" hidden="1">
      <c r="A3086">
        <v>104296</v>
      </c>
      <c r="B3086" t="s">
        <v>381</v>
      </c>
      <c r="C3086" t="str">
        <f>"03663500969"</f>
        <v>03663500969</v>
      </c>
      <c r="D3086" t="str">
        <f>"93027710016"</f>
        <v>93027710016</v>
      </c>
      <c r="E3086" t="s">
        <v>52</v>
      </c>
      <c r="F3086">
        <v>2015</v>
      </c>
      <c r="G3086" t="str">
        <f>"            B2001081"</f>
        <v xml:space="preserve">            B2001081</v>
      </c>
      <c r="H3086" s="3">
        <v>42167</v>
      </c>
      <c r="I3086" s="3">
        <v>42230</v>
      </c>
      <c r="J3086" s="3">
        <v>42226</v>
      </c>
      <c r="K3086" s="3">
        <v>42286</v>
      </c>
      <c r="L3086"/>
      <c r="N3086"/>
      <c r="O3086" s="4">
        <v>13227.28</v>
      </c>
      <c r="P3086">
        <v>130</v>
      </c>
      <c r="Q3086" s="4">
        <v>1719546.4</v>
      </c>
      <c r="R3086">
        <v>0</v>
      </c>
      <c r="V3086">
        <v>0</v>
      </c>
      <c r="W3086">
        <v>0</v>
      </c>
      <c r="X3086">
        <v>0</v>
      </c>
      <c r="Y3086">
        <v>0</v>
      </c>
      <c r="Z3086">
        <v>0</v>
      </c>
      <c r="AA3086">
        <v>0</v>
      </c>
      <c r="AB3086" s="3">
        <v>42562</v>
      </c>
      <c r="AC3086" t="s">
        <v>53</v>
      </c>
      <c r="AD3086" t="s">
        <v>53</v>
      </c>
      <c r="AK3086">
        <v>0</v>
      </c>
      <c r="AU3086" s="3">
        <v>42416</v>
      </c>
      <c r="AV3086" s="3">
        <v>42416</v>
      </c>
      <c r="AW3086" t="s">
        <v>54</v>
      </c>
      <c r="AX3086" t="str">
        <f t="shared" si="362"/>
        <v>FOR</v>
      </c>
      <c r="AY3086" t="s">
        <v>55</v>
      </c>
    </row>
    <row r="3087" spans="1:51" hidden="1">
      <c r="A3087">
        <v>104297</v>
      </c>
      <c r="B3087" t="s">
        <v>382</v>
      </c>
      <c r="C3087" t="str">
        <f t="shared" ref="C3087:D3093" si="364">"01282940681"</f>
        <v>01282940681</v>
      </c>
      <c r="D3087" t="str">
        <f t="shared" si="364"/>
        <v>01282940681</v>
      </c>
      <c r="E3087" t="s">
        <v>52</v>
      </c>
      <c r="F3087">
        <v>2015</v>
      </c>
      <c r="G3087" t="str">
        <f>"                1825"</f>
        <v xml:space="preserve">                1825</v>
      </c>
      <c r="H3087" s="3">
        <v>42338</v>
      </c>
      <c r="I3087" s="3">
        <v>42353</v>
      </c>
      <c r="J3087" s="3">
        <v>42352</v>
      </c>
      <c r="K3087" s="3">
        <v>42412</v>
      </c>
      <c r="L3087"/>
      <c r="N3087"/>
      <c r="O3087" s="4">
        <v>1229.51</v>
      </c>
      <c r="P3087">
        <v>40</v>
      </c>
      <c r="Q3087" s="4">
        <v>49180.4</v>
      </c>
      <c r="R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 s="3">
        <v>42562</v>
      </c>
      <c r="AC3087" t="s">
        <v>53</v>
      </c>
      <c r="AD3087" t="s">
        <v>53</v>
      </c>
      <c r="AK3087">
        <v>0</v>
      </c>
      <c r="AU3087" s="3">
        <v>42452</v>
      </c>
      <c r="AV3087" s="3">
        <v>42452</v>
      </c>
      <c r="AW3087" t="s">
        <v>54</v>
      </c>
      <c r="AX3087" t="str">
        <f t="shared" si="362"/>
        <v>FOR</v>
      </c>
      <c r="AY3087" t="s">
        <v>55</v>
      </c>
    </row>
    <row r="3088" spans="1:51" hidden="1">
      <c r="A3088">
        <v>104297</v>
      </c>
      <c r="B3088" t="s">
        <v>382</v>
      </c>
      <c r="C3088" t="str">
        <f t="shared" si="364"/>
        <v>01282940681</v>
      </c>
      <c r="D3088" t="str">
        <f t="shared" si="364"/>
        <v>01282940681</v>
      </c>
      <c r="E3088" t="s">
        <v>52</v>
      </c>
      <c r="F3088">
        <v>2015</v>
      </c>
      <c r="G3088" t="str">
        <f>"                1826"</f>
        <v xml:space="preserve">                1826</v>
      </c>
      <c r="H3088" s="3">
        <v>42338</v>
      </c>
      <c r="I3088" s="3">
        <v>42353</v>
      </c>
      <c r="J3088" s="3">
        <v>42352</v>
      </c>
      <c r="K3088" s="3">
        <v>42412</v>
      </c>
      <c r="L3088"/>
      <c r="N3088"/>
      <c r="O3088">
        <v>312.08999999999997</v>
      </c>
      <c r="P3088">
        <v>40</v>
      </c>
      <c r="Q3088" s="4">
        <v>12483.6</v>
      </c>
      <c r="R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 s="3">
        <v>42562</v>
      </c>
      <c r="AC3088" t="s">
        <v>53</v>
      </c>
      <c r="AD3088" t="s">
        <v>53</v>
      </c>
      <c r="AK3088">
        <v>0</v>
      </c>
      <c r="AU3088" s="3">
        <v>42452</v>
      </c>
      <c r="AV3088" s="3">
        <v>42452</v>
      </c>
      <c r="AW3088" t="s">
        <v>54</v>
      </c>
      <c r="AX3088" t="str">
        <f t="shared" si="362"/>
        <v>FOR</v>
      </c>
      <c r="AY3088" t="s">
        <v>55</v>
      </c>
    </row>
    <row r="3089" spans="1:51" hidden="1">
      <c r="A3089">
        <v>104297</v>
      </c>
      <c r="B3089" t="s">
        <v>382</v>
      </c>
      <c r="C3089" t="str">
        <f t="shared" si="364"/>
        <v>01282940681</v>
      </c>
      <c r="D3089" t="str">
        <f t="shared" si="364"/>
        <v>01282940681</v>
      </c>
      <c r="E3089" t="s">
        <v>52</v>
      </c>
      <c r="F3089">
        <v>2015</v>
      </c>
      <c r="G3089" t="str">
        <f>"                1842"</f>
        <v xml:space="preserve">                1842</v>
      </c>
      <c r="H3089" s="3">
        <v>42341</v>
      </c>
      <c r="I3089" s="3">
        <v>42354</v>
      </c>
      <c r="J3089" s="3">
        <v>42352</v>
      </c>
      <c r="K3089" s="3">
        <v>42412</v>
      </c>
      <c r="L3089"/>
      <c r="N3089"/>
      <c r="O3089">
        <v>780</v>
      </c>
      <c r="P3089">
        <v>40</v>
      </c>
      <c r="Q3089" s="4">
        <v>31200</v>
      </c>
      <c r="R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 s="3">
        <v>42562</v>
      </c>
      <c r="AC3089" t="s">
        <v>53</v>
      </c>
      <c r="AD3089" t="s">
        <v>53</v>
      </c>
      <c r="AK3089">
        <v>0</v>
      </c>
      <c r="AU3089" s="3">
        <v>42452</v>
      </c>
      <c r="AV3089" s="3">
        <v>42452</v>
      </c>
      <c r="AW3089" t="s">
        <v>54</v>
      </c>
      <c r="AX3089" t="str">
        <f t="shared" si="362"/>
        <v>FOR</v>
      </c>
      <c r="AY3089" t="s">
        <v>55</v>
      </c>
    </row>
    <row r="3090" spans="1:51" hidden="1">
      <c r="A3090">
        <v>104297</v>
      </c>
      <c r="B3090" t="s">
        <v>382</v>
      </c>
      <c r="C3090" t="str">
        <f t="shared" si="364"/>
        <v>01282940681</v>
      </c>
      <c r="D3090" t="str">
        <f t="shared" si="364"/>
        <v>01282940681</v>
      </c>
      <c r="E3090" t="s">
        <v>52</v>
      </c>
      <c r="F3090">
        <v>2015</v>
      </c>
      <c r="G3090" t="str">
        <f>"                1870"</f>
        <v xml:space="preserve">                1870</v>
      </c>
      <c r="H3090" s="3">
        <v>42347</v>
      </c>
      <c r="I3090" s="3">
        <v>42354</v>
      </c>
      <c r="J3090" s="3">
        <v>42352</v>
      </c>
      <c r="K3090" s="3">
        <v>42412</v>
      </c>
      <c r="L3090"/>
      <c r="N3090"/>
      <c r="O3090">
        <v>215</v>
      </c>
      <c r="P3090">
        <v>40</v>
      </c>
      <c r="Q3090" s="4">
        <v>8600</v>
      </c>
      <c r="R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 s="3">
        <v>42562</v>
      </c>
      <c r="AC3090" t="s">
        <v>53</v>
      </c>
      <c r="AD3090" t="s">
        <v>53</v>
      </c>
      <c r="AK3090">
        <v>0</v>
      </c>
      <c r="AU3090" s="3">
        <v>42452</v>
      </c>
      <c r="AV3090" s="3">
        <v>42452</v>
      </c>
      <c r="AW3090" t="s">
        <v>54</v>
      </c>
      <c r="AX3090" t="str">
        <f t="shared" si="362"/>
        <v>FOR</v>
      </c>
      <c r="AY3090" t="s">
        <v>55</v>
      </c>
    </row>
    <row r="3091" spans="1:51">
      <c r="A3091">
        <v>104297</v>
      </c>
      <c r="B3091" t="s">
        <v>382</v>
      </c>
      <c r="C3091" t="str">
        <f t="shared" si="364"/>
        <v>01282940681</v>
      </c>
      <c r="D3091" t="str">
        <f t="shared" si="364"/>
        <v>01282940681</v>
      </c>
      <c r="E3091" t="s">
        <v>52</v>
      </c>
      <c r="F3091">
        <v>2016</v>
      </c>
      <c r="G3091" t="str">
        <f>"                  90"</f>
        <v xml:space="preserve">                  90</v>
      </c>
      <c r="H3091" s="3">
        <v>42398</v>
      </c>
      <c r="I3091" s="3">
        <v>42410</v>
      </c>
      <c r="J3091" s="3">
        <v>42404</v>
      </c>
      <c r="K3091" s="3">
        <v>42464</v>
      </c>
      <c r="L3091" s="1">
        <v>688.8</v>
      </c>
      <c r="M3091">
        <v>56</v>
      </c>
      <c r="N3091" s="5">
        <v>38572.800000000003</v>
      </c>
      <c r="O3091">
        <v>688.8</v>
      </c>
      <c r="P3091">
        <v>56</v>
      </c>
      <c r="Q3091" s="4">
        <v>38572.800000000003</v>
      </c>
      <c r="R3091">
        <v>0</v>
      </c>
      <c r="V3091">
        <v>0</v>
      </c>
      <c r="W3091">
        <v>0</v>
      </c>
      <c r="X3091">
        <v>0</v>
      </c>
      <c r="Y3091">
        <v>716.35</v>
      </c>
      <c r="Z3091">
        <v>716.35</v>
      </c>
      <c r="AA3091">
        <v>716.35</v>
      </c>
      <c r="AB3091" s="3">
        <v>42562</v>
      </c>
      <c r="AC3091" t="s">
        <v>53</v>
      </c>
      <c r="AD3091" t="s">
        <v>53</v>
      </c>
      <c r="AK3091">
        <v>0</v>
      </c>
      <c r="AU3091" s="3">
        <v>42520</v>
      </c>
      <c r="AV3091" s="3">
        <v>42520</v>
      </c>
      <c r="AW3091" t="s">
        <v>54</v>
      </c>
      <c r="AX3091" t="str">
        <f t="shared" si="362"/>
        <v>FOR</v>
      </c>
      <c r="AY3091" t="s">
        <v>55</v>
      </c>
    </row>
    <row r="3092" spans="1:51">
      <c r="A3092">
        <v>104297</v>
      </c>
      <c r="B3092" t="s">
        <v>382</v>
      </c>
      <c r="C3092" t="str">
        <f t="shared" si="364"/>
        <v>01282940681</v>
      </c>
      <c r="D3092" t="str">
        <f t="shared" si="364"/>
        <v>01282940681</v>
      </c>
      <c r="E3092" t="s">
        <v>52</v>
      </c>
      <c r="F3092">
        <v>2016</v>
      </c>
      <c r="G3092" t="str">
        <f>"                 169"</f>
        <v xml:space="preserve">                 169</v>
      </c>
      <c r="H3092" s="3">
        <v>42411</v>
      </c>
      <c r="I3092" s="3">
        <v>42422</v>
      </c>
      <c r="J3092" s="3">
        <v>42417</v>
      </c>
      <c r="K3092" s="3">
        <v>42477</v>
      </c>
      <c r="L3092" s="1">
        <v>211.2</v>
      </c>
      <c r="M3092">
        <v>43</v>
      </c>
      <c r="N3092" s="5">
        <v>9081.6</v>
      </c>
      <c r="O3092">
        <v>211.2</v>
      </c>
      <c r="P3092">
        <v>43</v>
      </c>
      <c r="Q3092" s="4">
        <v>9081.6</v>
      </c>
      <c r="R3092">
        <v>0</v>
      </c>
      <c r="V3092">
        <v>0</v>
      </c>
      <c r="W3092">
        <v>0</v>
      </c>
      <c r="X3092">
        <v>0</v>
      </c>
      <c r="Y3092">
        <v>219.65</v>
      </c>
      <c r="Z3092">
        <v>219.65</v>
      </c>
      <c r="AA3092">
        <v>219.65</v>
      </c>
      <c r="AB3092" s="3">
        <v>42562</v>
      </c>
      <c r="AC3092" t="s">
        <v>53</v>
      </c>
      <c r="AD3092" t="s">
        <v>53</v>
      </c>
      <c r="AK3092">
        <v>0</v>
      </c>
      <c r="AU3092" s="3">
        <v>42520</v>
      </c>
      <c r="AV3092" s="3">
        <v>42520</v>
      </c>
      <c r="AW3092" t="s">
        <v>54</v>
      </c>
      <c r="AX3092" t="str">
        <f t="shared" si="362"/>
        <v>FOR</v>
      </c>
      <c r="AY3092" t="s">
        <v>55</v>
      </c>
    </row>
    <row r="3093" spans="1:51">
      <c r="A3093">
        <v>104297</v>
      </c>
      <c r="B3093" t="s">
        <v>382</v>
      </c>
      <c r="C3093" t="str">
        <f t="shared" si="364"/>
        <v>01282940681</v>
      </c>
      <c r="D3093" t="str">
        <f t="shared" si="364"/>
        <v>01282940681</v>
      </c>
      <c r="E3093" t="s">
        <v>52</v>
      </c>
      <c r="F3093">
        <v>2016</v>
      </c>
      <c r="G3093" t="str">
        <f>"                 276"</f>
        <v xml:space="preserve">                 276</v>
      </c>
      <c r="H3093" s="3">
        <v>42429</v>
      </c>
      <c r="I3093" s="3">
        <v>42436</v>
      </c>
      <c r="J3093" s="3">
        <v>42434</v>
      </c>
      <c r="K3093" s="3">
        <v>42494</v>
      </c>
      <c r="L3093" s="5">
        <v>1854</v>
      </c>
      <c r="M3093">
        <v>26</v>
      </c>
      <c r="N3093" s="5">
        <v>48204</v>
      </c>
      <c r="O3093" s="4">
        <v>1854</v>
      </c>
      <c r="P3093">
        <v>26</v>
      </c>
      <c r="Q3093" s="4">
        <v>48204</v>
      </c>
      <c r="R3093">
        <v>0</v>
      </c>
      <c r="V3093">
        <v>0</v>
      </c>
      <c r="W3093">
        <v>0</v>
      </c>
      <c r="X3093">
        <v>0</v>
      </c>
      <c r="Y3093" s="4">
        <v>2261.88</v>
      </c>
      <c r="Z3093" s="4">
        <v>2261.88</v>
      </c>
      <c r="AA3093" s="4">
        <v>2261.88</v>
      </c>
      <c r="AB3093" s="3">
        <v>42562</v>
      </c>
      <c r="AC3093" t="s">
        <v>53</v>
      </c>
      <c r="AD3093" t="s">
        <v>53</v>
      </c>
      <c r="AK3093">
        <v>0</v>
      </c>
      <c r="AU3093" s="3">
        <v>42520</v>
      </c>
      <c r="AV3093" s="3">
        <v>42520</v>
      </c>
      <c r="AW3093" t="s">
        <v>54</v>
      </c>
      <c r="AX3093" t="str">
        <f t="shared" si="362"/>
        <v>FOR</v>
      </c>
      <c r="AY3093" t="s">
        <v>55</v>
      </c>
    </row>
    <row r="3094" spans="1:51">
      <c r="A3094">
        <v>104311</v>
      </c>
      <c r="B3094" t="s">
        <v>383</v>
      </c>
      <c r="C3094" t="str">
        <f>"06202160013"</f>
        <v>06202160013</v>
      </c>
      <c r="D3094" t="str">
        <f>"06202160013"</f>
        <v>06202160013</v>
      </c>
      <c r="E3094" t="s">
        <v>52</v>
      </c>
      <c r="F3094">
        <v>2015</v>
      </c>
      <c r="G3094" t="str">
        <f>"                 174"</f>
        <v xml:space="preserve">                 174</v>
      </c>
      <c r="H3094" s="3">
        <v>42185</v>
      </c>
      <c r="I3094" s="3">
        <v>42191</v>
      </c>
      <c r="J3094" s="3">
        <v>42190</v>
      </c>
      <c r="K3094" s="3">
        <v>42250</v>
      </c>
      <c r="L3094" s="5">
        <v>9740</v>
      </c>
      <c r="M3094">
        <v>237</v>
      </c>
      <c r="N3094" s="5">
        <v>2308380</v>
      </c>
      <c r="O3094" s="4">
        <v>9740</v>
      </c>
      <c r="P3094">
        <v>237</v>
      </c>
      <c r="Q3094" s="4">
        <v>2308380</v>
      </c>
      <c r="R3094">
        <v>0</v>
      </c>
      <c r="V3094">
        <v>0</v>
      </c>
      <c r="W3094">
        <v>0</v>
      </c>
      <c r="X3094">
        <v>0</v>
      </c>
      <c r="Y3094">
        <v>0</v>
      </c>
      <c r="Z3094">
        <v>0</v>
      </c>
      <c r="AA3094">
        <v>0</v>
      </c>
      <c r="AB3094" s="3">
        <v>42562</v>
      </c>
      <c r="AC3094" t="s">
        <v>53</v>
      </c>
      <c r="AD3094" t="s">
        <v>53</v>
      </c>
      <c r="AK3094">
        <v>0</v>
      </c>
      <c r="AU3094" s="3">
        <v>42487</v>
      </c>
      <c r="AV3094" s="3">
        <v>42487</v>
      </c>
      <c r="AW3094" t="s">
        <v>54</v>
      </c>
      <c r="AX3094" t="str">
        <f t="shared" si="362"/>
        <v>FOR</v>
      </c>
      <c r="AY3094" t="s">
        <v>55</v>
      </c>
    </row>
    <row r="3095" spans="1:51" hidden="1">
      <c r="A3095">
        <v>104316</v>
      </c>
      <c r="B3095" t="s">
        <v>384</v>
      </c>
      <c r="C3095" t="str">
        <f>"08539010010"</f>
        <v>08539010010</v>
      </c>
      <c r="D3095" t="str">
        <f>"93026890017"</f>
        <v>93026890017</v>
      </c>
      <c r="E3095" t="s">
        <v>52</v>
      </c>
      <c r="F3095">
        <v>2015</v>
      </c>
      <c r="G3095" t="str">
        <f>"          AF15714532"</f>
        <v xml:space="preserve">          AF15714532</v>
      </c>
      <c r="H3095" s="3">
        <v>42312</v>
      </c>
      <c r="I3095" s="3">
        <v>42313</v>
      </c>
      <c r="J3095" s="3">
        <v>42312</v>
      </c>
      <c r="K3095" s="3">
        <v>42372</v>
      </c>
      <c r="L3095"/>
      <c r="N3095"/>
      <c r="O3095">
        <v>50</v>
      </c>
      <c r="P3095">
        <v>30</v>
      </c>
      <c r="Q3095" s="4">
        <v>1500</v>
      </c>
      <c r="R3095">
        <v>0</v>
      </c>
      <c r="V3095">
        <v>0</v>
      </c>
      <c r="W3095">
        <v>0</v>
      </c>
      <c r="X3095">
        <v>0</v>
      </c>
      <c r="Y3095">
        <v>0</v>
      </c>
      <c r="Z3095">
        <v>0</v>
      </c>
      <c r="AA3095">
        <v>0</v>
      </c>
      <c r="AB3095" s="3">
        <v>42562</v>
      </c>
      <c r="AC3095" t="s">
        <v>53</v>
      </c>
      <c r="AD3095" t="s">
        <v>53</v>
      </c>
      <c r="AK3095">
        <v>0</v>
      </c>
      <c r="AU3095" s="3">
        <v>42402</v>
      </c>
      <c r="AV3095" s="3">
        <v>42402</v>
      </c>
      <c r="AW3095" t="s">
        <v>54</v>
      </c>
      <c r="AX3095" t="str">
        <f t="shared" si="362"/>
        <v>FOR</v>
      </c>
      <c r="AY3095" t="s">
        <v>55</v>
      </c>
    </row>
    <row r="3096" spans="1:51">
      <c r="A3096">
        <v>104316</v>
      </c>
      <c r="B3096" t="s">
        <v>384</v>
      </c>
      <c r="C3096" t="str">
        <f>"08539010010"</f>
        <v>08539010010</v>
      </c>
      <c r="D3096" t="str">
        <f>"93026890017"</f>
        <v>93026890017</v>
      </c>
      <c r="E3096" t="s">
        <v>52</v>
      </c>
      <c r="F3096">
        <v>2015</v>
      </c>
      <c r="G3096" t="str">
        <f>"          AF18937123"</f>
        <v xml:space="preserve">          AF18937123</v>
      </c>
      <c r="H3096" s="3">
        <v>42369</v>
      </c>
      <c r="I3096" s="3">
        <v>42369</v>
      </c>
      <c r="J3096" s="3">
        <v>42369</v>
      </c>
      <c r="K3096" s="3">
        <v>42429</v>
      </c>
      <c r="L3096" s="1">
        <v>50</v>
      </c>
      <c r="M3096">
        <v>64</v>
      </c>
      <c r="N3096" s="5">
        <v>3200</v>
      </c>
      <c r="O3096">
        <v>50</v>
      </c>
      <c r="P3096">
        <v>64</v>
      </c>
      <c r="Q3096" s="4">
        <v>3200</v>
      </c>
      <c r="R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 s="3">
        <v>42562</v>
      </c>
      <c r="AC3096" t="s">
        <v>53</v>
      </c>
      <c r="AD3096" t="s">
        <v>53</v>
      </c>
      <c r="AK3096">
        <v>0</v>
      </c>
      <c r="AU3096" s="3">
        <v>42493</v>
      </c>
      <c r="AV3096" s="3">
        <v>42493</v>
      </c>
      <c r="AW3096" t="s">
        <v>54</v>
      </c>
      <c r="AX3096" t="str">
        <f t="shared" si="362"/>
        <v>FOR</v>
      </c>
      <c r="AY3096" t="s">
        <v>55</v>
      </c>
    </row>
    <row r="3097" spans="1:51" hidden="1">
      <c r="A3097">
        <v>104316</v>
      </c>
      <c r="B3097" t="s">
        <v>384</v>
      </c>
      <c r="C3097" t="str">
        <f>"08539010010"</f>
        <v>08539010010</v>
      </c>
      <c r="D3097" t="str">
        <f>"93026890017"</f>
        <v>93026890017</v>
      </c>
      <c r="E3097" t="s">
        <v>52</v>
      </c>
      <c r="F3097">
        <v>2016</v>
      </c>
      <c r="G3097" t="str">
        <f>"          AG03013105"</f>
        <v xml:space="preserve">          AG03013105</v>
      </c>
      <c r="H3097" s="3">
        <v>42431</v>
      </c>
      <c r="I3097" s="3">
        <v>42436</v>
      </c>
      <c r="J3097" s="3">
        <v>42432</v>
      </c>
      <c r="K3097" s="3">
        <v>42492</v>
      </c>
      <c r="L3097"/>
      <c r="N3097"/>
      <c r="O3097">
        <v>50</v>
      </c>
      <c r="P3097">
        <v>-39</v>
      </c>
      <c r="Q3097" s="4">
        <v>-1950</v>
      </c>
      <c r="R3097">
        <v>0</v>
      </c>
      <c r="V3097">
        <v>0</v>
      </c>
      <c r="W3097">
        <v>0</v>
      </c>
      <c r="X3097">
        <v>0</v>
      </c>
      <c r="Y3097">
        <v>0</v>
      </c>
      <c r="Z3097">
        <v>61</v>
      </c>
      <c r="AA3097">
        <v>61</v>
      </c>
      <c r="AB3097" s="3">
        <v>42562</v>
      </c>
      <c r="AC3097" t="s">
        <v>53</v>
      </c>
      <c r="AD3097" t="s">
        <v>53</v>
      </c>
      <c r="AK3097">
        <v>0</v>
      </c>
      <c r="AU3097" s="3">
        <v>42453</v>
      </c>
      <c r="AV3097" s="3">
        <v>42453</v>
      </c>
      <c r="AW3097" t="s">
        <v>54</v>
      </c>
      <c r="AX3097" t="str">
        <f t="shared" si="362"/>
        <v>FOR</v>
      </c>
      <c r="AY3097" t="s">
        <v>55</v>
      </c>
    </row>
    <row r="3098" spans="1:51">
      <c r="A3098">
        <v>104316</v>
      </c>
      <c r="B3098" t="s">
        <v>384</v>
      </c>
      <c r="C3098" t="str">
        <f>"08539010010"</f>
        <v>08539010010</v>
      </c>
      <c r="D3098" t="str">
        <f>"93026890017"</f>
        <v>93026890017</v>
      </c>
      <c r="E3098" t="s">
        <v>52</v>
      </c>
      <c r="F3098">
        <v>2016</v>
      </c>
      <c r="G3098" t="str">
        <f>"          AG06236692"</f>
        <v xml:space="preserve">          AG06236692</v>
      </c>
      <c r="H3098" s="3">
        <v>42491</v>
      </c>
      <c r="I3098" s="3">
        <v>42493</v>
      </c>
      <c r="J3098" s="3">
        <v>42492</v>
      </c>
      <c r="K3098" s="3">
        <v>42552</v>
      </c>
      <c r="L3098" s="1">
        <v>50</v>
      </c>
      <c r="M3098">
        <v>-32</v>
      </c>
      <c r="N3098" s="5">
        <v>-1600</v>
      </c>
      <c r="O3098">
        <v>50</v>
      </c>
      <c r="P3098">
        <v>-32</v>
      </c>
      <c r="Q3098" s="4">
        <v>-1600</v>
      </c>
      <c r="R3098">
        <v>0</v>
      </c>
      <c r="V3098">
        <v>61</v>
      </c>
      <c r="W3098">
        <v>61</v>
      </c>
      <c r="X3098">
        <v>61</v>
      </c>
      <c r="Y3098">
        <v>61</v>
      </c>
      <c r="Z3098">
        <v>61</v>
      </c>
      <c r="AA3098">
        <v>61</v>
      </c>
      <c r="AB3098" s="3">
        <v>42562</v>
      </c>
      <c r="AC3098" t="s">
        <v>53</v>
      </c>
      <c r="AD3098" t="s">
        <v>53</v>
      </c>
      <c r="AK3098">
        <v>0</v>
      </c>
      <c r="AU3098" s="3">
        <v>42520</v>
      </c>
      <c r="AV3098" s="3">
        <v>42520</v>
      </c>
      <c r="AW3098" t="s">
        <v>54</v>
      </c>
      <c r="AX3098" t="str">
        <f t="shared" si="362"/>
        <v>FOR</v>
      </c>
      <c r="AY3098" t="s">
        <v>55</v>
      </c>
    </row>
    <row r="3099" spans="1:51">
      <c r="A3099">
        <v>104319</v>
      </c>
      <c r="B3099" t="s">
        <v>385</v>
      </c>
      <c r="C3099" t="str">
        <f>"01191950623"</f>
        <v>01191950623</v>
      </c>
      <c r="D3099" t="str">
        <f>"GMBMHL69S09B267X"</f>
        <v>GMBMHL69S09B267X</v>
      </c>
      <c r="E3099" t="s">
        <v>52</v>
      </c>
      <c r="F3099">
        <v>2016</v>
      </c>
      <c r="G3099" t="str">
        <f>"                 102"</f>
        <v xml:space="preserve">                 102</v>
      </c>
      <c r="H3099" s="3">
        <v>42482</v>
      </c>
      <c r="I3099" s="3">
        <v>42482</v>
      </c>
      <c r="J3099" s="3">
        <v>42482</v>
      </c>
      <c r="K3099" s="3">
        <v>42542</v>
      </c>
      <c r="L3099" s="5">
        <v>2257.23</v>
      </c>
      <c r="M3099">
        <v>-49</v>
      </c>
      <c r="N3099" s="5">
        <v>-110604.27</v>
      </c>
      <c r="O3099" s="4">
        <v>2257.23</v>
      </c>
      <c r="P3099">
        <v>-49</v>
      </c>
      <c r="Q3099" s="4">
        <v>-110604.27</v>
      </c>
      <c r="R3099">
        <v>0</v>
      </c>
      <c r="V3099" s="4">
        <v>2257.23</v>
      </c>
      <c r="W3099" s="4">
        <v>2257.23</v>
      </c>
      <c r="X3099" s="4">
        <v>2257.23</v>
      </c>
      <c r="Y3099" s="4">
        <v>2257.23</v>
      </c>
      <c r="Z3099" s="4">
        <v>2257.23</v>
      </c>
      <c r="AA3099" s="4">
        <v>2257.23</v>
      </c>
      <c r="AB3099" s="3">
        <v>42562</v>
      </c>
      <c r="AC3099" t="s">
        <v>53</v>
      </c>
      <c r="AD3099" t="s">
        <v>53</v>
      </c>
      <c r="AK3099">
        <v>0</v>
      </c>
      <c r="AU3099" s="3">
        <v>42493</v>
      </c>
      <c r="AV3099" s="3">
        <v>42493</v>
      </c>
      <c r="AW3099" t="s">
        <v>54</v>
      </c>
      <c r="AX3099" t="str">
        <f>"ALTPRO"</f>
        <v>ALTPRO</v>
      </c>
      <c r="AY3099" t="s">
        <v>93</v>
      </c>
    </row>
    <row r="3100" spans="1:51" hidden="1">
      <c r="A3100">
        <v>104356</v>
      </c>
      <c r="B3100" t="s">
        <v>386</v>
      </c>
      <c r="C3100" t="str">
        <f>"01257320620"</f>
        <v>01257320620</v>
      </c>
      <c r="D3100" t="str">
        <f>"STTLDA62B09B905G"</f>
        <v>STTLDA62B09B905G</v>
      </c>
      <c r="E3100" t="s">
        <v>52</v>
      </c>
      <c r="F3100">
        <v>2016</v>
      </c>
      <c r="G3100" t="str">
        <f>"              01/01E"</f>
        <v xml:space="preserve">              01/01E</v>
      </c>
      <c r="H3100" s="3">
        <v>42388</v>
      </c>
      <c r="I3100" s="3">
        <v>42396</v>
      </c>
      <c r="J3100" s="3">
        <v>42395</v>
      </c>
      <c r="K3100" s="3">
        <v>42455</v>
      </c>
      <c r="L3100"/>
      <c r="N3100"/>
      <c r="O3100" s="4">
        <v>1680.28</v>
      </c>
      <c r="P3100">
        <v>-52</v>
      </c>
      <c r="Q3100" s="4">
        <v>-87374.56</v>
      </c>
      <c r="R3100">
        <v>0</v>
      </c>
      <c r="V3100">
        <v>0</v>
      </c>
      <c r="W3100">
        <v>0</v>
      </c>
      <c r="X3100">
        <v>0</v>
      </c>
      <c r="Y3100" s="4">
        <v>1680.28</v>
      </c>
      <c r="Z3100" s="4">
        <v>1680.28</v>
      </c>
      <c r="AA3100" s="4">
        <v>1680.28</v>
      </c>
      <c r="AB3100" s="3">
        <v>42562</v>
      </c>
      <c r="AC3100" t="s">
        <v>53</v>
      </c>
      <c r="AD3100" t="s">
        <v>53</v>
      </c>
      <c r="AK3100">
        <v>0</v>
      </c>
      <c r="AU3100" s="3">
        <v>42403</v>
      </c>
      <c r="AV3100" s="3">
        <v>42403</v>
      </c>
      <c r="AW3100" t="s">
        <v>54</v>
      </c>
      <c r="AX3100" t="str">
        <f>"ALTPRO"</f>
        <v>ALTPRO</v>
      </c>
      <c r="AY3100" t="s">
        <v>93</v>
      </c>
    </row>
    <row r="3101" spans="1:51" hidden="1">
      <c r="A3101">
        <v>104358</v>
      </c>
      <c r="B3101" t="s">
        <v>387</v>
      </c>
      <c r="C3101" t="str">
        <f>"04887560631"</f>
        <v>04887560631</v>
      </c>
      <c r="D3101" t="str">
        <f>"01103810618"</f>
        <v>01103810618</v>
      </c>
      <c r="E3101" t="s">
        <v>52</v>
      </c>
      <c r="F3101">
        <v>2015</v>
      </c>
      <c r="G3101" t="str">
        <f>"                  73"</f>
        <v xml:space="preserve">                  73</v>
      </c>
      <c r="H3101" s="3">
        <v>42062</v>
      </c>
      <c r="I3101" s="3">
        <v>42080</v>
      </c>
      <c r="J3101" s="3">
        <v>42080</v>
      </c>
      <c r="K3101" s="3">
        <v>42140</v>
      </c>
      <c r="L3101"/>
      <c r="N3101"/>
      <c r="O3101" s="4">
        <v>3410</v>
      </c>
      <c r="P3101">
        <v>268</v>
      </c>
      <c r="Q3101" s="4">
        <v>913880</v>
      </c>
      <c r="R3101">
        <v>0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 s="3">
        <v>42562</v>
      </c>
      <c r="AC3101" t="s">
        <v>53</v>
      </c>
      <c r="AD3101" t="s">
        <v>53</v>
      </c>
      <c r="AK3101">
        <v>0</v>
      </c>
      <c r="AU3101" s="3">
        <v>42408</v>
      </c>
      <c r="AV3101" s="3">
        <v>42408</v>
      </c>
      <c r="AW3101" t="s">
        <v>54</v>
      </c>
      <c r="AX3101" t="str">
        <f t="shared" ref="AX3101:AX3132" si="365">"FOR"</f>
        <v>FOR</v>
      </c>
      <c r="AY3101" t="s">
        <v>55</v>
      </c>
    </row>
    <row r="3102" spans="1:51" hidden="1">
      <c r="A3102">
        <v>104364</v>
      </c>
      <c r="B3102" t="s">
        <v>388</v>
      </c>
      <c r="C3102" t="str">
        <f t="shared" ref="C3102:D3107" si="366">"05525540729"</f>
        <v>05525540729</v>
      </c>
      <c r="D3102" t="str">
        <f t="shared" si="366"/>
        <v>05525540729</v>
      </c>
      <c r="E3102" t="s">
        <v>52</v>
      </c>
      <c r="F3102">
        <v>2015</v>
      </c>
      <c r="G3102" t="str">
        <f>"                  46"</f>
        <v xml:space="preserve">                  46</v>
      </c>
      <c r="H3102" s="3">
        <v>42051</v>
      </c>
      <c r="I3102" s="3">
        <v>42067</v>
      </c>
      <c r="J3102" s="3">
        <v>42067</v>
      </c>
      <c r="K3102" s="3">
        <v>42127</v>
      </c>
      <c r="L3102"/>
      <c r="N3102"/>
      <c r="O3102" s="4">
        <v>1970</v>
      </c>
      <c r="P3102">
        <v>281</v>
      </c>
      <c r="Q3102" s="4">
        <v>553570</v>
      </c>
      <c r="R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 s="3">
        <v>42562</v>
      </c>
      <c r="AC3102" t="s">
        <v>53</v>
      </c>
      <c r="AD3102" t="s">
        <v>53</v>
      </c>
      <c r="AK3102">
        <v>0</v>
      </c>
      <c r="AU3102" s="3">
        <v>42408</v>
      </c>
      <c r="AV3102" s="3">
        <v>42408</v>
      </c>
      <c r="AW3102" t="s">
        <v>54</v>
      </c>
      <c r="AX3102" t="str">
        <f t="shared" si="365"/>
        <v>FOR</v>
      </c>
      <c r="AY3102" t="s">
        <v>55</v>
      </c>
    </row>
    <row r="3103" spans="1:51" hidden="1">
      <c r="A3103">
        <v>104364</v>
      </c>
      <c r="B3103" t="s">
        <v>388</v>
      </c>
      <c r="C3103" t="str">
        <f t="shared" si="366"/>
        <v>05525540729</v>
      </c>
      <c r="D3103" t="str">
        <f t="shared" si="366"/>
        <v>05525540729</v>
      </c>
      <c r="E3103" t="s">
        <v>52</v>
      </c>
      <c r="F3103">
        <v>2015</v>
      </c>
      <c r="G3103" t="str">
        <f>"               75/15"</f>
        <v xml:space="preserve">               75/15</v>
      </c>
      <c r="H3103" s="3">
        <v>42073</v>
      </c>
      <c r="I3103" s="3">
        <v>42081</v>
      </c>
      <c r="J3103" s="3">
        <v>42081</v>
      </c>
      <c r="K3103" s="3">
        <v>42141</v>
      </c>
      <c r="L3103"/>
      <c r="N3103"/>
      <c r="O3103">
        <v>937.5</v>
      </c>
      <c r="P3103">
        <v>274</v>
      </c>
      <c r="Q3103" s="4">
        <v>256875</v>
      </c>
      <c r="R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 s="3">
        <v>42562</v>
      </c>
      <c r="AC3103" t="s">
        <v>53</v>
      </c>
      <c r="AD3103" t="s">
        <v>53</v>
      </c>
      <c r="AK3103">
        <v>0</v>
      </c>
      <c r="AU3103" s="3">
        <v>42415</v>
      </c>
      <c r="AV3103" s="3">
        <v>42415</v>
      </c>
      <c r="AW3103" t="s">
        <v>54</v>
      </c>
      <c r="AX3103" t="str">
        <f t="shared" si="365"/>
        <v>FOR</v>
      </c>
      <c r="AY3103" t="s">
        <v>55</v>
      </c>
    </row>
    <row r="3104" spans="1:51" hidden="1">
      <c r="A3104">
        <v>104364</v>
      </c>
      <c r="B3104" t="s">
        <v>388</v>
      </c>
      <c r="C3104" t="str">
        <f t="shared" si="366"/>
        <v>05525540729</v>
      </c>
      <c r="D3104" t="str">
        <f t="shared" si="366"/>
        <v>05525540729</v>
      </c>
      <c r="E3104" t="s">
        <v>52</v>
      </c>
      <c r="F3104">
        <v>2015</v>
      </c>
      <c r="G3104" t="str">
        <f>"               93/15"</f>
        <v xml:space="preserve">               93/15</v>
      </c>
      <c r="H3104" s="3">
        <v>42086</v>
      </c>
      <c r="I3104" s="3">
        <v>42094</v>
      </c>
      <c r="J3104" s="3">
        <v>42094</v>
      </c>
      <c r="K3104" s="3">
        <v>42154</v>
      </c>
      <c r="L3104"/>
      <c r="N3104"/>
      <c r="O3104">
        <v>600</v>
      </c>
      <c r="P3104">
        <v>261</v>
      </c>
      <c r="Q3104" s="4">
        <v>156600</v>
      </c>
      <c r="R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 s="3">
        <v>42562</v>
      </c>
      <c r="AC3104" t="s">
        <v>53</v>
      </c>
      <c r="AD3104" t="s">
        <v>53</v>
      </c>
      <c r="AK3104">
        <v>0</v>
      </c>
      <c r="AU3104" s="3">
        <v>42415</v>
      </c>
      <c r="AV3104" s="3">
        <v>42415</v>
      </c>
      <c r="AW3104" t="s">
        <v>54</v>
      </c>
      <c r="AX3104" t="str">
        <f t="shared" si="365"/>
        <v>FOR</v>
      </c>
      <c r="AY3104" t="s">
        <v>55</v>
      </c>
    </row>
    <row r="3105" spans="1:51" hidden="1">
      <c r="A3105">
        <v>104364</v>
      </c>
      <c r="B3105" t="s">
        <v>388</v>
      </c>
      <c r="C3105" t="str">
        <f t="shared" si="366"/>
        <v>05525540729</v>
      </c>
      <c r="D3105" t="str">
        <f t="shared" si="366"/>
        <v>05525540729</v>
      </c>
      <c r="E3105" t="s">
        <v>52</v>
      </c>
      <c r="F3105">
        <v>2015</v>
      </c>
      <c r="G3105" t="str">
        <f>"        FATTPA 16_15"</f>
        <v xml:space="preserve">        FATTPA 16_15</v>
      </c>
      <c r="H3105" s="3">
        <v>42136</v>
      </c>
      <c r="I3105" s="3">
        <v>42142</v>
      </c>
      <c r="J3105" s="3">
        <v>42138</v>
      </c>
      <c r="K3105" s="3">
        <v>42198</v>
      </c>
      <c r="L3105"/>
      <c r="N3105"/>
      <c r="O3105" s="4">
        <v>4300.5</v>
      </c>
      <c r="P3105">
        <v>254</v>
      </c>
      <c r="Q3105" s="4">
        <v>1092327</v>
      </c>
      <c r="R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 s="3">
        <v>42562</v>
      </c>
      <c r="AC3105" t="s">
        <v>53</v>
      </c>
      <c r="AD3105" t="s">
        <v>53</v>
      </c>
      <c r="AK3105">
        <v>0</v>
      </c>
      <c r="AU3105" s="3">
        <v>42452</v>
      </c>
      <c r="AV3105" s="3">
        <v>42452</v>
      </c>
      <c r="AW3105" t="s">
        <v>54</v>
      </c>
      <c r="AX3105" t="str">
        <f t="shared" si="365"/>
        <v>FOR</v>
      </c>
      <c r="AY3105" t="s">
        <v>55</v>
      </c>
    </row>
    <row r="3106" spans="1:51">
      <c r="A3106">
        <v>104364</v>
      </c>
      <c r="B3106" t="s">
        <v>388</v>
      </c>
      <c r="C3106" t="str">
        <f t="shared" si="366"/>
        <v>05525540729</v>
      </c>
      <c r="D3106" t="str">
        <f t="shared" si="366"/>
        <v>05525540729</v>
      </c>
      <c r="E3106" t="s">
        <v>52</v>
      </c>
      <c r="F3106">
        <v>2015</v>
      </c>
      <c r="G3106" t="str">
        <f>"        FATTPA 36_15"</f>
        <v xml:space="preserve">        FATTPA 36_15</v>
      </c>
      <c r="H3106" s="3">
        <v>42160</v>
      </c>
      <c r="I3106" s="3">
        <v>42163</v>
      </c>
      <c r="J3106" s="3">
        <v>42160</v>
      </c>
      <c r="K3106" s="3">
        <v>42220</v>
      </c>
      <c r="L3106" s="5">
        <v>1970</v>
      </c>
      <c r="M3106">
        <v>300</v>
      </c>
      <c r="N3106" s="5">
        <v>591000</v>
      </c>
      <c r="O3106" s="4">
        <v>1970</v>
      </c>
      <c r="P3106">
        <v>300</v>
      </c>
      <c r="Q3106" s="4">
        <v>591000</v>
      </c>
      <c r="R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 s="3">
        <v>42562</v>
      </c>
      <c r="AC3106" t="s">
        <v>53</v>
      </c>
      <c r="AD3106" t="s">
        <v>53</v>
      </c>
      <c r="AK3106">
        <v>0</v>
      </c>
      <c r="AU3106" s="3">
        <v>42520</v>
      </c>
      <c r="AV3106" s="3">
        <v>42520</v>
      </c>
      <c r="AW3106" t="s">
        <v>54</v>
      </c>
      <c r="AX3106" t="str">
        <f t="shared" si="365"/>
        <v>FOR</v>
      </c>
      <c r="AY3106" t="s">
        <v>55</v>
      </c>
    </row>
    <row r="3107" spans="1:51">
      <c r="A3107">
        <v>104364</v>
      </c>
      <c r="B3107" t="s">
        <v>388</v>
      </c>
      <c r="C3107" t="str">
        <f t="shared" si="366"/>
        <v>05525540729</v>
      </c>
      <c r="D3107" t="str">
        <f t="shared" si="366"/>
        <v>05525540729</v>
      </c>
      <c r="E3107" t="s">
        <v>52</v>
      </c>
      <c r="F3107">
        <v>2015</v>
      </c>
      <c r="G3107" t="str">
        <f>"        FATTPA 37_15"</f>
        <v xml:space="preserve">        FATTPA 37_15</v>
      </c>
      <c r="H3107" s="3">
        <v>42160</v>
      </c>
      <c r="I3107" s="3">
        <v>42163</v>
      </c>
      <c r="J3107" s="3">
        <v>42160</v>
      </c>
      <c r="K3107" s="3">
        <v>42220</v>
      </c>
      <c r="L3107" s="5">
        <v>3000</v>
      </c>
      <c r="M3107">
        <v>300</v>
      </c>
      <c r="N3107" s="5">
        <v>900000</v>
      </c>
      <c r="O3107" s="4">
        <v>3000</v>
      </c>
      <c r="P3107">
        <v>300</v>
      </c>
      <c r="Q3107" s="4">
        <v>900000</v>
      </c>
      <c r="R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 s="3">
        <v>42562</v>
      </c>
      <c r="AC3107" t="s">
        <v>53</v>
      </c>
      <c r="AD3107" t="s">
        <v>53</v>
      </c>
      <c r="AK3107">
        <v>0</v>
      </c>
      <c r="AU3107" s="3">
        <v>42520</v>
      </c>
      <c r="AV3107" s="3">
        <v>42520</v>
      </c>
      <c r="AW3107" t="s">
        <v>54</v>
      </c>
      <c r="AX3107" t="str">
        <f t="shared" si="365"/>
        <v>FOR</v>
      </c>
      <c r="AY3107" t="s">
        <v>55</v>
      </c>
    </row>
    <row r="3108" spans="1:51">
      <c r="A3108">
        <v>104365</v>
      </c>
      <c r="B3108" t="s">
        <v>389</v>
      </c>
      <c r="C3108" t="str">
        <f>"12864800151"</f>
        <v>12864800151</v>
      </c>
      <c r="D3108" t="str">
        <f>"12864800151"</f>
        <v>12864800151</v>
      </c>
      <c r="E3108" t="s">
        <v>52</v>
      </c>
      <c r="F3108">
        <v>2015</v>
      </c>
      <c r="G3108" t="str">
        <f>"          3072739887"</f>
        <v xml:space="preserve">          3072739887</v>
      </c>
      <c r="H3108" s="3">
        <v>42173</v>
      </c>
      <c r="I3108" s="3">
        <v>42368</v>
      </c>
      <c r="J3108" s="3">
        <v>42361</v>
      </c>
      <c r="K3108" s="3">
        <v>42421</v>
      </c>
      <c r="L3108" s="1">
        <v>590</v>
      </c>
      <c r="M3108">
        <v>66</v>
      </c>
      <c r="N3108" s="5">
        <v>38940</v>
      </c>
      <c r="O3108">
        <v>590</v>
      </c>
      <c r="P3108">
        <v>66</v>
      </c>
      <c r="Q3108" s="4">
        <v>38940</v>
      </c>
      <c r="R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 s="3">
        <v>42562</v>
      </c>
      <c r="AC3108" t="s">
        <v>53</v>
      </c>
      <c r="AD3108" t="s">
        <v>53</v>
      </c>
      <c r="AK3108">
        <v>0</v>
      </c>
      <c r="AU3108" s="3">
        <v>42487</v>
      </c>
      <c r="AV3108" s="3">
        <v>42487</v>
      </c>
      <c r="AW3108" t="s">
        <v>54</v>
      </c>
      <c r="AX3108" t="str">
        <f t="shared" si="365"/>
        <v>FOR</v>
      </c>
      <c r="AY3108" t="s">
        <v>55</v>
      </c>
    </row>
    <row r="3109" spans="1:51" hidden="1">
      <c r="A3109">
        <v>104372</v>
      </c>
      <c r="B3109" t="s">
        <v>390</v>
      </c>
      <c r="C3109" t="str">
        <f>"03237200963"</f>
        <v>03237200963</v>
      </c>
      <c r="D3109" t="str">
        <f>"01275170080"</f>
        <v>01275170080</v>
      </c>
      <c r="E3109" t="s">
        <v>52</v>
      </c>
      <c r="F3109">
        <v>2015</v>
      </c>
      <c r="G3109" t="str">
        <f>"           150204114"</f>
        <v xml:space="preserve">           150204114</v>
      </c>
      <c r="H3109" s="3">
        <v>42264</v>
      </c>
      <c r="I3109" s="3">
        <v>42265</v>
      </c>
      <c r="J3109" s="3">
        <v>42264</v>
      </c>
      <c r="K3109" s="3">
        <v>42324</v>
      </c>
      <c r="L3109"/>
      <c r="N3109"/>
      <c r="O3109" s="4">
        <v>2392.02</v>
      </c>
      <c r="P3109">
        <v>105</v>
      </c>
      <c r="Q3109" s="4">
        <v>251162.1</v>
      </c>
      <c r="R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 s="3">
        <v>42562</v>
      </c>
      <c r="AC3109" t="s">
        <v>53</v>
      </c>
      <c r="AD3109" t="s">
        <v>53</v>
      </c>
      <c r="AK3109">
        <v>0</v>
      </c>
      <c r="AU3109" s="3">
        <v>42429</v>
      </c>
      <c r="AV3109" s="3">
        <v>42429</v>
      </c>
      <c r="AW3109" t="s">
        <v>54</v>
      </c>
      <c r="AX3109" t="str">
        <f t="shared" si="365"/>
        <v>FOR</v>
      </c>
      <c r="AY3109" t="s">
        <v>55</v>
      </c>
    </row>
    <row r="3110" spans="1:51" hidden="1">
      <c r="A3110">
        <v>104372</v>
      </c>
      <c r="B3110" t="s">
        <v>390</v>
      </c>
      <c r="C3110" t="str">
        <f>"03237200963"</f>
        <v>03237200963</v>
      </c>
      <c r="D3110" t="str">
        <f>"01275170080"</f>
        <v>01275170080</v>
      </c>
      <c r="E3110" t="s">
        <v>52</v>
      </c>
      <c r="F3110">
        <v>2015</v>
      </c>
      <c r="G3110" t="str">
        <f>"           150205560"</f>
        <v xml:space="preserve">           150205560</v>
      </c>
      <c r="H3110" s="3">
        <v>42321</v>
      </c>
      <c r="I3110" s="3">
        <v>42324</v>
      </c>
      <c r="J3110" s="3">
        <v>42321</v>
      </c>
      <c r="K3110" s="3">
        <v>42381</v>
      </c>
      <c r="L3110"/>
      <c r="N3110"/>
      <c r="O3110" s="4">
        <v>2392.02</v>
      </c>
      <c r="P3110">
        <v>48</v>
      </c>
      <c r="Q3110" s="4">
        <v>114816.96000000001</v>
      </c>
      <c r="R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 s="3">
        <v>42562</v>
      </c>
      <c r="AC3110" t="s">
        <v>53</v>
      </c>
      <c r="AD3110" t="s">
        <v>53</v>
      </c>
      <c r="AK3110">
        <v>0</v>
      </c>
      <c r="AU3110" s="3">
        <v>42429</v>
      </c>
      <c r="AV3110" s="3">
        <v>42429</v>
      </c>
      <c r="AW3110" t="s">
        <v>54</v>
      </c>
      <c r="AX3110" t="str">
        <f t="shared" si="365"/>
        <v>FOR</v>
      </c>
      <c r="AY3110" t="s">
        <v>55</v>
      </c>
    </row>
    <row r="3111" spans="1:51">
      <c r="A3111">
        <v>104378</v>
      </c>
      <c r="B3111" t="s">
        <v>391</v>
      </c>
      <c r="C3111" t="str">
        <f>"00440180545"</f>
        <v>00440180545</v>
      </c>
      <c r="D3111" t="str">
        <f>"00440180545"</f>
        <v>00440180545</v>
      </c>
      <c r="E3111" t="s">
        <v>52</v>
      </c>
      <c r="F3111">
        <v>2015</v>
      </c>
      <c r="G3111" t="str">
        <f>"              783/PA"</f>
        <v xml:space="preserve">              783/PA</v>
      </c>
      <c r="H3111" s="3">
        <v>42170</v>
      </c>
      <c r="I3111" s="3">
        <v>42185</v>
      </c>
      <c r="J3111" s="3">
        <v>42181</v>
      </c>
      <c r="K3111" s="3">
        <v>42241</v>
      </c>
      <c r="L3111" s="1">
        <v>240</v>
      </c>
      <c r="M3111">
        <v>286</v>
      </c>
      <c r="N3111" s="5">
        <v>68640</v>
      </c>
      <c r="O3111">
        <v>240</v>
      </c>
      <c r="P3111">
        <v>286</v>
      </c>
      <c r="Q3111" s="4">
        <v>68640</v>
      </c>
      <c r="R3111">
        <v>52.8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 s="3">
        <v>42562</v>
      </c>
      <c r="AC3111" t="s">
        <v>53</v>
      </c>
      <c r="AD3111" t="s">
        <v>53</v>
      </c>
      <c r="AK3111">
        <v>52.8</v>
      </c>
      <c r="AU3111" s="3">
        <v>42527</v>
      </c>
      <c r="AV3111" s="3">
        <v>42527</v>
      </c>
      <c r="AW3111" t="s">
        <v>54</v>
      </c>
      <c r="AX3111" t="str">
        <f t="shared" si="365"/>
        <v>FOR</v>
      </c>
      <c r="AY3111" t="s">
        <v>55</v>
      </c>
    </row>
    <row r="3112" spans="1:51">
      <c r="A3112">
        <v>104378</v>
      </c>
      <c r="B3112" t="s">
        <v>391</v>
      </c>
      <c r="C3112" t="str">
        <f>"00440180545"</f>
        <v>00440180545</v>
      </c>
      <c r="D3112" t="str">
        <f>"00440180545"</f>
        <v>00440180545</v>
      </c>
      <c r="E3112" t="s">
        <v>52</v>
      </c>
      <c r="F3112">
        <v>2015</v>
      </c>
      <c r="G3112" t="str">
        <f>"             1184/PA"</f>
        <v xml:space="preserve">             1184/PA</v>
      </c>
      <c r="H3112" s="3">
        <v>42202</v>
      </c>
      <c r="I3112" s="3">
        <v>42215</v>
      </c>
      <c r="J3112" s="3">
        <v>42214</v>
      </c>
      <c r="K3112" s="3">
        <v>42274</v>
      </c>
      <c r="L3112" s="1">
        <v>240</v>
      </c>
      <c r="M3112">
        <v>253</v>
      </c>
      <c r="N3112" s="5">
        <v>60720</v>
      </c>
      <c r="O3112">
        <v>240</v>
      </c>
      <c r="P3112">
        <v>253</v>
      </c>
      <c r="Q3112" s="4">
        <v>60720</v>
      </c>
      <c r="R3112">
        <v>52.8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 s="3">
        <v>42562</v>
      </c>
      <c r="AC3112" t="s">
        <v>53</v>
      </c>
      <c r="AD3112" t="s">
        <v>53</v>
      </c>
      <c r="AK3112">
        <v>52.8</v>
      </c>
      <c r="AU3112" s="3">
        <v>42527</v>
      </c>
      <c r="AV3112" s="3">
        <v>42527</v>
      </c>
      <c r="AW3112" t="s">
        <v>54</v>
      </c>
      <c r="AX3112" t="str">
        <f t="shared" si="365"/>
        <v>FOR</v>
      </c>
      <c r="AY3112" t="s">
        <v>55</v>
      </c>
    </row>
    <row r="3113" spans="1:51" hidden="1">
      <c r="A3113">
        <v>104379</v>
      </c>
      <c r="B3113" t="s">
        <v>392</v>
      </c>
      <c r="C3113" t="str">
        <f t="shared" ref="C3113:C3149" si="367">"01836081008"</f>
        <v>01836081008</v>
      </c>
      <c r="D3113" t="str">
        <f t="shared" ref="D3113:D3149" si="368">"07668030583"</f>
        <v>07668030583</v>
      </c>
      <c r="E3113" t="s">
        <v>52</v>
      </c>
      <c r="F3113">
        <v>2015</v>
      </c>
      <c r="G3113" t="str">
        <f>"              964/03"</f>
        <v xml:space="preserve">              964/03</v>
      </c>
      <c r="H3113" s="3">
        <v>42209</v>
      </c>
      <c r="I3113" s="3">
        <v>42215</v>
      </c>
      <c r="J3113" s="3">
        <v>42214</v>
      </c>
      <c r="K3113" s="3">
        <v>42274</v>
      </c>
      <c r="L3113"/>
      <c r="N3113"/>
      <c r="O3113">
        <v>550</v>
      </c>
      <c r="P3113">
        <v>127</v>
      </c>
      <c r="Q3113" s="4">
        <v>69850</v>
      </c>
      <c r="R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 s="3">
        <v>42562</v>
      </c>
      <c r="AC3113" t="s">
        <v>53</v>
      </c>
      <c r="AD3113" t="s">
        <v>53</v>
      </c>
      <c r="AK3113">
        <v>0</v>
      </c>
      <c r="AU3113" s="3">
        <v>42401</v>
      </c>
      <c r="AV3113" s="3">
        <v>42401</v>
      </c>
      <c r="AW3113" t="s">
        <v>54</v>
      </c>
      <c r="AX3113" t="str">
        <f t="shared" si="365"/>
        <v>FOR</v>
      </c>
      <c r="AY3113" t="s">
        <v>55</v>
      </c>
    </row>
    <row r="3114" spans="1:51" hidden="1">
      <c r="A3114">
        <v>104379</v>
      </c>
      <c r="B3114" t="s">
        <v>392</v>
      </c>
      <c r="C3114" t="str">
        <f t="shared" si="367"/>
        <v>01836081008</v>
      </c>
      <c r="D3114" t="str">
        <f t="shared" si="368"/>
        <v>07668030583</v>
      </c>
      <c r="E3114" t="s">
        <v>52</v>
      </c>
      <c r="F3114">
        <v>2015</v>
      </c>
      <c r="G3114" t="str">
        <f>"              965/03"</f>
        <v xml:space="preserve">              965/03</v>
      </c>
      <c r="H3114" s="3">
        <v>42209</v>
      </c>
      <c r="I3114" s="3">
        <v>42215</v>
      </c>
      <c r="J3114" s="3">
        <v>42214</v>
      </c>
      <c r="K3114" s="3">
        <v>42274</v>
      </c>
      <c r="L3114"/>
      <c r="N3114"/>
      <c r="O3114">
        <v>550</v>
      </c>
      <c r="P3114">
        <v>127</v>
      </c>
      <c r="Q3114" s="4">
        <v>69850</v>
      </c>
      <c r="R3114">
        <v>0</v>
      </c>
      <c r="V3114">
        <v>0</v>
      </c>
      <c r="W3114">
        <v>0</v>
      </c>
      <c r="X3114">
        <v>0</v>
      </c>
      <c r="Y3114">
        <v>0</v>
      </c>
      <c r="Z3114">
        <v>0</v>
      </c>
      <c r="AA3114">
        <v>0</v>
      </c>
      <c r="AB3114" s="3">
        <v>42562</v>
      </c>
      <c r="AC3114" t="s">
        <v>53</v>
      </c>
      <c r="AD3114" t="s">
        <v>53</v>
      </c>
      <c r="AK3114">
        <v>0</v>
      </c>
      <c r="AU3114" s="3">
        <v>42401</v>
      </c>
      <c r="AV3114" s="3">
        <v>42401</v>
      </c>
      <c r="AW3114" t="s">
        <v>54</v>
      </c>
      <c r="AX3114" t="str">
        <f t="shared" si="365"/>
        <v>FOR</v>
      </c>
      <c r="AY3114" t="s">
        <v>55</v>
      </c>
    </row>
    <row r="3115" spans="1:51" hidden="1">
      <c r="A3115">
        <v>104379</v>
      </c>
      <c r="B3115" t="s">
        <v>392</v>
      </c>
      <c r="C3115" t="str">
        <f t="shared" si="367"/>
        <v>01836081008</v>
      </c>
      <c r="D3115" t="str">
        <f t="shared" si="368"/>
        <v>07668030583</v>
      </c>
      <c r="E3115" t="s">
        <v>52</v>
      </c>
      <c r="F3115">
        <v>2015</v>
      </c>
      <c r="G3115" t="str">
        <f>"              966/03"</f>
        <v xml:space="preserve">              966/03</v>
      </c>
      <c r="H3115" s="3">
        <v>42209</v>
      </c>
      <c r="I3115" s="3">
        <v>42215</v>
      </c>
      <c r="J3115" s="3">
        <v>42214</v>
      </c>
      <c r="K3115" s="3">
        <v>42274</v>
      </c>
      <c r="L3115"/>
      <c r="N3115"/>
      <c r="O3115">
        <v>139</v>
      </c>
      <c r="P3115">
        <v>127</v>
      </c>
      <c r="Q3115" s="4">
        <v>17653</v>
      </c>
      <c r="R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 s="3">
        <v>42562</v>
      </c>
      <c r="AC3115" t="s">
        <v>53</v>
      </c>
      <c r="AD3115" t="s">
        <v>53</v>
      </c>
      <c r="AK3115">
        <v>0</v>
      </c>
      <c r="AU3115" s="3">
        <v>42401</v>
      </c>
      <c r="AV3115" s="3">
        <v>42401</v>
      </c>
      <c r="AW3115" t="s">
        <v>54</v>
      </c>
      <c r="AX3115" t="str">
        <f t="shared" si="365"/>
        <v>FOR</v>
      </c>
      <c r="AY3115" t="s">
        <v>55</v>
      </c>
    </row>
    <row r="3116" spans="1:51" hidden="1">
      <c r="A3116">
        <v>104379</v>
      </c>
      <c r="B3116" t="s">
        <v>392</v>
      </c>
      <c r="C3116" t="str">
        <f t="shared" si="367"/>
        <v>01836081008</v>
      </c>
      <c r="D3116" t="str">
        <f t="shared" si="368"/>
        <v>07668030583</v>
      </c>
      <c r="E3116" t="s">
        <v>52</v>
      </c>
      <c r="F3116">
        <v>2015</v>
      </c>
      <c r="G3116" t="str">
        <f>"              967/03"</f>
        <v xml:space="preserve">              967/03</v>
      </c>
      <c r="H3116" s="3">
        <v>42209</v>
      </c>
      <c r="I3116" s="3">
        <v>42215</v>
      </c>
      <c r="J3116" s="3">
        <v>42214</v>
      </c>
      <c r="K3116" s="3">
        <v>42274</v>
      </c>
      <c r="L3116"/>
      <c r="N3116"/>
      <c r="O3116">
        <v>550</v>
      </c>
      <c r="P3116">
        <v>127</v>
      </c>
      <c r="Q3116" s="4">
        <v>69850</v>
      </c>
      <c r="R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 s="3">
        <v>42562</v>
      </c>
      <c r="AC3116" t="s">
        <v>53</v>
      </c>
      <c r="AD3116" t="s">
        <v>53</v>
      </c>
      <c r="AK3116">
        <v>0</v>
      </c>
      <c r="AU3116" s="3">
        <v>42401</v>
      </c>
      <c r="AV3116" s="3">
        <v>42401</v>
      </c>
      <c r="AW3116" t="s">
        <v>54</v>
      </c>
      <c r="AX3116" t="str">
        <f t="shared" si="365"/>
        <v>FOR</v>
      </c>
      <c r="AY3116" t="s">
        <v>55</v>
      </c>
    </row>
    <row r="3117" spans="1:51" hidden="1">
      <c r="A3117">
        <v>104379</v>
      </c>
      <c r="B3117" t="s">
        <v>392</v>
      </c>
      <c r="C3117" t="str">
        <f t="shared" si="367"/>
        <v>01836081008</v>
      </c>
      <c r="D3117" t="str">
        <f t="shared" si="368"/>
        <v>07668030583</v>
      </c>
      <c r="E3117" t="s">
        <v>52</v>
      </c>
      <c r="F3117">
        <v>2015</v>
      </c>
      <c r="G3117" t="str">
        <f>"              968/03"</f>
        <v xml:space="preserve">              968/03</v>
      </c>
      <c r="H3117" s="3">
        <v>42209</v>
      </c>
      <c r="I3117" s="3">
        <v>42215</v>
      </c>
      <c r="J3117" s="3">
        <v>42214</v>
      </c>
      <c r="K3117" s="3">
        <v>42274</v>
      </c>
      <c r="L3117"/>
      <c r="N3117"/>
      <c r="O3117">
        <v>139</v>
      </c>
      <c r="P3117">
        <v>127</v>
      </c>
      <c r="Q3117" s="4">
        <v>17653</v>
      </c>
      <c r="R3117">
        <v>0</v>
      </c>
      <c r="V3117">
        <v>0</v>
      </c>
      <c r="W3117">
        <v>0</v>
      </c>
      <c r="X3117">
        <v>0</v>
      </c>
      <c r="Y3117">
        <v>0</v>
      </c>
      <c r="Z3117">
        <v>0</v>
      </c>
      <c r="AA3117">
        <v>0</v>
      </c>
      <c r="AB3117" s="3">
        <v>42562</v>
      </c>
      <c r="AC3117" t="s">
        <v>53</v>
      </c>
      <c r="AD3117" t="s">
        <v>53</v>
      </c>
      <c r="AK3117">
        <v>0</v>
      </c>
      <c r="AU3117" s="3">
        <v>42401</v>
      </c>
      <c r="AV3117" s="3">
        <v>42401</v>
      </c>
      <c r="AW3117" t="s">
        <v>54</v>
      </c>
      <c r="AX3117" t="str">
        <f t="shared" si="365"/>
        <v>FOR</v>
      </c>
      <c r="AY3117" t="s">
        <v>55</v>
      </c>
    </row>
    <row r="3118" spans="1:51" hidden="1">
      <c r="A3118">
        <v>104379</v>
      </c>
      <c r="B3118" t="s">
        <v>392</v>
      </c>
      <c r="C3118" t="str">
        <f t="shared" si="367"/>
        <v>01836081008</v>
      </c>
      <c r="D3118" t="str">
        <f t="shared" si="368"/>
        <v>07668030583</v>
      </c>
      <c r="E3118" t="s">
        <v>52</v>
      </c>
      <c r="F3118">
        <v>2015</v>
      </c>
      <c r="G3118" t="str">
        <f>"             1062/03"</f>
        <v xml:space="preserve">             1062/03</v>
      </c>
      <c r="H3118" s="3">
        <v>42213</v>
      </c>
      <c r="I3118" s="3">
        <v>42216</v>
      </c>
      <c r="J3118" s="3">
        <v>42215</v>
      </c>
      <c r="K3118" s="3">
        <v>42275</v>
      </c>
      <c r="L3118"/>
      <c r="N3118"/>
      <c r="O3118">
        <v>550</v>
      </c>
      <c r="P3118">
        <v>126</v>
      </c>
      <c r="Q3118" s="4">
        <v>69300</v>
      </c>
      <c r="R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 s="3">
        <v>42562</v>
      </c>
      <c r="AC3118" t="s">
        <v>53</v>
      </c>
      <c r="AD3118" t="s">
        <v>53</v>
      </c>
      <c r="AK3118">
        <v>0</v>
      </c>
      <c r="AU3118" s="3">
        <v>42401</v>
      </c>
      <c r="AV3118" s="3">
        <v>42401</v>
      </c>
      <c r="AW3118" t="s">
        <v>54</v>
      </c>
      <c r="AX3118" t="str">
        <f t="shared" si="365"/>
        <v>FOR</v>
      </c>
      <c r="AY3118" t="s">
        <v>55</v>
      </c>
    </row>
    <row r="3119" spans="1:51" hidden="1">
      <c r="A3119">
        <v>104379</v>
      </c>
      <c r="B3119" t="s">
        <v>392</v>
      </c>
      <c r="C3119" t="str">
        <f t="shared" si="367"/>
        <v>01836081008</v>
      </c>
      <c r="D3119" t="str">
        <f t="shared" si="368"/>
        <v>07668030583</v>
      </c>
      <c r="E3119" t="s">
        <v>52</v>
      </c>
      <c r="F3119">
        <v>2015</v>
      </c>
      <c r="G3119" t="str">
        <f>"             1063/03"</f>
        <v xml:space="preserve">             1063/03</v>
      </c>
      <c r="H3119" s="3">
        <v>42213</v>
      </c>
      <c r="I3119" s="3">
        <v>42216</v>
      </c>
      <c r="J3119" s="3">
        <v>42215</v>
      </c>
      <c r="K3119" s="3">
        <v>42275</v>
      </c>
      <c r="L3119"/>
      <c r="N3119"/>
      <c r="O3119">
        <v>139</v>
      </c>
      <c r="P3119">
        <v>126</v>
      </c>
      <c r="Q3119" s="4">
        <v>17514</v>
      </c>
      <c r="R3119">
        <v>0</v>
      </c>
      <c r="V3119">
        <v>0</v>
      </c>
      <c r="W3119">
        <v>0</v>
      </c>
      <c r="X3119">
        <v>0</v>
      </c>
      <c r="Y3119">
        <v>0</v>
      </c>
      <c r="Z3119">
        <v>0</v>
      </c>
      <c r="AA3119">
        <v>0</v>
      </c>
      <c r="AB3119" s="3">
        <v>42562</v>
      </c>
      <c r="AC3119" t="s">
        <v>53</v>
      </c>
      <c r="AD3119" t="s">
        <v>53</v>
      </c>
      <c r="AK3119">
        <v>0</v>
      </c>
      <c r="AU3119" s="3">
        <v>42401</v>
      </c>
      <c r="AV3119" s="3">
        <v>42401</v>
      </c>
      <c r="AW3119" t="s">
        <v>54</v>
      </c>
      <c r="AX3119" t="str">
        <f t="shared" si="365"/>
        <v>FOR</v>
      </c>
      <c r="AY3119" t="s">
        <v>55</v>
      </c>
    </row>
    <row r="3120" spans="1:51" hidden="1">
      <c r="A3120">
        <v>104379</v>
      </c>
      <c r="B3120" t="s">
        <v>392</v>
      </c>
      <c r="C3120" t="str">
        <f t="shared" si="367"/>
        <v>01836081008</v>
      </c>
      <c r="D3120" t="str">
        <f t="shared" si="368"/>
        <v>07668030583</v>
      </c>
      <c r="E3120" t="s">
        <v>52</v>
      </c>
      <c r="F3120">
        <v>2015</v>
      </c>
      <c r="G3120" t="str">
        <f>"             1064/03"</f>
        <v xml:space="preserve">             1064/03</v>
      </c>
      <c r="H3120" s="3">
        <v>42213</v>
      </c>
      <c r="I3120" s="3">
        <v>42216</v>
      </c>
      <c r="J3120" s="3">
        <v>42215</v>
      </c>
      <c r="K3120" s="3">
        <v>42275</v>
      </c>
      <c r="L3120"/>
      <c r="N3120"/>
      <c r="O3120">
        <v>500</v>
      </c>
      <c r="P3120">
        <v>126</v>
      </c>
      <c r="Q3120" s="4">
        <v>63000</v>
      </c>
      <c r="R3120">
        <v>0</v>
      </c>
      <c r="V3120">
        <v>0</v>
      </c>
      <c r="W3120">
        <v>0</v>
      </c>
      <c r="X3120">
        <v>0</v>
      </c>
      <c r="Y3120">
        <v>0</v>
      </c>
      <c r="Z3120">
        <v>0</v>
      </c>
      <c r="AA3120">
        <v>0</v>
      </c>
      <c r="AB3120" s="3">
        <v>42562</v>
      </c>
      <c r="AC3120" t="s">
        <v>53</v>
      </c>
      <c r="AD3120" t="s">
        <v>53</v>
      </c>
      <c r="AK3120">
        <v>0</v>
      </c>
      <c r="AU3120" s="3">
        <v>42401</v>
      </c>
      <c r="AV3120" s="3">
        <v>42401</v>
      </c>
      <c r="AW3120" t="s">
        <v>54</v>
      </c>
      <c r="AX3120" t="str">
        <f t="shared" si="365"/>
        <v>FOR</v>
      </c>
      <c r="AY3120" t="s">
        <v>55</v>
      </c>
    </row>
    <row r="3121" spans="1:51" hidden="1">
      <c r="A3121">
        <v>104379</v>
      </c>
      <c r="B3121" t="s">
        <v>392</v>
      </c>
      <c r="C3121" t="str">
        <f t="shared" si="367"/>
        <v>01836081008</v>
      </c>
      <c r="D3121" t="str">
        <f t="shared" si="368"/>
        <v>07668030583</v>
      </c>
      <c r="E3121" t="s">
        <v>52</v>
      </c>
      <c r="F3121">
        <v>2015</v>
      </c>
      <c r="G3121" t="str">
        <f>"             1065/03"</f>
        <v xml:space="preserve">             1065/03</v>
      </c>
      <c r="H3121" s="3">
        <v>42213</v>
      </c>
      <c r="I3121" s="3">
        <v>42216</v>
      </c>
      <c r="J3121" s="3">
        <v>42215</v>
      </c>
      <c r="K3121" s="3">
        <v>42275</v>
      </c>
      <c r="L3121"/>
      <c r="N3121"/>
      <c r="O3121">
        <v>139</v>
      </c>
      <c r="P3121">
        <v>126</v>
      </c>
      <c r="Q3121" s="4">
        <v>17514</v>
      </c>
      <c r="R3121">
        <v>0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 s="3">
        <v>42562</v>
      </c>
      <c r="AC3121" t="s">
        <v>53</v>
      </c>
      <c r="AD3121" t="s">
        <v>53</v>
      </c>
      <c r="AK3121">
        <v>0</v>
      </c>
      <c r="AU3121" s="3">
        <v>42401</v>
      </c>
      <c r="AV3121" s="3">
        <v>42401</v>
      </c>
      <c r="AW3121" t="s">
        <v>54</v>
      </c>
      <c r="AX3121" t="str">
        <f t="shared" si="365"/>
        <v>FOR</v>
      </c>
      <c r="AY3121" t="s">
        <v>55</v>
      </c>
    </row>
    <row r="3122" spans="1:51" hidden="1">
      <c r="A3122">
        <v>104379</v>
      </c>
      <c r="B3122" t="s">
        <v>392</v>
      </c>
      <c r="C3122" t="str">
        <f t="shared" si="367"/>
        <v>01836081008</v>
      </c>
      <c r="D3122" t="str">
        <f t="shared" si="368"/>
        <v>07668030583</v>
      </c>
      <c r="E3122" t="s">
        <v>52</v>
      </c>
      <c r="F3122">
        <v>2015</v>
      </c>
      <c r="G3122" t="str">
        <f>"             1313/03"</f>
        <v xml:space="preserve">             1313/03</v>
      </c>
      <c r="H3122" s="3">
        <v>42247</v>
      </c>
      <c r="I3122" s="3">
        <v>42261</v>
      </c>
      <c r="J3122" s="3">
        <v>42258</v>
      </c>
      <c r="K3122" s="3">
        <v>42318</v>
      </c>
      <c r="L3122"/>
      <c r="N3122"/>
      <c r="O3122">
        <v>550</v>
      </c>
      <c r="P3122">
        <v>97</v>
      </c>
      <c r="Q3122" s="4">
        <v>53350</v>
      </c>
      <c r="R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 s="3">
        <v>42562</v>
      </c>
      <c r="AC3122" t="s">
        <v>53</v>
      </c>
      <c r="AD3122" t="s">
        <v>53</v>
      </c>
      <c r="AK3122">
        <v>0</v>
      </c>
      <c r="AU3122" s="3">
        <v>42415</v>
      </c>
      <c r="AV3122" s="3">
        <v>42415</v>
      </c>
      <c r="AW3122" t="s">
        <v>54</v>
      </c>
      <c r="AX3122" t="str">
        <f t="shared" si="365"/>
        <v>FOR</v>
      </c>
      <c r="AY3122" t="s">
        <v>55</v>
      </c>
    </row>
    <row r="3123" spans="1:51" hidden="1">
      <c r="A3123">
        <v>104379</v>
      </c>
      <c r="B3123" t="s">
        <v>392</v>
      </c>
      <c r="C3123" t="str">
        <f t="shared" si="367"/>
        <v>01836081008</v>
      </c>
      <c r="D3123" t="str">
        <f t="shared" si="368"/>
        <v>07668030583</v>
      </c>
      <c r="E3123" t="s">
        <v>52</v>
      </c>
      <c r="F3123">
        <v>2015</v>
      </c>
      <c r="G3123" t="str">
        <f>"             1314/03"</f>
        <v xml:space="preserve">             1314/03</v>
      </c>
      <c r="H3123" s="3">
        <v>42247</v>
      </c>
      <c r="I3123" s="3">
        <v>42261</v>
      </c>
      <c r="J3123" s="3">
        <v>42258</v>
      </c>
      <c r="K3123" s="3">
        <v>42318</v>
      </c>
      <c r="L3123"/>
      <c r="N3123"/>
      <c r="O3123">
        <v>139</v>
      </c>
      <c r="P3123">
        <v>97</v>
      </c>
      <c r="Q3123" s="4">
        <v>13483</v>
      </c>
      <c r="R3123">
        <v>0</v>
      </c>
      <c r="V3123">
        <v>0</v>
      </c>
      <c r="W3123">
        <v>0</v>
      </c>
      <c r="X3123">
        <v>0</v>
      </c>
      <c r="Y3123">
        <v>0</v>
      </c>
      <c r="Z3123">
        <v>0</v>
      </c>
      <c r="AA3123">
        <v>0</v>
      </c>
      <c r="AB3123" s="3">
        <v>42562</v>
      </c>
      <c r="AC3123" t="s">
        <v>53</v>
      </c>
      <c r="AD3123" t="s">
        <v>53</v>
      </c>
      <c r="AK3123">
        <v>0</v>
      </c>
      <c r="AU3123" s="3">
        <v>42415</v>
      </c>
      <c r="AV3123" s="3">
        <v>42415</v>
      </c>
      <c r="AW3123" t="s">
        <v>54</v>
      </c>
      <c r="AX3123" t="str">
        <f t="shared" si="365"/>
        <v>FOR</v>
      </c>
      <c r="AY3123" t="s">
        <v>55</v>
      </c>
    </row>
    <row r="3124" spans="1:51" hidden="1">
      <c r="A3124">
        <v>104379</v>
      </c>
      <c r="B3124" t="s">
        <v>392</v>
      </c>
      <c r="C3124" t="str">
        <f t="shared" si="367"/>
        <v>01836081008</v>
      </c>
      <c r="D3124" t="str">
        <f t="shared" si="368"/>
        <v>07668030583</v>
      </c>
      <c r="E3124" t="s">
        <v>52</v>
      </c>
      <c r="F3124">
        <v>2015</v>
      </c>
      <c r="G3124" t="str">
        <f>"             1315/03"</f>
        <v xml:space="preserve">             1315/03</v>
      </c>
      <c r="H3124" s="3">
        <v>42247</v>
      </c>
      <c r="I3124" s="3">
        <v>42261</v>
      </c>
      <c r="J3124" s="3">
        <v>42258</v>
      </c>
      <c r="K3124" s="3">
        <v>42318</v>
      </c>
      <c r="L3124"/>
      <c r="N3124"/>
      <c r="O3124">
        <v>139</v>
      </c>
      <c r="P3124">
        <v>97</v>
      </c>
      <c r="Q3124" s="4">
        <v>13483</v>
      </c>
      <c r="R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 s="3">
        <v>42562</v>
      </c>
      <c r="AC3124" t="s">
        <v>53</v>
      </c>
      <c r="AD3124" t="s">
        <v>53</v>
      </c>
      <c r="AK3124">
        <v>0</v>
      </c>
      <c r="AU3124" s="3">
        <v>42415</v>
      </c>
      <c r="AV3124" s="3">
        <v>42415</v>
      </c>
      <c r="AW3124" t="s">
        <v>54</v>
      </c>
      <c r="AX3124" t="str">
        <f t="shared" si="365"/>
        <v>FOR</v>
      </c>
      <c r="AY3124" t="s">
        <v>55</v>
      </c>
    </row>
    <row r="3125" spans="1:51" hidden="1">
      <c r="A3125">
        <v>104379</v>
      </c>
      <c r="B3125" t="s">
        <v>392</v>
      </c>
      <c r="C3125" t="str">
        <f t="shared" si="367"/>
        <v>01836081008</v>
      </c>
      <c r="D3125" t="str">
        <f t="shared" si="368"/>
        <v>07668030583</v>
      </c>
      <c r="E3125" t="s">
        <v>52</v>
      </c>
      <c r="F3125">
        <v>2015</v>
      </c>
      <c r="G3125" t="str">
        <f>"             1316/03"</f>
        <v xml:space="preserve">             1316/03</v>
      </c>
      <c r="H3125" s="3">
        <v>42247</v>
      </c>
      <c r="I3125" s="3">
        <v>42261</v>
      </c>
      <c r="J3125" s="3">
        <v>42258</v>
      </c>
      <c r="K3125" s="3">
        <v>42318</v>
      </c>
      <c r="L3125"/>
      <c r="N3125"/>
      <c r="O3125">
        <v>550</v>
      </c>
      <c r="P3125">
        <v>97</v>
      </c>
      <c r="Q3125" s="4">
        <v>53350</v>
      </c>
      <c r="R3125">
        <v>0</v>
      </c>
      <c r="V3125">
        <v>0</v>
      </c>
      <c r="W3125">
        <v>0</v>
      </c>
      <c r="X3125">
        <v>0</v>
      </c>
      <c r="Y3125">
        <v>0</v>
      </c>
      <c r="Z3125">
        <v>0</v>
      </c>
      <c r="AA3125">
        <v>0</v>
      </c>
      <c r="AB3125" s="3">
        <v>42562</v>
      </c>
      <c r="AC3125" t="s">
        <v>53</v>
      </c>
      <c r="AD3125" t="s">
        <v>53</v>
      </c>
      <c r="AK3125">
        <v>0</v>
      </c>
      <c r="AU3125" s="3">
        <v>42415</v>
      </c>
      <c r="AV3125" s="3">
        <v>42415</v>
      </c>
      <c r="AW3125" t="s">
        <v>54</v>
      </c>
      <c r="AX3125" t="str">
        <f t="shared" si="365"/>
        <v>FOR</v>
      </c>
      <c r="AY3125" t="s">
        <v>55</v>
      </c>
    </row>
    <row r="3126" spans="1:51" hidden="1">
      <c r="A3126">
        <v>104379</v>
      </c>
      <c r="B3126" t="s">
        <v>392</v>
      </c>
      <c r="C3126" t="str">
        <f t="shared" si="367"/>
        <v>01836081008</v>
      </c>
      <c r="D3126" t="str">
        <f t="shared" si="368"/>
        <v>07668030583</v>
      </c>
      <c r="E3126" t="s">
        <v>52</v>
      </c>
      <c r="F3126">
        <v>2015</v>
      </c>
      <c r="G3126" t="str">
        <f>"             1317/03"</f>
        <v xml:space="preserve">             1317/03</v>
      </c>
      <c r="H3126" s="3">
        <v>42247</v>
      </c>
      <c r="I3126" s="3">
        <v>42261</v>
      </c>
      <c r="J3126" s="3">
        <v>42258</v>
      </c>
      <c r="K3126" s="3">
        <v>42318</v>
      </c>
      <c r="L3126"/>
      <c r="N3126"/>
      <c r="O3126">
        <v>550</v>
      </c>
      <c r="P3126">
        <v>97</v>
      </c>
      <c r="Q3126" s="4">
        <v>53350</v>
      </c>
      <c r="R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 s="3">
        <v>42562</v>
      </c>
      <c r="AC3126" t="s">
        <v>53</v>
      </c>
      <c r="AD3126" t="s">
        <v>53</v>
      </c>
      <c r="AK3126">
        <v>0</v>
      </c>
      <c r="AU3126" s="3">
        <v>42415</v>
      </c>
      <c r="AV3126" s="3">
        <v>42415</v>
      </c>
      <c r="AW3126" t="s">
        <v>54</v>
      </c>
      <c r="AX3126" t="str">
        <f t="shared" si="365"/>
        <v>FOR</v>
      </c>
      <c r="AY3126" t="s">
        <v>55</v>
      </c>
    </row>
    <row r="3127" spans="1:51" hidden="1">
      <c r="A3127">
        <v>104379</v>
      </c>
      <c r="B3127" t="s">
        <v>392</v>
      </c>
      <c r="C3127" t="str">
        <f t="shared" si="367"/>
        <v>01836081008</v>
      </c>
      <c r="D3127" t="str">
        <f t="shared" si="368"/>
        <v>07668030583</v>
      </c>
      <c r="E3127" t="s">
        <v>52</v>
      </c>
      <c r="F3127">
        <v>2015</v>
      </c>
      <c r="G3127" t="str">
        <f>"             1318/03"</f>
        <v xml:space="preserve">             1318/03</v>
      </c>
      <c r="H3127" s="3">
        <v>42247</v>
      </c>
      <c r="I3127" s="3">
        <v>42261</v>
      </c>
      <c r="J3127" s="3">
        <v>42258</v>
      </c>
      <c r="K3127" s="3">
        <v>42318</v>
      </c>
      <c r="L3127"/>
      <c r="N3127"/>
      <c r="O3127">
        <v>500</v>
      </c>
      <c r="P3127">
        <v>97</v>
      </c>
      <c r="Q3127" s="4">
        <v>48500</v>
      </c>
      <c r="R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 s="3">
        <v>42562</v>
      </c>
      <c r="AC3127" t="s">
        <v>53</v>
      </c>
      <c r="AD3127" t="s">
        <v>53</v>
      </c>
      <c r="AK3127">
        <v>0</v>
      </c>
      <c r="AU3127" s="3">
        <v>42415</v>
      </c>
      <c r="AV3127" s="3">
        <v>42415</v>
      </c>
      <c r="AW3127" t="s">
        <v>54</v>
      </c>
      <c r="AX3127" t="str">
        <f t="shared" si="365"/>
        <v>FOR</v>
      </c>
      <c r="AY3127" t="s">
        <v>55</v>
      </c>
    </row>
    <row r="3128" spans="1:51" hidden="1">
      <c r="A3128">
        <v>104379</v>
      </c>
      <c r="B3128" t="s">
        <v>392</v>
      </c>
      <c r="C3128" t="str">
        <f t="shared" si="367"/>
        <v>01836081008</v>
      </c>
      <c r="D3128" t="str">
        <f t="shared" si="368"/>
        <v>07668030583</v>
      </c>
      <c r="E3128" t="s">
        <v>52</v>
      </c>
      <c r="F3128">
        <v>2015</v>
      </c>
      <c r="G3128" t="str">
        <f>"             1319/03"</f>
        <v xml:space="preserve">             1319/03</v>
      </c>
      <c r="H3128" s="3">
        <v>42247</v>
      </c>
      <c r="I3128" s="3">
        <v>42261</v>
      </c>
      <c r="J3128" s="3">
        <v>42258</v>
      </c>
      <c r="K3128" s="3">
        <v>42318</v>
      </c>
      <c r="L3128"/>
      <c r="N3128"/>
      <c r="O3128">
        <v>500</v>
      </c>
      <c r="P3128">
        <v>97</v>
      </c>
      <c r="Q3128" s="4">
        <v>48500</v>
      </c>
      <c r="R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 s="3">
        <v>42562</v>
      </c>
      <c r="AC3128" t="s">
        <v>53</v>
      </c>
      <c r="AD3128" t="s">
        <v>53</v>
      </c>
      <c r="AK3128">
        <v>0</v>
      </c>
      <c r="AU3128" s="3">
        <v>42415</v>
      </c>
      <c r="AV3128" s="3">
        <v>42415</v>
      </c>
      <c r="AW3128" t="s">
        <v>54</v>
      </c>
      <c r="AX3128" t="str">
        <f t="shared" si="365"/>
        <v>FOR</v>
      </c>
      <c r="AY3128" t="s">
        <v>55</v>
      </c>
    </row>
    <row r="3129" spans="1:51" hidden="1">
      <c r="A3129">
        <v>104379</v>
      </c>
      <c r="B3129" t="s">
        <v>392</v>
      </c>
      <c r="C3129" t="str">
        <f t="shared" si="367"/>
        <v>01836081008</v>
      </c>
      <c r="D3129" t="str">
        <f t="shared" si="368"/>
        <v>07668030583</v>
      </c>
      <c r="E3129" t="s">
        <v>52</v>
      </c>
      <c r="F3129">
        <v>2015</v>
      </c>
      <c r="G3129" t="str">
        <f>"             1485/03"</f>
        <v xml:space="preserve">             1485/03</v>
      </c>
      <c r="H3129" s="3">
        <v>42277</v>
      </c>
      <c r="I3129" s="3">
        <v>42291</v>
      </c>
      <c r="J3129" s="3">
        <v>42291</v>
      </c>
      <c r="K3129" s="3">
        <v>42351</v>
      </c>
      <c r="L3129"/>
      <c r="N3129"/>
      <c r="O3129">
        <v>139</v>
      </c>
      <c r="P3129">
        <v>78</v>
      </c>
      <c r="Q3129" s="4">
        <v>10842</v>
      </c>
      <c r="R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 s="3">
        <v>42562</v>
      </c>
      <c r="AC3129" t="s">
        <v>53</v>
      </c>
      <c r="AD3129" t="s">
        <v>53</v>
      </c>
      <c r="AK3129">
        <v>0</v>
      </c>
      <c r="AU3129" s="3">
        <v>42429</v>
      </c>
      <c r="AV3129" s="3">
        <v>42429</v>
      </c>
      <c r="AW3129" t="s">
        <v>54</v>
      </c>
      <c r="AX3129" t="str">
        <f t="shared" si="365"/>
        <v>FOR</v>
      </c>
      <c r="AY3129" t="s">
        <v>55</v>
      </c>
    </row>
    <row r="3130" spans="1:51" hidden="1">
      <c r="A3130">
        <v>104379</v>
      </c>
      <c r="B3130" t="s">
        <v>392</v>
      </c>
      <c r="C3130" t="str">
        <f t="shared" si="367"/>
        <v>01836081008</v>
      </c>
      <c r="D3130" t="str">
        <f t="shared" si="368"/>
        <v>07668030583</v>
      </c>
      <c r="E3130" t="s">
        <v>52</v>
      </c>
      <c r="F3130">
        <v>2015</v>
      </c>
      <c r="G3130" t="str">
        <f>"             1486/03"</f>
        <v xml:space="preserve">             1486/03</v>
      </c>
      <c r="H3130" s="3">
        <v>42277</v>
      </c>
      <c r="I3130" s="3">
        <v>42292</v>
      </c>
      <c r="J3130" s="3">
        <v>42292</v>
      </c>
      <c r="K3130" s="3">
        <v>42352</v>
      </c>
      <c r="L3130"/>
      <c r="N3130"/>
      <c r="O3130">
        <v>550</v>
      </c>
      <c r="P3130">
        <v>77</v>
      </c>
      <c r="Q3130" s="4">
        <v>42350</v>
      </c>
      <c r="R3130">
        <v>0</v>
      </c>
      <c r="V3130">
        <v>0</v>
      </c>
      <c r="W3130">
        <v>0</v>
      </c>
      <c r="X3130">
        <v>0</v>
      </c>
      <c r="Y3130">
        <v>0</v>
      </c>
      <c r="Z3130">
        <v>0</v>
      </c>
      <c r="AA3130">
        <v>0</v>
      </c>
      <c r="AB3130" s="3">
        <v>42562</v>
      </c>
      <c r="AC3130" t="s">
        <v>53</v>
      </c>
      <c r="AD3130" t="s">
        <v>53</v>
      </c>
      <c r="AK3130">
        <v>0</v>
      </c>
      <c r="AU3130" s="3">
        <v>42429</v>
      </c>
      <c r="AV3130" s="3">
        <v>42429</v>
      </c>
      <c r="AW3130" t="s">
        <v>54</v>
      </c>
      <c r="AX3130" t="str">
        <f t="shared" si="365"/>
        <v>FOR</v>
      </c>
      <c r="AY3130" t="s">
        <v>55</v>
      </c>
    </row>
    <row r="3131" spans="1:51" hidden="1">
      <c r="A3131">
        <v>104379</v>
      </c>
      <c r="B3131" t="s">
        <v>392</v>
      </c>
      <c r="C3131" t="str">
        <f t="shared" si="367"/>
        <v>01836081008</v>
      </c>
      <c r="D3131" t="str">
        <f t="shared" si="368"/>
        <v>07668030583</v>
      </c>
      <c r="E3131" t="s">
        <v>52</v>
      </c>
      <c r="F3131">
        <v>2015</v>
      </c>
      <c r="G3131" t="str">
        <f>"             1487/03"</f>
        <v xml:space="preserve">             1487/03</v>
      </c>
      <c r="H3131" s="3">
        <v>42277</v>
      </c>
      <c r="I3131" s="3">
        <v>42292</v>
      </c>
      <c r="J3131" s="3">
        <v>42292</v>
      </c>
      <c r="K3131" s="3">
        <v>42352</v>
      </c>
      <c r="L3131"/>
      <c r="N3131"/>
      <c r="O3131">
        <v>500</v>
      </c>
      <c r="P3131">
        <v>77</v>
      </c>
      <c r="Q3131" s="4">
        <v>38500</v>
      </c>
      <c r="R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 s="3">
        <v>42562</v>
      </c>
      <c r="AC3131" t="s">
        <v>53</v>
      </c>
      <c r="AD3131" t="s">
        <v>53</v>
      </c>
      <c r="AK3131">
        <v>0</v>
      </c>
      <c r="AU3131" s="3">
        <v>42429</v>
      </c>
      <c r="AV3131" s="3">
        <v>42429</v>
      </c>
      <c r="AW3131" t="s">
        <v>54</v>
      </c>
      <c r="AX3131" t="str">
        <f t="shared" si="365"/>
        <v>FOR</v>
      </c>
      <c r="AY3131" t="s">
        <v>55</v>
      </c>
    </row>
    <row r="3132" spans="1:51" hidden="1">
      <c r="A3132">
        <v>104379</v>
      </c>
      <c r="B3132" t="s">
        <v>392</v>
      </c>
      <c r="C3132" t="str">
        <f t="shared" si="367"/>
        <v>01836081008</v>
      </c>
      <c r="D3132" t="str">
        <f t="shared" si="368"/>
        <v>07668030583</v>
      </c>
      <c r="E3132" t="s">
        <v>52</v>
      </c>
      <c r="F3132">
        <v>2015</v>
      </c>
      <c r="G3132" t="str">
        <f>"             1488/03"</f>
        <v xml:space="preserve">             1488/03</v>
      </c>
      <c r="H3132" s="3">
        <v>42277</v>
      </c>
      <c r="I3132" s="3">
        <v>42292</v>
      </c>
      <c r="J3132" s="3">
        <v>42292</v>
      </c>
      <c r="K3132" s="3">
        <v>42352</v>
      </c>
      <c r="L3132"/>
      <c r="N3132"/>
      <c r="O3132">
        <v>139</v>
      </c>
      <c r="P3132">
        <v>77</v>
      </c>
      <c r="Q3132" s="4">
        <v>10703</v>
      </c>
      <c r="R3132">
        <v>0</v>
      </c>
      <c r="V3132">
        <v>0</v>
      </c>
      <c r="W3132">
        <v>0</v>
      </c>
      <c r="X3132">
        <v>0</v>
      </c>
      <c r="Y3132">
        <v>0</v>
      </c>
      <c r="Z3132">
        <v>0</v>
      </c>
      <c r="AA3132">
        <v>0</v>
      </c>
      <c r="AB3132" s="3">
        <v>42562</v>
      </c>
      <c r="AC3132" t="s">
        <v>53</v>
      </c>
      <c r="AD3132" t="s">
        <v>53</v>
      </c>
      <c r="AK3132">
        <v>0</v>
      </c>
      <c r="AU3132" s="3">
        <v>42429</v>
      </c>
      <c r="AV3132" s="3">
        <v>42429</v>
      </c>
      <c r="AW3132" t="s">
        <v>54</v>
      </c>
      <c r="AX3132" t="str">
        <f t="shared" si="365"/>
        <v>FOR</v>
      </c>
      <c r="AY3132" t="s">
        <v>55</v>
      </c>
    </row>
    <row r="3133" spans="1:51" hidden="1">
      <c r="A3133">
        <v>104379</v>
      </c>
      <c r="B3133" t="s">
        <v>392</v>
      </c>
      <c r="C3133" t="str">
        <f t="shared" si="367"/>
        <v>01836081008</v>
      </c>
      <c r="D3133" t="str">
        <f t="shared" si="368"/>
        <v>07668030583</v>
      </c>
      <c r="E3133" t="s">
        <v>52</v>
      </c>
      <c r="F3133">
        <v>2015</v>
      </c>
      <c r="G3133" t="str">
        <f>"             1489/03"</f>
        <v xml:space="preserve">             1489/03</v>
      </c>
      <c r="H3133" s="3">
        <v>42277</v>
      </c>
      <c r="I3133" s="3">
        <v>42292</v>
      </c>
      <c r="J3133" s="3">
        <v>42292</v>
      </c>
      <c r="K3133" s="3">
        <v>42352</v>
      </c>
      <c r="L3133"/>
      <c r="N3133"/>
      <c r="O3133">
        <v>550</v>
      </c>
      <c r="P3133">
        <v>77</v>
      </c>
      <c r="Q3133" s="4">
        <v>42350</v>
      </c>
      <c r="R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>
        <v>0</v>
      </c>
      <c r="AB3133" s="3">
        <v>42562</v>
      </c>
      <c r="AC3133" t="s">
        <v>53</v>
      </c>
      <c r="AD3133" t="s">
        <v>53</v>
      </c>
      <c r="AK3133">
        <v>0</v>
      </c>
      <c r="AU3133" s="3">
        <v>42429</v>
      </c>
      <c r="AV3133" s="3">
        <v>42429</v>
      </c>
      <c r="AW3133" t="s">
        <v>54</v>
      </c>
      <c r="AX3133" t="str">
        <f t="shared" ref="AX3133:AX3164" si="369">"FOR"</f>
        <v>FOR</v>
      </c>
      <c r="AY3133" t="s">
        <v>55</v>
      </c>
    </row>
    <row r="3134" spans="1:51" hidden="1">
      <c r="A3134">
        <v>104379</v>
      </c>
      <c r="B3134" t="s">
        <v>392</v>
      </c>
      <c r="C3134" t="str">
        <f t="shared" si="367"/>
        <v>01836081008</v>
      </c>
      <c r="D3134" t="str">
        <f t="shared" si="368"/>
        <v>07668030583</v>
      </c>
      <c r="E3134" t="s">
        <v>52</v>
      </c>
      <c r="F3134">
        <v>2015</v>
      </c>
      <c r="G3134" t="str">
        <f>"             1794/03"</f>
        <v xml:space="preserve">             1794/03</v>
      </c>
      <c r="H3134" s="3">
        <v>42307</v>
      </c>
      <c r="I3134" s="3">
        <v>42324</v>
      </c>
      <c r="J3134" s="3">
        <v>42321</v>
      </c>
      <c r="K3134" s="3">
        <v>42381</v>
      </c>
      <c r="L3134"/>
      <c r="N3134"/>
      <c r="O3134">
        <v>550</v>
      </c>
      <c r="P3134">
        <v>71</v>
      </c>
      <c r="Q3134" s="4">
        <v>39050</v>
      </c>
      <c r="R3134">
        <v>0</v>
      </c>
      <c r="V3134">
        <v>0</v>
      </c>
      <c r="W3134">
        <v>0</v>
      </c>
      <c r="X3134">
        <v>0</v>
      </c>
      <c r="Y3134">
        <v>0</v>
      </c>
      <c r="Z3134">
        <v>0</v>
      </c>
      <c r="AA3134">
        <v>0</v>
      </c>
      <c r="AB3134" s="3">
        <v>42562</v>
      </c>
      <c r="AC3134" t="s">
        <v>53</v>
      </c>
      <c r="AD3134" t="s">
        <v>53</v>
      </c>
      <c r="AK3134">
        <v>0</v>
      </c>
      <c r="AU3134" s="3">
        <v>42452</v>
      </c>
      <c r="AV3134" s="3">
        <v>42452</v>
      </c>
      <c r="AW3134" t="s">
        <v>54</v>
      </c>
      <c r="AX3134" t="str">
        <f t="shared" si="369"/>
        <v>FOR</v>
      </c>
      <c r="AY3134" t="s">
        <v>55</v>
      </c>
    </row>
    <row r="3135" spans="1:51" hidden="1">
      <c r="A3135">
        <v>104379</v>
      </c>
      <c r="B3135" t="s">
        <v>392</v>
      </c>
      <c r="C3135" t="str">
        <f t="shared" si="367"/>
        <v>01836081008</v>
      </c>
      <c r="D3135" t="str">
        <f t="shared" si="368"/>
        <v>07668030583</v>
      </c>
      <c r="E3135" t="s">
        <v>52</v>
      </c>
      <c r="F3135">
        <v>2015</v>
      </c>
      <c r="G3135" t="str">
        <f>"             1795/03"</f>
        <v xml:space="preserve">             1795/03</v>
      </c>
      <c r="H3135" s="3">
        <v>42307</v>
      </c>
      <c r="I3135" s="3">
        <v>42324</v>
      </c>
      <c r="J3135" s="3">
        <v>42321</v>
      </c>
      <c r="K3135" s="3">
        <v>42381</v>
      </c>
      <c r="L3135"/>
      <c r="N3135"/>
      <c r="O3135">
        <v>550</v>
      </c>
      <c r="P3135">
        <v>71</v>
      </c>
      <c r="Q3135" s="4">
        <v>39050</v>
      </c>
      <c r="R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 s="3">
        <v>42562</v>
      </c>
      <c r="AC3135" t="s">
        <v>53</v>
      </c>
      <c r="AD3135" t="s">
        <v>53</v>
      </c>
      <c r="AK3135">
        <v>0</v>
      </c>
      <c r="AU3135" s="3">
        <v>42452</v>
      </c>
      <c r="AV3135" s="3">
        <v>42452</v>
      </c>
      <c r="AW3135" t="s">
        <v>54</v>
      </c>
      <c r="AX3135" t="str">
        <f t="shared" si="369"/>
        <v>FOR</v>
      </c>
      <c r="AY3135" t="s">
        <v>55</v>
      </c>
    </row>
    <row r="3136" spans="1:51" hidden="1">
      <c r="A3136">
        <v>104379</v>
      </c>
      <c r="B3136" t="s">
        <v>392</v>
      </c>
      <c r="C3136" t="str">
        <f t="shared" si="367"/>
        <v>01836081008</v>
      </c>
      <c r="D3136" t="str">
        <f t="shared" si="368"/>
        <v>07668030583</v>
      </c>
      <c r="E3136" t="s">
        <v>52</v>
      </c>
      <c r="F3136">
        <v>2015</v>
      </c>
      <c r="G3136" t="str">
        <f>"             1796/03"</f>
        <v xml:space="preserve">             1796/03</v>
      </c>
      <c r="H3136" s="3">
        <v>42307</v>
      </c>
      <c r="I3136" s="3">
        <v>42324</v>
      </c>
      <c r="J3136" s="3">
        <v>42321</v>
      </c>
      <c r="K3136" s="3">
        <v>42381</v>
      </c>
      <c r="L3136"/>
      <c r="N3136"/>
      <c r="O3136">
        <v>550</v>
      </c>
      <c r="P3136">
        <v>71</v>
      </c>
      <c r="Q3136" s="4">
        <v>39050</v>
      </c>
      <c r="R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 s="3">
        <v>42562</v>
      </c>
      <c r="AC3136" t="s">
        <v>53</v>
      </c>
      <c r="AD3136" t="s">
        <v>53</v>
      </c>
      <c r="AK3136">
        <v>0</v>
      </c>
      <c r="AU3136" s="3">
        <v>42452</v>
      </c>
      <c r="AV3136" s="3">
        <v>42452</v>
      </c>
      <c r="AW3136" t="s">
        <v>54</v>
      </c>
      <c r="AX3136" t="str">
        <f t="shared" si="369"/>
        <v>FOR</v>
      </c>
      <c r="AY3136" t="s">
        <v>55</v>
      </c>
    </row>
    <row r="3137" spans="1:51" hidden="1">
      <c r="A3137">
        <v>104379</v>
      </c>
      <c r="B3137" t="s">
        <v>392</v>
      </c>
      <c r="C3137" t="str">
        <f t="shared" si="367"/>
        <v>01836081008</v>
      </c>
      <c r="D3137" t="str">
        <f t="shared" si="368"/>
        <v>07668030583</v>
      </c>
      <c r="E3137" t="s">
        <v>52</v>
      </c>
      <c r="F3137">
        <v>2015</v>
      </c>
      <c r="G3137" t="str">
        <f>"             1797/03"</f>
        <v xml:space="preserve">             1797/03</v>
      </c>
      <c r="H3137" s="3">
        <v>42307</v>
      </c>
      <c r="I3137" s="3">
        <v>42324</v>
      </c>
      <c r="J3137" s="3">
        <v>42321</v>
      </c>
      <c r="K3137" s="3">
        <v>42381</v>
      </c>
      <c r="L3137"/>
      <c r="N3137"/>
      <c r="O3137">
        <v>550</v>
      </c>
      <c r="P3137">
        <v>71</v>
      </c>
      <c r="Q3137" s="4">
        <v>39050</v>
      </c>
      <c r="R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 s="3">
        <v>42562</v>
      </c>
      <c r="AC3137" t="s">
        <v>53</v>
      </c>
      <c r="AD3137" t="s">
        <v>53</v>
      </c>
      <c r="AK3137">
        <v>0</v>
      </c>
      <c r="AU3137" s="3">
        <v>42452</v>
      </c>
      <c r="AV3137" s="3">
        <v>42452</v>
      </c>
      <c r="AW3137" t="s">
        <v>54</v>
      </c>
      <c r="AX3137" t="str">
        <f t="shared" si="369"/>
        <v>FOR</v>
      </c>
      <c r="AY3137" t="s">
        <v>55</v>
      </c>
    </row>
    <row r="3138" spans="1:51" hidden="1">
      <c r="A3138">
        <v>104379</v>
      </c>
      <c r="B3138" t="s">
        <v>392</v>
      </c>
      <c r="C3138" t="str">
        <f t="shared" si="367"/>
        <v>01836081008</v>
      </c>
      <c r="D3138" t="str">
        <f t="shared" si="368"/>
        <v>07668030583</v>
      </c>
      <c r="E3138" t="s">
        <v>52</v>
      </c>
      <c r="F3138">
        <v>2015</v>
      </c>
      <c r="G3138" t="str">
        <f>"             1798/03"</f>
        <v xml:space="preserve">             1798/03</v>
      </c>
      <c r="H3138" s="3">
        <v>42307</v>
      </c>
      <c r="I3138" s="3">
        <v>42324</v>
      </c>
      <c r="J3138" s="3">
        <v>42321</v>
      </c>
      <c r="K3138" s="3">
        <v>42381</v>
      </c>
      <c r="L3138"/>
      <c r="N3138"/>
      <c r="O3138">
        <v>139</v>
      </c>
      <c r="P3138">
        <v>71</v>
      </c>
      <c r="Q3138" s="4">
        <v>9869</v>
      </c>
      <c r="R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 s="3">
        <v>42562</v>
      </c>
      <c r="AC3138" t="s">
        <v>53</v>
      </c>
      <c r="AD3138" t="s">
        <v>53</v>
      </c>
      <c r="AK3138">
        <v>0</v>
      </c>
      <c r="AU3138" s="3">
        <v>42452</v>
      </c>
      <c r="AV3138" s="3">
        <v>42452</v>
      </c>
      <c r="AW3138" t="s">
        <v>54</v>
      </c>
      <c r="AX3138" t="str">
        <f t="shared" si="369"/>
        <v>FOR</v>
      </c>
      <c r="AY3138" t="s">
        <v>55</v>
      </c>
    </row>
    <row r="3139" spans="1:51" hidden="1">
      <c r="A3139">
        <v>104379</v>
      </c>
      <c r="B3139" t="s">
        <v>392</v>
      </c>
      <c r="C3139" t="str">
        <f t="shared" si="367"/>
        <v>01836081008</v>
      </c>
      <c r="D3139" t="str">
        <f t="shared" si="368"/>
        <v>07668030583</v>
      </c>
      <c r="E3139" t="s">
        <v>52</v>
      </c>
      <c r="F3139">
        <v>2015</v>
      </c>
      <c r="G3139" t="str">
        <f>"             1799/03"</f>
        <v xml:space="preserve">             1799/03</v>
      </c>
      <c r="H3139" s="3">
        <v>42307</v>
      </c>
      <c r="I3139" s="3">
        <v>42324</v>
      </c>
      <c r="J3139" s="3">
        <v>42321</v>
      </c>
      <c r="K3139" s="3">
        <v>42381</v>
      </c>
      <c r="L3139"/>
      <c r="N3139"/>
      <c r="O3139">
        <v>139</v>
      </c>
      <c r="P3139">
        <v>71</v>
      </c>
      <c r="Q3139" s="4">
        <v>9869</v>
      </c>
      <c r="R3139">
        <v>0</v>
      </c>
      <c r="V3139">
        <v>0</v>
      </c>
      <c r="W3139">
        <v>0</v>
      </c>
      <c r="X3139">
        <v>0</v>
      </c>
      <c r="Y3139">
        <v>0</v>
      </c>
      <c r="Z3139">
        <v>0</v>
      </c>
      <c r="AA3139">
        <v>0</v>
      </c>
      <c r="AB3139" s="3">
        <v>42562</v>
      </c>
      <c r="AC3139" t="s">
        <v>53</v>
      </c>
      <c r="AD3139" t="s">
        <v>53</v>
      </c>
      <c r="AK3139">
        <v>0</v>
      </c>
      <c r="AU3139" s="3">
        <v>42452</v>
      </c>
      <c r="AV3139" s="3">
        <v>42452</v>
      </c>
      <c r="AW3139" t="s">
        <v>54</v>
      </c>
      <c r="AX3139" t="str">
        <f t="shared" si="369"/>
        <v>FOR</v>
      </c>
      <c r="AY3139" t="s">
        <v>55</v>
      </c>
    </row>
    <row r="3140" spans="1:51" hidden="1">
      <c r="A3140">
        <v>104379</v>
      </c>
      <c r="B3140" t="s">
        <v>392</v>
      </c>
      <c r="C3140" t="str">
        <f t="shared" si="367"/>
        <v>01836081008</v>
      </c>
      <c r="D3140" t="str">
        <f t="shared" si="368"/>
        <v>07668030583</v>
      </c>
      <c r="E3140" t="s">
        <v>52</v>
      </c>
      <c r="F3140">
        <v>2015</v>
      </c>
      <c r="G3140" t="str">
        <f>"             1800/03"</f>
        <v xml:space="preserve">             1800/03</v>
      </c>
      <c r="H3140" s="3">
        <v>42307</v>
      </c>
      <c r="I3140" s="3">
        <v>42324</v>
      </c>
      <c r="J3140" s="3">
        <v>42321</v>
      </c>
      <c r="K3140" s="3">
        <v>42381</v>
      </c>
      <c r="L3140"/>
      <c r="N3140"/>
      <c r="O3140">
        <v>139</v>
      </c>
      <c r="P3140">
        <v>71</v>
      </c>
      <c r="Q3140" s="4">
        <v>9869</v>
      </c>
      <c r="R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 s="3">
        <v>42562</v>
      </c>
      <c r="AC3140" t="s">
        <v>53</v>
      </c>
      <c r="AD3140" t="s">
        <v>53</v>
      </c>
      <c r="AK3140">
        <v>0</v>
      </c>
      <c r="AU3140" s="3">
        <v>42452</v>
      </c>
      <c r="AV3140" s="3">
        <v>42452</v>
      </c>
      <c r="AW3140" t="s">
        <v>54</v>
      </c>
      <c r="AX3140" t="str">
        <f t="shared" si="369"/>
        <v>FOR</v>
      </c>
      <c r="AY3140" t="s">
        <v>55</v>
      </c>
    </row>
    <row r="3141" spans="1:51">
      <c r="A3141">
        <v>104379</v>
      </c>
      <c r="B3141" t="s">
        <v>392</v>
      </c>
      <c r="C3141" t="str">
        <f t="shared" si="367"/>
        <v>01836081008</v>
      </c>
      <c r="D3141" t="str">
        <f t="shared" si="368"/>
        <v>07668030583</v>
      </c>
      <c r="E3141" t="s">
        <v>52</v>
      </c>
      <c r="F3141">
        <v>2015</v>
      </c>
      <c r="G3141" t="str">
        <f>"             2076/03"</f>
        <v xml:space="preserve">             2076/03</v>
      </c>
      <c r="H3141" s="3">
        <v>42338</v>
      </c>
      <c r="I3141" s="3">
        <v>42354</v>
      </c>
      <c r="J3141" s="3">
        <v>42352</v>
      </c>
      <c r="K3141" s="3">
        <v>42412</v>
      </c>
      <c r="L3141" s="1">
        <v>550</v>
      </c>
      <c r="M3141">
        <v>75</v>
      </c>
      <c r="N3141" s="5">
        <v>41250</v>
      </c>
      <c r="O3141">
        <v>550</v>
      </c>
      <c r="P3141">
        <v>75</v>
      </c>
      <c r="Q3141" s="4">
        <v>41250</v>
      </c>
      <c r="R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 s="3">
        <v>42562</v>
      </c>
      <c r="AC3141" t="s">
        <v>53</v>
      </c>
      <c r="AD3141" t="s">
        <v>53</v>
      </c>
      <c r="AK3141">
        <v>0</v>
      </c>
      <c r="AU3141" s="3">
        <v>42487</v>
      </c>
      <c r="AV3141" s="3">
        <v>42487</v>
      </c>
      <c r="AW3141" t="s">
        <v>54</v>
      </c>
      <c r="AX3141" t="str">
        <f t="shared" si="369"/>
        <v>FOR</v>
      </c>
      <c r="AY3141" t="s">
        <v>55</v>
      </c>
    </row>
    <row r="3142" spans="1:51">
      <c r="A3142">
        <v>104379</v>
      </c>
      <c r="B3142" t="s">
        <v>392</v>
      </c>
      <c r="C3142" t="str">
        <f t="shared" si="367"/>
        <v>01836081008</v>
      </c>
      <c r="D3142" t="str">
        <f t="shared" si="368"/>
        <v>07668030583</v>
      </c>
      <c r="E3142" t="s">
        <v>52</v>
      </c>
      <c r="F3142">
        <v>2015</v>
      </c>
      <c r="G3142" t="str">
        <f>"             2077/03"</f>
        <v xml:space="preserve">             2077/03</v>
      </c>
      <c r="H3142" s="3">
        <v>42338</v>
      </c>
      <c r="I3142" s="3">
        <v>42354</v>
      </c>
      <c r="J3142" s="3">
        <v>42352</v>
      </c>
      <c r="K3142" s="3">
        <v>42412</v>
      </c>
      <c r="L3142" s="1">
        <v>139</v>
      </c>
      <c r="M3142">
        <v>75</v>
      </c>
      <c r="N3142" s="5">
        <v>10425</v>
      </c>
      <c r="O3142">
        <v>139</v>
      </c>
      <c r="P3142">
        <v>75</v>
      </c>
      <c r="Q3142" s="4">
        <v>10425</v>
      </c>
      <c r="R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>
        <v>0</v>
      </c>
      <c r="AB3142" s="3">
        <v>42562</v>
      </c>
      <c r="AC3142" t="s">
        <v>53</v>
      </c>
      <c r="AD3142" t="s">
        <v>53</v>
      </c>
      <c r="AK3142">
        <v>0</v>
      </c>
      <c r="AU3142" s="3">
        <v>42487</v>
      </c>
      <c r="AV3142" s="3">
        <v>42487</v>
      </c>
      <c r="AW3142" t="s">
        <v>54</v>
      </c>
      <c r="AX3142" t="str">
        <f t="shared" si="369"/>
        <v>FOR</v>
      </c>
      <c r="AY3142" t="s">
        <v>55</v>
      </c>
    </row>
    <row r="3143" spans="1:51">
      <c r="A3143">
        <v>104379</v>
      </c>
      <c r="B3143" t="s">
        <v>392</v>
      </c>
      <c r="C3143" t="str">
        <f t="shared" si="367"/>
        <v>01836081008</v>
      </c>
      <c r="D3143" t="str">
        <f t="shared" si="368"/>
        <v>07668030583</v>
      </c>
      <c r="E3143" t="s">
        <v>52</v>
      </c>
      <c r="F3143">
        <v>2015</v>
      </c>
      <c r="G3143" t="str">
        <f>"             2200/03"</f>
        <v xml:space="preserve">             2200/03</v>
      </c>
      <c r="H3143" s="3">
        <v>42338</v>
      </c>
      <c r="I3143" s="3">
        <v>42355</v>
      </c>
      <c r="J3143" s="3">
        <v>42354</v>
      </c>
      <c r="K3143" s="3">
        <v>42414</v>
      </c>
      <c r="L3143" s="1">
        <v>550</v>
      </c>
      <c r="M3143">
        <v>73</v>
      </c>
      <c r="N3143" s="5">
        <v>40150</v>
      </c>
      <c r="O3143">
        <v>550</v>
      </c>
      <c r="P3143">
        <v>73</v>
      </c>
      <c r="Q3143" s="4">
        <v>40150</v>
      </c>
      <c r="R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 s="3">
        <v>42562</v>
      </c>
      <c r="AC3143" t="s">
        <v>53</v>
      </c>
      <c r="AD3143" t="s">
        <v>53</v>
      </c>
      <c r="AK3143">
        <v>0</v>
      </c>
      <c r="AU3143" s="3">
        <v>42487</v>
      </c>
      <c r="AV3143" s="3">
        <v>42487</v>
      </c>
      <c r="AW3143" t="s">
        <v>54</v>
      </c>
      <c r="AX3143" t="str">
        <f t="shared" si="369"/>
        <v>FOR</v>
      </c>
      <c r="AY3143" t="s">
        <v>55</v>
      </c>
    </row>
    <row r="3144" spans="1:51">
      <c r="A3144">
        <v>104379</v>
      </c>
      <c r="B3144" t="s">
        <v>392</v>
      </c>
      <c r="C3144" t="str">
        <f t="shared" si="367"/>
        <v>01836081008</v>
      </c>
      <c r="D3144" t="str">
        <f t="shared" si="368"/>
        <v>07668030583</v>
      </c>
      <c r="E3144" t="s">
        <v>52</v>
      </c>
      <c r="F3144">
        <v>2015</v>
      </c>
      <c r="G3144" t="str">
        <f>"             2201/03"</f>
        <v xml:space="preserve">             2201/03</v>
      </c>
      <c r="H3144" s="3">
        <v>42338</v>
      </c>
      <c r="I3144" s="3">
        <v>42355</v>
      </c>
      <c r="J3144" s="3">
        <v>42354</v>
      </c>
      <c r="K3144" s="3">
        <v>42414</v>
      </c>
      <c r="L3144" s="1">
        <v>550</v>
      </c>
      <c r="M3144">
        <v>73</v>
      </c>
      <c r="N3144" s="5">
        <v>40150</v>
      </c>
      <c r="O3144">
        <v>550</v>
      </c>
      <c r="P3144">
        <v>73</v>
      </c>
      <c r="Q3144" s="4">
        <v>40150</v>
      </c>
      <c r="R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 s="3">
        <v>42562</v>
      </c>
      <c r="AC3144" t="s">
        <v>53</v>
      </c>
      <c r="AD3144" t="s">
        <v>53</v>
      </c>
      <c r="AK3144">
        <v>0</v>
      </c>
      <c r="AU3144" s="3">
        <v>42487</v>
      </c>
      <c r="AV3144" s="3">
        <v>42487</v>
      </c>
      <c r="AW3144" t="s">
        <v>54</v>
      </c>
      <c r="AX3144" t="str">
        <f t="shared" si="369"/>
        <v>FOR</v>
      </c>
      <c r="AY3144" t="s">
        <v>55</v>
      </c>
    </row>
    <row r="3145" spans="1:51">
      <c r="A3145">
        <v>104379</v>
      </c>
      <c r="B3145" t="s">
        <v>392</v>
      </c>
      <c r="C3145" t="str">
        <f t="shared" si="367"/>
        <v>01836081008</v>
      </c>
      <c r="D3145" t="str">
        <f t="shared" si="368"/>
        <v>07668030583</v>
      </c>
      <c r="E3145" t="s">
        <v>52</v>
      </c>
      <c r="F3145">
        <v>2015</v>
      </c>
      <c r="G3145" t="str">
        <f>"             2202/03"</f>
        <v xml:space="preserve">             2202/03</v>
      </c>
      <c r="H3145" s="3">
        <v>42338</v>
      </c>
      <c r="I3145" s="3">
        <v>42355</v>
      </c>
      <c r="J3145" s="3">
        <v>42354</v>
      </c>
      <c r="K3145" s="3">
        <v>42414</v>
      </c>
      <c r="L3145" s="1">
        <v>500</v>
      </c>
      <c r="M3145">
        <v>73</v>
      </c>
      <c r="N3145" s="5">
        <v>36500</v>
      </c>
      <c r="O3145">
        <v>500</v>
      </c>
      <c r="P3145">
        <v>73</v>
      </c>
      <c r="Q3145" s="4">
        <v>36500</v>
      </c>
      <c r="R3145">
        <v>0</v>
      </c>
      <c r="V3145">
        <v>0</v>
      </c>
      <c r="W3145">
        <v>0</v>
      </c>
      <c r="X3145">
        <v>0</v>
      </c>
      <c r="Y3145">
        <v>0</v>
      </c>
      <c r="Z3145">
        <v>0</v>
      </c>
      <c r="AA3145">
        <v>0</v>
      </c>
      <c r="AB3145" s="3">
        <v>42562</v>
      </c>
      <c r="AC3145" t="s">
        <v>53</v>
      </c>
      <c r="AD3145" t="s">
        <v>53</v>
      </c>
      <c r="AK3145">
        <v>0</v>
      </c>
      <c r="AU3145" s="3">
        <v>42487</v>
      </c>
      <c r="AV3145" s="3">
        <v>42487</v>
      </c>
      <c r="AW3145" t="s">
        <v>54</v>
      </c>
      <c r="AX3145" t="str">
        <f t="shared" si="369"/>
        <v>FOR</v>
      </c>
      <c r="AY3145" t="s">
        <v>55</v>
      </c>
    </row>
    <row r="3146" spans="1:51">
      <c r="A3146">
        <v>104379</v>
      </c>
      <c r="B3146" t="s">
        <v>392</v>
      </c>
      <c r="C3146" t="str">
        <f t="shared" si="367"/>
        <v>01836081008</v>
      </c>
      <c r="D3146" t="str">
        <f t="shared" si="368"/>
        <v>07668030583</v>
      </c>
      <c r="E3146" t="s">
        <v>52</v>
      </c>
      <c r="F3146">
        <v>2016</v>
      </c>
      <c r="G3146" t="str">
        <f>"             2679/03"</f>
        <v xml:space="preserve">             2679/03</v>
      </c>
      <c r="H3146" s="3">
        <v>42398</v>
      </c>
      <c r="I3146" s="3">
        <v>42410</v>
      </c>
      <c r="J3146" s="3">
        <v>42408</v>
      </c>
      <c r="K3146" s="3">
        <v>42468</v>
      </c>
      <c r="L3146" s="1">
        <v>550</v>
      </c>
      <c r="M3146">
        <v>52</v>
      </c>
      <c r="N3146" s="5">
        <v>28600</v>
      </c>
      <c r="O3146">
        <v>550</v>
      </c>
      <c r="P3146">
        <v>52</v>
      </c>
      <c r="Q3146" s="4">
        <v>28600</v>
      </c>
      <c r="R3146">
        <v>0</v>
      </c>
      <c r="V3146">
        <v>0</v>
      </c>
      <c r="W3146">
        <v>0</v>
      </c>
      <c r="X3146">
        <v>0</v>
      </c>
      <c r="Y3146">
        <v>572</v>
      </c>
      <c r="Z3146">
        <v>572</v>
      </c>
      <c r="AA3146">
        <v>572</v>
      </c>
      <c r="AB3146" s="3">
        <v>42562</v>
      </c>
      <c r="AC3146" t="s">
        <v>53</v>
      </c>
      <c r="AD3146" t="s">
        <v>53</v>
      </c>
      <c r="AK3146">
        <v>0</v>
      </c>
      <c r="AU3146" s="3">
        <v>42520</v>
      </c>
      <c r="AV3146" s="3">
        <v>42520</v>
      </c>
      <c r="AW3146" t="s">
        <v>54</v>
      </c>
      <c r="AX3146" t="str">
        <f t="shared" si="369"/>
        <v>FOR</v>
      </c>
      <c r="AY3146" t="s">
        <v>55</v>
      </c>
    </row>
    <row r="3147" spans="1:51">
      <c r="A3147">
        <v>104379</v>
      </c>
      <c r="B3147" t="s">
        <v>392</v>
      </c>
      <c r="C3147" t="str">
        <f t="shared" si="367"/>
        <v>01836081008</v>
      </c>
      <c r="D3147" t="str">
        <f t="shared" si="368"/>
        <v>07668030583</v>
      </c>
      <c r="E3147" t="s">
        <v>52</v>
      </c>
      <c r="F3147">
        <v>2016</v>
      </c>
      <c r="G3147" t="str">
        <f>"             2680/03"</f>
        <v xml:space="preserve">             2680/03</v>
      </c>
      <c r="H3147" s="3">
        <v>42398</v>
      </c>
      <c r="I3147" s="3">
        <v>42410</v>
      </c>
      <c r="J3147" s="3">
        <v>42408</v>
      </c>
      <c r="K3147" s="3">
        <v>42468</v>
      </c>
      <c r="L3147" s="1">
        <v>550</v>
      </c>
      <c r="M3147">
        <v>52</v>
      </c>
      <c r="N3147" s="5">
        <v>28600</v>
      </c>
      <c r="O3147">
        <v>550</v>
      </c>
      <c r="P3147">
        <v>52</v>
      </c>
      <c r="Q3147" s="4">
        <v>28600</v>
      </c>
      <c r="R3147">
        <v>0</v>
      </c>
      <c r="V3147">
        <v>0</v>
      </c>
      <c r="W3147">
        <v>0</v>
      </c>
      <c r="X3147">
        <v>0</v>
      </c>
      <c r="Y3147">
        <v>572</v>
      </c>
      <c r="Z3147">
        <v>572</v>
      </c>
      <c r="AA3147">
        <v>572</v>
      </c>
      <c r="AB3147" s="3">
        <v>42562</v>
      </c>
      <c r="AC3147" t="s">
        <v>53</v>
      </c>
      <c r="AD3147" t="s">
        <v>53</v>
      </c>
      <c r="AK3147">
        <v>0</v>
      </c>
      <c r="AU3147" s="3">
        <v>42520</v>
      </c>
      <c r="AV3147" s="3">
        <v>42520</v>
      </c>
      <c r="AW3147" t="s">
        <v>54</v>
      </c>
      <c r="AX3147" t="str">
        <f t="shared" si="369"/>
        <v>FOR</v>
      </c>
      <c r="AY3147" t="s">
        <v>55</v>
      </c>
    </row>
    <row r="3148" spans="1:51">
      <c r="A3148">
        <v>104379</v>
      </c>
      <c r="B3148" t="s">
        <v>392</v>
      </c>
      <c r="C3148" t="str">
        <f t="shared" si="367"/>
        <v>01836081008</v>
      </c>
      <c r="D3148" t="str">
        <f t="shared" si="368"/>
        <v>07668030583</v>
      </c>
      <c r="E3148" t="s">
        <v>52</v>
      </c>
      <c r="F3148">
        <v>2016</v>
      </c>
      <c r="G3148" t="str">
        <f>"             2681/03"</f>
        <v xml:space="preserve">             2681/03</v>
      </c>
      <c r="H3148" s="3">
        <v>42398</v>
      </c>
      <c r="I3148" s="3">
        <v>42410</v>
      </c>
      <c r="J3148" s="3">
        <v>42408</v>
      </c>
      <c r="K3148" s="3">
        <v>42468</v>
      </c>
      <c r="L3148" s="1">
        <v>550</v>
      </c>
      <c r="M3148">
        <v>52</v>
      </c>
      <c r="N3148" s="5">
        <v>28600</v>
      </c>
      <c r="O3148">
        <v>550</v>
      </c>
      <c r="P3148">
        <v>52</v>
      </c>
      <c r="Q3148" s="4">
        <v>28600</v>
      </c>
      <c r="R3148">
        <v>0</v>
      </c>
      <c r="V3148">
        <v>0</v>
      </c>
      <c r="W3148">
        <v>0</v>
      </c>
      <c r="X3148">
        <v>0</v>
      </c>
      <c r="Y3148">
        <v>572</v>
      </c>
      <c r="Z3148">
        <v>572</v>
      </c>
      <c r="AA3148">
        <v>572</v>
      </c>
      <c r="AB3148" s="3">
        <v>42562</v>
      </c>
      <c r="AC3148" t="s">
        <v>53</v>
      </c>
      <c r="AD3148" t="s">
        <v>53</v>
      </c>
      <c r="AK3148">
        <v>0</v>
      </c>
      <c r="AU3148" s="3">
        <v>42520</v>
      </c>
      <c r="AV3148" s="3">
        <v>42520</v>
      </c>
      <c r="AW3148" t="s">
        <v>54</v>
      </c>
      <c r="AX3148" t="str">
        <f t="shared" si="369"/>
        <v>FOR</v>
      </c>
      <c r="AY3148" t="s">
        <v>55</v>
      </c>
    </row>
    <row r="3149" spans="1:51">
      <c r="A3149">
        <v>104379</v>
      </c>
      <c r="B3149" t="s">
        <v>392</v>
      </c>
      <c r="C3149" t="str">
        <f t="shared" si="367"/>
        <v>01836081008</v>
      </c>
      <c r="D3149" t="str">
        <f t="shared" si="368"/>
        <v>07668030583</v>
      </c>
      <c r="E3149" t="s">
        <v>52</v>
      </c>
      <c r="F3149">
        <v>2016</v>
      </c>
      <c r="G3149" t="str">
        <f>"             2682/03"</f>
        <v xml:space="preserve">             2682/03</v>
      </c>
      <c r="H3149" s="3">
        <v>42398</v>
      </c>
      <c r="I3149" s="3">
        <v>42410</v>
      </c>
      <c r="J3149" s="3">
        <v>42408</v>
      </c>
      <c r="K3149" s="3">
        <v>42468</v>
      </c>
      <c r="L3149" s="1">
        <v>550</v>
      </c>
      <c r="M3149">
        <v>52</v>
      </c>
      <c r="N3149" s="5">
        <v>28600</v>
      </c>
      <c r="O3149">
        <v>550</v>
      </c>
      <c r="P3149">
        <v>52</v>
      </c>
      <c r="Q3149" s="4">
        <v>28600</v>
      </c>
      <c r="R3149">
        <v>0</v>
      </c>
      <c r="V3149">
        <v>0</v>
      </c>
      <c r="W3149">
        <v>0</v>
      </c>
      <c r="X3149">
        <v>0</v>
      </c>
      <c r="Y3149">
        <v>572</v>
      </c>
      <c r="Z3149">
        <v>572</v>
      </c>
      <c r="AA3149">
        <v>572</v>
      </c>
      <c r="AB3149" s="3">
        <v>42562</v>
      </c>
      <c r="AC3149" t="s">
        <v>53</v>
      </c>
      <c r="AD3149" t="s">
        <v>53</v>
      </c>
      <c r="AK3149">
        <v>0</v>
      </c>
      <c r="AU3149" s="3">
        <v>42520</v>
      </c>
      <c r="AV3149" s="3">
        <v>42520</v>
      </c>
      <c r="AW3149" t="s">
        <v>54</v>
      </c>
      <c r="AX3149" t="str">
        <f t="shared" si="369"/>
        <v>FOR</v>
      </c>
      <c r="AY3149" t="s">
        <v>55</v>
      </c>
    </row>
    <row r="3150" spans="1:51" hidden="1">
      <c r="A3150">
        <v>104394</v>
      </c>
      <c r="B3150" t="s">
        <v>393</v>
      </c>
      <c r="C3150" t="str">
        <f t="shared" ref="C3150:D3173" si="370">"00234290658"</f>
        <v>00234290658</v>
      </c>
      <c r="D3150" t="str">
        <f t="shared" si="370"/>
        <v>00234290658</v>
      </c>
      <c r="E3150" t="s">
        <v>52</v>
      </c>
      <c r="F3150">
        <v>2015</v>
      </c>
      <c r="G3150" t="str">
        <f>"               5/191"</f>
        <v xml:space="preserve">               5/191</v>
      </c>
      <c r="H3150" s="3">
        <v>42155</v>
      </c>
      <c r="I3150" s="3">
        <v>42166</v>
      </c>
      <c r="J3150" s="3">
        <v>42165</v>
      </c>
      <c r="K3150" s="3">
        <v>42225</v>
      </c>
      <c r="L3150"/>
      <c r="N3150"/>
      <c r="O3150" s="4">
        <v>98287.87</v>
      </c>
      <c r="P3150">
        <v>176</v>
      </c>
      <c r="Q3150" s="4">
        <v>17298665.120000001</v>
      </c>
      <c r="R3150">
        <v>0</v>
      </c>
      <c r="V3150">
        <v>0</v>
      </c>
      <c r="W3150">
        <v>0</v>
      </c>
      <c r="X3150">
        <v>0</v>
      </c>
      <c r="Y3150">
        <v>0</v>
      </c>
      <c r="Z3150">
        <v>0</v>
      </c>
      <c r="AA3150">
        <v>0</v>
      </c>
      <c r="AB3150" s="3">
        <v>42562</v>
      </c>
      <c r="AC3150" t="s">
        <v>53</v>
      </c>
      <c r="AD3150" t="s">
        <v>53</v>
      </c>
      <c r="AK3150">
        <v>0</v>
      </c>
      <c r="AU3150" s="3">
        <v>42401</v>
      </c>
      <c r="AV3150" s="3">
        <v>42401</v>
      </c>
      <c r="AW3150" t="s">
        <v>54</v>
      </c>
      <c r="AX3150" t="str">
        <f t="shared" si="369"/>
        <v>FOR</v>
      </c>
      <c r="AY3150" t="s">
        <v>55</v>
      </c>
    </row>
    <row r="3151" spans="1:51" hidden="1">
      <c r="A3151">
        <v>104394</v>
      </c>
      <c r="B3151" t="s">
        <v>393</v>
      </c>
      <c r="C3151" t="str">
        <f t="shared" si="370"/>
        <v>00234290658</v>
      </c>
      <c r="D3151" t="str">
        <f t="shared" si="370"/>
        <v>00234290658</v>
      </c>
      <c r="E3151" t="s">
        <v>52</v>
      </c>
      <c r="F3151">
        <v>2015</v>
      </c>
      <c r="G3151" t="str">
        <f>"               5/192"</f>
        <v xml:space="preserve">               5/192</v>
      </c>
      <c r="H3151" s="3">
        <v>42155</v>
      </c>
      <c r="I3151" s="3">
        <v>42166</v>
      </c>
      <c r="J3151" s="3">
        <v>42165</v>
      </c>
      <c r="K3151" s="3">
        <v>42225</v>
      </c>
      <c r="L3151"/>
      <c r="N3151"/>
      <c r="O3151">
        <v>90</v>
      </c>
      <c r="P3151">
        <v>176</v>
      </c>
      <c r="Q3151" s="4">
        <v>15840</v>
      </c>
      <c r="R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 s="3">
        <v>42562</v>
      </c>
      <c r="AC3151" t="s">
        <v>53</v>
      </c>
      <c r="AD3151" t="s">
        <v>53</v>
      </c>
      <c r="AK3151">
        <v>0</v>
      </c>
      <c r="AU3151" s="3">
        <v>42401</v>
      </c>
      <c r="AV3151" s="3">
        <v>42401</v>
      </c>
      <c r="AW3151" t="s">
        <v>54</v>
      </c>
      <c r="AX3151" t="str">
        <f t="shared" si="369"/>
        <v>FOR</v>
      </c>
      <c r="AY3151" t="s">
        <v>55</v>
      </c>
    </row>
    <row r="3152" spans="1:51" hidden="1">
      <c r="A3152">
        <v>104394</v>
      </c>
      <c r="B3152" t="s">
        <v>393</v>
      </c>
      <c r="C3152" t="str">
        <f t="shared" si="370"/>
        <v>00234290658</v>
      </c>
      <c r="D3152" t="str">
        <f t="shared" si="370"/>
        <v>00234290658</v>
      </c>
      <c r="E3152" t="s">
        <v>52</v>
      </c>
      <c r="F3152">
        <v>2015</v>
      </c>
      <c r="G3152" t="str">
        <f>"               5/193"</f>
        <v xml:space="preserve">               5/193</v>
      </c>
      <c r="H3152" s="3">
        <v>42155</v>
      </c>
      <c r="I3152" s="3">
        <v>42166</v>
      </c>
      <c r="J3152" s="3">
        <v>42165</v>
      </c>
      <c r="K3152" s="3">
        <v>42225</v>
      </c>
      <c r="L3152"/>
      <c r="N3152"/>
      <c r="O3152">
        <v>176.4</v>
      </c>
      <c r="P3152">
        <v>176</v>
      </c>
      <c r="Q3152" s="4">
        <v>31046.400000000001</v>
      </c>
      <c r="R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 s="3">
        <v>42562</v>
      </c>
      <c r="AC3152" t="s">
        <v>53</v>
      </c>
      <c r="AD3152" t="s">
        <v>53</v>
      </c>
      <c r="AK3152">
        <v>0</v>
      </c>
      <c r="AU3152" s="3">
        <v>42401</v>
      </c>
      <c r="AV3152" s="3">
        <v>42401</v>
      </c>
      <c r="AW3152" t="s">
        <v>54</v>
      </c>
      <c r="AX3152" t="str">
        <f t="shared" si="369"/>
        <v>FOR</v>
      </c>
      <c r="AY3152" t="s">
        <v>55</v>
      </c>
    </row>
    <row r="3153" spans="1:51" hidden="1">
      <c r="A3153">
        <v>104394</v>
      </c>
      <c r="B3153" t="s">
        <v>393</v>
      </c>
      <c r="C3153" t="str">
        <f t="shared" si="370"/>
        <v>00234290658</v>
      </c>
      <c r="D3153" t="str">
        <f t="shared" si="370"/>
        <v>00234290658</v>
      </c>
      <c r="E3153" t="s">
        <v>52</v>
      </c>
      <c r="F3153">
        <v>2015</v>
      </c>
      <c r="G3153" t="str">
        <f>"               5/194"</f>
        <v xml:space="preserve">               5/194</v>
      </c>
      <c r="H3153" s="3">
        <v>42155</v>
      </c>
      <c r="I3153" s="3">
        <v>42166</v>
      </c>
      <c r="J3153" s="3">
        <v>42165</v>
      </c>
      <c r="K3153" s="3">
        <v>42225</v>
      </c>
      <c r="L3153"/>
      <c r="N3153"/>
      <c r="O3153">
        <v>318.57</v>
      </c>
      <c r="P3153">
        <v>176</v>
      </c>
      <c r="Q3153" s="4">
        <v>56068.32</v>
      </c>
      <c r="R3153">
        <v>0</v>
      </c>
      <c r="V3153">
        <v>0</v>
      </c>
      <c r="W3153">
        <v>0</v>
      </c>
      <c r="X3153">
        <v>0</v>
      </c>
      <c r="Y3153">
        <v>0</v>
      </c>
      <c r="Z3153">
        <v>0</v>
      </c>
      <c r="AA3153">
        <v>0</v>
      </c>
      <c r="AB3153" s="3">
        <v>42562</v>
      </c>
      <c r="AC3153" t="s">
        <v>53</v>
      </c>
      <c r="AD3153" t="s">
        <v>53</v>
      </c>
      <c r="AK3153">
        <v>0</v>
      </c>
      <c r="AU3153" s="3">
        <v>42401</v>
      </c>
      <c r="AV3153" s="3">
        <v>42401</v>
      </c>
      <c r="AW3153" t="s">
        <v>54</v>
      </c>
      <c r="AX3153" t="str">
        <f t="shared" si="369"/>
        <v>FOR</v>
      </c>
      <c r="AY3153" t="s">
        <v>55</v>
      </c>
    </row>
    <row r="3154" spans="1:51" hidden="1">
      <c r="A3154">
        <v>104394</v>
      </c>
      <c r="B3154" t="s">
        <v>393</v>
      </c>
      <c r="C3154" t="str">
        <f t="shared" si="370"/>
        <v>00234290658</v>
      </c>
      <c r="D3154" t="str">
        <f t="shared" si="370"/>
        <v>00234290658</v>
      </c>
      <c r="E3154" t="s">
        <v>52</v>
      </c>
      <c r="F3154">
        <v>2015</v>
      </c>
      <c r="G3154" t="str">
        <f>"               5/268"</f>
        <v xml:space="preserve">               5/268</v>
      </c>
      <c r="H3154" s="3">
        <v>42185</v>
      </c>
      <c r="I3154" s="3">
        <v>42193</v>
      </c>
      <c r="J3154" s="3">
        <v>42192</v>
      </c>
      <c r="K3154" s="3">
        <v>42252</v>
      </c>
      <c r="L3154"/>
      <c r="N3154"/>
      <c r="O3154">
        <v>90</v>
      </c>
      <c r="P3154">
        <v>164</v>
      </c>
      <c r="Q3154" s="4">
        <v>14760</v>
      </c>
      <c r="R3154">
        <v>0</v>
      </c>
      <c r="V3154">
        <v>0</v>
      </c>
      <c r="W3154">
        <v>0</v>
      </c>
      <c r="X3154">
        <v>0</v>
      </c>
      <c r="Y3154">
        <v>0</v>
      </c>
      <c r="Z3154">
        <v>0</v>
      </c>
      <c r="AA3154">
        <v>0</v>
      </c>
      <c r="AB3154" s="3">
        <v>42562</v>
      </c>
      <c r="AC3154" t="s">
        <v>53</v>
      </c>
      <c r="AD3154" t="s">
        <v>53</v>
      </c>
      <c r="AK3154">
        <v>0</v>
      </c>
      <c r="AU3154" s="3">
        <v>42416</v>
      </c>
      <c r="AV3154" s="3">
        <v>42416</v>
      </c>
      <c r="AW3154" t="s">
        <v>54</v>
      </c>
      <c r="AX3154" t="str">
        <f t="shared" si="369"/>
        <v>FOR</v>
      </c>
      <c r="AY3154" t="s">
        <v>55</v>
      </c>
    </row>
    <row r="3155" spans="1:51" hidden="1">
      <c r="A3155">
        <v>104394</v>
      </c>
      <c r="B3155" t="s">
        <v>393</v>
      </c>
      <c r="C3155" t="str">
        <f t="shared" si="370"/>
        <v>00234290658</v>
      </c>
      <c r="D3155" t="str">
        <f t="shared" si="370"/>
        <v>00234290658</v>
      </c>
      <c r="E3155" t="s">
        <v>52</v>
      </c>
      <c r="F3155">
        <v>2015</v>
      </c>
      <c r="G3155" t="str">
        <f>"               5/269"</f>
        <v xml:space="preserve">               5/269</v>
      </c>
      <c r="H3155" s="3">
        <v>42185</v>
      </c>
      <c r="I3155" s="3">
        <v>42193</v>
      </c>
      <c r="J3155" s="3">
        <v>42192</v>
      </c>
      <c r="K3155" s="3">
        <v>42252</v>
      </c>
      <c r="L3155"/>
      <c r="N3155"/>
      <c r="O3155">
        <v>337.84</v>
      </c>
      <c r="P3155">
        <v>164</v>
      </c>
      <c r="Q3155" s="4">
        <v>55405.760000000002</v>
      </c>
      <c r="R3155">
        <v>0</v>
      </c>
      <c r="V3155">
        <v>0</v>
      </c>
      <c r="W3155">
        <v>0</v>
      </c>
      <c r="X3155">
        <v>0</v>
      </c>
      <c r="Y3155">
        <v>0</v>
      </c>
      <c r="Z3155">
        <v>0</v>
      </c>
      <c r="AA3155">
        <v>0</v>
      </c>
      <c r="AB3155" s="3">
        <v>42562</v>
      </c>
      <c r="AC3155" t="s">
        <v>53</v>
      </c>
      <c r="AD3155" t="s">
        <v>53</v>
      </c>
      <c r="AK3155">
        <v>0</v>
      </c>
      <c r="AU3155" s="3">
        <v>42416</v>
      </c>
      <c r="AV3155" s="3">
        <v>42416</v>
      </c>
      <c r="AW3155" t="s">
        <v>54</v>
      </c>
      <c r="AX3155" t="str">
        <f t="shared" si="369"/>
        <v>FOR</v>
      </c>
      <c r="AY3155" t="s">
        <v>55</v>
      </c>
    </row>
    <row r="3156" spans="1:51" hidden="1">
      <c r="A3156">
        <v>104394</v>
      </c>
      <c r="B3156" t="s">
        <v>393</v>
      </c>
      <c r="C3156" t="str">
        <f t="shared" si="370"/>
        <v>00234290658</v>
      </c>
      <c r="D3156" t="str">
        <f t="shared" si="370"/>
        <v>00234290658</v>
      </c>
      <c r="E3156" t="s">
        <v>52</v>
      </c>
      <c r="F3156">
        <v>2015</v>
      </c>
      <c r="G3156" t="str">
        <f>"               5/270"</f>
        <v xml:space="preserve">               5/270</v>
      </c>
      <c r="H3156" s="3">
        <v>42185</v>
      </c>
      <c r="I3156" s="3">
        <v>42193</v>
      </c>
      <c r="J3156" s="3">
        <v>42192</v>
      </c>
      <c r="K3156" s="3">
        <v>42252</v>
      </c>
      <c r="L3156"/>
      <c r="N3156"/>
      <c r="O3156">
        <v>174.3</v>
      </c>
      <c r="P3156">
        <v>164</v>
      </c>
      <c r="Q3156" s="4">
        <v>28585.200000000001</v>
      </c>
      <c r="R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 s="3">
        <v>42562</v>
      </c>
      <c r="AC3156" t="s">
        <v>53</v>
      </c>
      <c r="AD3156" t="s">
        <v>53</v>
      </c>
      <c r="AK3156">
        <v>0</v>
      </c>
      <c r="AU3156" s="3">
        <v>42416</v>
      </c>
      <c r="AV3156" s="3">
        <v>42416</v>
      </c>
      <c r="AW3156" t="s">
        <v>54</v>
      </c>
      <c r="AX3156" t="str">
        <f t="shared" si="369"/>
        <v>FOR</v>
      </c>
      <c r="AY3156" t="s">
        <v>55</v>
      </c>
    </row>
    <row r="3157" spans="1:51" hidden="1">
      <c r="A3157">
        <v>104394</v>
      </c>
      <c r="B3157" t="s">
        <v>393</v>
      </c>
      <c r="C3157" t="str">
        <f t="shared" si="370"/>
        <v>00234290658</v>
      </c>
      <c r="D3157" t="str">
        <f t="shared" si="370"/>
        <v>00234290658</v>
      </c>
      <c r="E3157" t="s">
        <v>52</v>
      </c>
      <c r="F3157">
        <v>2015</v>
      </c>
      <c r="G3157" t="str">
        <f>"               5/271"</f>
        <v xml:space="preserve">               5/271</v>
      </c>
      <c r="H3157" s="3">
        <v>42185</v>
      </c>
      <c r="I3157" s="3">
        <v>42192</v>
      </c>
      <c r="J3157" s="3">
        <v>42192</v>
      </c>
      <c r="K3157" s="3">
        <v>42252</v>
      </c>
      <c r="L3157"/>
      <c r="N3157"/>
      <c r="O3157" s="4">
        <v>95596.56</v>
      </c>
      <c r="P3157">
        <v>164</v>
      </c>
      <c r="Q3157" s="4">
        <v>15677835.84</v>
      </c>
      <c r="R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 s="3">
        <v>42562</v>
      </c>
      <c r="AC3157" t="s">
        <v>53</v>
      </c>
      <c r="AD3157" t="s">
        <v>53</v>
      </c>
      <c r="AK3157">
        <v>0</v>
      </c>
      <c r="AU3157" s="3">
        <v>42416</v>
      </c>
      <c r="AV3157" s="3">
        <v>42416</v>
      </c>
      <c r="AW3157" t="s">
        <v>54</v>
      </c>
      <c r="AX3157" t="str">
        <f t="shared" si="369"/>
        <v>FOR</v>
      </c>
      <c r="AY3157" t="s">
        <v>55</v>
      </c>
    </row>
    <row r="3158" spans="1:51" hidden="1">
      <c r="A3158">
        <v>104394</v>
      </c>
      <c r="B3158" t="s">
        <v>393</v>
      </c>
      <c r="C3158" t="str">
        <f t="shared" si="370"/>
        <v>00234290658</v>
      </c>
      <c r="D3158" t="str">
        <f t="shared" si="370"/>
        <v>00234290658</v>
      </c>
      <c r="E3158" t="s">
        <v>52</v>
      </c>
      <c r="F3158">
        <v>2015</v>
      </c>
      <c r="G3158" t="str">
        <f>"               5/419"</f>
        <v xml:space="preserve">               5/419</v>
      </c>
      <c r="H3158" s="3">
        <v>42216</v>
      </c>
      <c r="I3158" s="3">
        <v>42229</v>
      </c>
      <c r="J3158" s="3">
        <v>42226</v>
      </c>
      <c r="K3158" s="3">
        <v>42286</v>
      </c>
      <c r="L3158"/>
      <c r="N3158"/>
      <c r="O3158" s="4">
        <v>94216.97</v>
      </c>
      <c r="P3158">
        <v>144</v>
      </c>
      <c r="Q3158" s="4">
        <v>13567243.68</v>
      </c>
      <c r="R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 s="3">
        <v>42562</v>
      </c>
      <c r="AC3158" t="s">
        <v>53</v>
      </c>
      <c r="AD3158" t="s">
        <v>53</v>
      </c>
      <c r="AK3158">
        <v>0</v>
      </c>
      <c r="AU3158" s="3">
        <v>42430</v>
      </c>
      <c r="AV3158" s="3">
        <v>42430</v>
      </c>
      <c r="AW3158" t="s">
        <v>54</v>
      </c>
      <c r="AX3158" t="str">
        <f t="shared" si="369"/>
        <v>FOR</v>
      </c>
      <c r="AY3158" t="s">
        <v>55</v>
      </c>
    </row>
    <row r="3159" spans="1:51" hidden="1">
      <c r="A3159">
        <v>104394</v>
      </c>
      <c r="B3159" t="s">
        <v>393</v>
      </c>
      <c r="C3159" t="str">
        <f t="shared" si="370"/>
        <v>00234290658</v>
      </c>
      <c r="D3159" t="str">
        <f t="shared" si="370"/>
        <v>00234290658</v>
      </c>
      <c r="E3159" t="s">
        <v>52</v>
      </c>
      <c r="F3159">
        <v>2015</v>
      </c>
      <c r="G3159" t="str">
        <f>"               5/420"</f>
        <v xml:space="preserve">               5/420</v>
      </c>
      <c r="H3159" s="3">
        <v>42216</v>
      </c>
      <c r="I3159" s="3">
        <v>42229</v>
      </c>
      <c r="J3159" s="3">
        <v>42226</v>
      </c>
      <c r="K3159" s="3">
        <v>42286</v>
      </c>
      <c r="L3159"/>
      <c r="N3159"/>
      <c r="O3159">
        <v>90</v>
      </c>
      <c r="P3159">
        <v>144</v>
      </c>
      <c r="Q3159" s="4">
        <v>12960</v>
      </c>
      <c r="R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 s="3">
        <v>42562</v>
      </c>
      <c r="AC3159" t="s">
        <v>53</v>
      </c>
      <c r="AD3159" t="s">
        <v>53</v>
      </c>
      <c r="AK3159">
        <v>0</v>
      </c>
      <c r="AU3159" s="3">
        <v>42430</v>
      </c>
      <c r="AV3159" s="3">
        <v>42430</v>
      </c>
      <c r="AW3159" t="s">
        <v>54</v>
      </c>
      <c r="AX3159" t="str">
        <f t="shared" si="369"/>
        <v>FOR</v>
      </c>
      <c r="AY3159" t="s">
        <v>55</v>
      </c>
    </row>
    <row r="3160" spans="1:51" hidden="1">
      <c r="A3160">
        <v>104394</v>
      </c>
      <c r="B3160" t="s">
        <v>393</v>
      </c>
      <c r="C3160" t="str">
        <f t="shared" si="370"/>
        <v>00234290658</v>
      </c>
      <c r="D3160" t="str">
        <f t="shared" si="370"/>
        <v>00234290658</v>
      </c>
      <c r="E3160" t="s">
        <v>52</v>
      </c>
      <c r="F3160">
        <v>2015</v>
      </c>
      <c r="G3160" t="str">
        <f>"               5/421"</f>
        <v xml:space="preserve">               5/421</v>
      </c>
      <c r="H3160" s="3">
        <v>42216</v>
      </c>
      <c r="I3160" s="3">
        <v>42229</v>
      </c>
      <c r="J3160" s="3">
        <v>42226</v>
      </c>
      <c r="K3160" s="3">
        <v>42286</v>
      </c>
      <c r="L3160"/>
      <c r="N3160"/>
      <c r="O3160">
        <v>194.25</v>
      </c>
      <c r="P3160">
        <v>144</v>
      </c>
      <c r="Q3160" s="4">
        <v>27972</v>
      </c>
      <c r="R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 s="3">
        <v>42562</v>
      </c>
      <c r="AC3160" t="s">
        <v>53</v>
      </c>
      <c r="AD3160" t="s">
        <v>53</v>
      </c>
      <c r="AK3160">
        <v>0</v>
      </c>
      <c r="AU3160" s="3">
        <v>42430</v>
      </c>
      <c r="AV3160" s="3">
        <v>42430</v>
      </c>
      <c r="AW3160" t="s">
        <v>54</v>
      </c>
      <c r="AX3160" t="str">
        <f t="shared" si="369"/>
        <v>FOR</v>
      </c>
      <c r="AY3160" t="s">
        <v>55</v>
      </c>
    </row>
    <row r="3161" spans="1:51" hidden="1">
      <c r="A3161">
        <v>104394</v>
      </c>
      <c r="B3161" t="s">
        <v>393</v>
      </c>
      <c r="C3161" t="str">
        <f t="shared" si="370"/>
        <v>00234290658</v>
      </c>
      <c r="D3161" t="str">
        <f t="shared" si="370"/>
        <v>00234290658</v>
      </c>
      <c r="E3161" t="s">
        <v>52</v>
      </c>
      <c r="F3161">
        <v>2015</v>
      </c>
      <c r="G3161" t="str">
        <f>"               5/422"</f>
        <v xml:space="preserve">               5/422</v>
      </c>
      <c r="H3161" s="3">
        <v>42216</v>
      </c>
      <c r="I3161" s="3">
        <v>42229</v>
      </c>
      <c r="J3161" s="3">
        <v>42226</v>
      </c>
      <c r="K3161" s="3">
        <v>42286</v>
      </c>
      <c r="L3161"/>
      <c r="N3161"/>
      <c r="O3161">
        <v>369.41</v>
      </c>
      <c r="P3161">
        <v>144</v>
      </c>
      <c r="Q3161" s="4">
        <v>53195.040000000001</v>
      </c>
      <c r="R3161">
        <v>0</v>
      </c>
      <c r="V3161">
        <v>0</v>
      </c>
      <c r="W3161">
        <v>0</v>
      </c>
      <c r="X3161">
        <v>0</v>
      </c>
      <c r="Y3161">
        <v>0</v>
      </c>
      <c r="Z3161">
        <v>0</v>
      </c>
      <c r="AA3161">
        <v>0</v>
      </c>
      <c r="AB3161" s="3">
        <v>42562</v>
      </c>
      <c r="AC3161" t="s">
        <v>53</v>
      </c>
      <c r="AD3161" t="s">
        <v>53</v>
      </c>
      <c r="AK3161">
        <v>0</v>
      </c>
      <c r="AU3161" s="3">
        <v>42430</v>
      </c>
      <c r="AV3161" s="3">
        <v>42430</v>
      </c>
      <c r="AW3161" t="s">
        <v>54</v>
      </c>
      <c r="AX3161" t="str">
        <f t="shared" si="369"/>
        <v>FOR</v>
      </c>
      <c r="AY3161" t="s">
        <v>55</v>
      </c>
    </row>
    <row r="3162" spans="1:51" hidden="1">
      <c r="A3162">
        <v>104394</v>
      </c>
      <c r="B3162" t="s">
        <v>393</v>
      </c>
      <c r="C3162" t="str">
        <f t="shared" si="370"/>
        <v>00234290658</v>
      </c>
      <c r="D3162" t="str">
        <f t="shared" si="370"/>
        <v>00234290658</v>
      </c>
      <c r="E3162" t="s">
        <v>52</v>
      </c>
      <c r="F3162">
        <v>2015</v>
      </c>
      <c r="G3162" t="str">
        <f>"               5/489"</f>
        <v xml:space="preserve">               5/489</v>
      </c>
      <c r="H3162" s="3">
        <v>42247</v>
      </c>
      <c r="I3162" s="3">
        <v>42251</v>
      </c>
      <c r="J3162" s="3">
        <v>42250</v>
      </c>
      <c r="K3162" s="3">
        <v>42310</v>
      </c>
      <c r="L3162"/>
      <c r="N3162"/>
      <c r="O3162">
        <v>90</v>
      </c>
      <c r="P3162">
        <v>143</v>
      </c>
      <c r="Q3162" s="4">
        <v>12870</v>
      </c>
      <c r="R3162">
        <v>0</v>
      </c>
      <c r="V3162">
        <v>0</v>
      </c>
      <c r="W3162">
        <v>0</v>
      </c>
      <c r="X3162">
        <v>0</v>
      </c>
      <c r="Y3162">
        <v>0</v>
      </c>
      <c r="Z3162">
        <v>0</v>
      </c>
      <c r="AA3162">
        <v>0</v>
      </c>
      <c r="AB3162" s="3">
        <v>42562</v>
      </c>
      <c r="AC3162" t="s">
        <v>53</v>
      </c>
      <c r="AD3162" t="s">
        <v>53</v>
      </c>
      <c r="AK3162">
        <v>0</v>
      </c>
      <c r="AU3162" s="3">
        <v>42453</v>
      </c>
      <c r="AV3162" s="3">
        <v>42453</v>
      </c>
      <c r="AW3162" t="s">
        <v>54</v>
      </c>
      <c r="AX3162" t="str">
        <f t="shared" si="369"/>
        <v>FOR</v>
      </c>
      <c r="AY3162" t="s">
        <v>55</v>
      </c>
    </row>
    <row r="3163" spans="1:51" hidden="1">
      <c r="A3163">
        <v>104394</v>
      </c>
      <c r="B3163" t="s">
        <v>393</v>
      </c>
      <c r="C3163" t="str">
        <f t="shared" si="370"/>
        <v>00234290658</v>
      </c>
      <c r="D3163" t="str">
        <f t="shared" si="370"/>
        <v>00234290658</v>
      </c>
      <c r="E3163" t="s">
        <v>52</v>
      </c>
      <c r="F3163">
        <v>2015</v>
      </c>
      <c r="G3163" t="str">
        <f>"               5/490"</f>
        <v xml:space="preserve">               5/490</v>
      </c>
      <c r="H3163" s="3">
        <v>42247</v>
      </c>
      <c r="I3163" s="3">
        <v>42251</v>
      </c>
      <c r="J3163" s="3">
        <v>42250</v>
      </c>
      <c r="K3163" s="3">
        <v>42310</v>
      </c>
      <c r="L3163"/>
      <c r="N3163"/>
      <c r="O3163">
        <v>380.07</v>
      </c>
      <c r="P3163">
        <v>143</v>
      </c>
      <c r="Q3163" s="4">
        <v>54350.01</v>
      </c>
      <c r="R3163">
        <v>0</v>
      </c>
      <c r="V3163">
        <v>0</v>
      </c>
      <c r="W3163">
        <v>0</v>
      </c>
      <c r="X3163">
        <v>0</v>
      </c>
      <c r="Y3163">
        <v>0</v>
      </c>
      <c r="Z3163">
        <v>0</v>
      </c>
      <c r="AA3163">
        <v>0</v>
      </c>
      <c r="AB3163" s="3">
        <v>42562</v>
      </c>
      <c r="AC3163" t="s">
        <v>53</v>
      </c>
      <c r="AD3163" t="s">
        <v>53</v>
      </c>
      <c r="AK3163">
        <v>0</v>
      </c>
      <c r="AU3163" s="3">
        <v>42453</v>
      </c>
      <c r="AV3163" s="3">
        <v>42453</v>
      </c>
      <c r="AW3163" t="s">
        <v>54</v>
      </c>
      <c r="AX3163" t="str">
        <f t="shared" si="369"/>
        <v>FOR</v>
      </c>
      <c r="AY3163" t="s">
        <v>55</v>
      </c>
    </row>
    <row r="3164" spans="1:51" hidden="1">
      <c r="A3164">
        <v>104394</v>
      </c>
      <c r="B3164" t="s">
        <v>393</v>
      </c>
      <c r="C3164" t="str">
        <f t="shared" si="370"/>
        <v>00234290658</v>
      </c>
      <c r="D3164" t="str">
        <f t="shared" si="370"/>
        <v>00234290658</v>
      </c>
      <c r="E3164" t="s">
        <v>52</v>
      </c>
      <c r="F3164">
        <v>2015</v>
      </c>
      <c r="G3164" t="str">
        <f>"               5/491"</f>
        <v xml:space="preserve">               5/491</v>
      </c>
      <c r="H3164" s="3">
        <v>42247</v>
      </c>
      <c r="I3164" s="3">
        <v>42251</v>
      </c>
      <c r="J3164" s="3">
        <v>42250</v>
      </c>
      <c r="K3164" s="3">
        <v>42310</v>
      </c>
      <c r="L3164"/>
      <c r="N3164"/>
      <c r="O3164">
        <v>98.7</v>
      </c>
      <c r="P3164">
        <v>143</v>
      </c>
      <c r="Q3164" s="4">
        <v>14114.1</v>
      </c>
      <c r="R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 s="3">
        <v>42562</v>
      </c>
      <c r="AC3164" t="s">
        <v>53</v>
      </c>
      <c r="AD3164" t="s">
        <v>53</v>
      </c>
      <c r="AK3164">
        <v>0</v>
      </c>
      <c r="AU3164" s="3">
        <v>42453</v>
      </c>
      <c r="AV3164" s="3">
        <v>42453</v>
      </c>
      <c r="AW3164" t="s">
        <v>54</v>
      </c>
      <c r="AX3164" t="str">
        <f t="shared" si="369"/>
        <v>FOR</v>
      </c>
      <c r="AY3164" t="s">
        <v>55</v>
      </c>
    </row>
    <row r="3165" spans="1:51" hidden="1">
      <c r="A3165">
        <v>104394</v>
      </c>
      <c r="B3165" t="s">
        <v>393</v>
      </c>
      <c r="C3165" t="str">
        <f t="shared" si="370"/>
        <v>00234290658</v>
      </c>
      <c r="D3165" t="str">
        <f t="shared" si="370"/>
        <v>00234290658</v>
      </c>
      <c r="E3165" t="s">
        <v>52</v>
      </c>
      <c r="F3165">
        <v>2015</v>
      </c>
      <c r="G3165" t="str">
        <f>"               5/492"</f>
        <v xml:space="preserve">               5/492</v>
      </c>
      <c r="H3165" s="3">
        <v>42247</v>
      </c>
      <c r="I3165" s="3">
        <v>42254</v>
      </c>
      <c r="J3165" s="3">
        <v>42254</v>
      </c>
      <c r="K3165" s="3">
        <v>42314</v>
      </c>
      <c r="L3165"/>
      <c r="N3165"/>
      <c r="O3165" s="4">
        <v>78674.179999999993</v>
      </c>
      <c r="P3165">
        <v>139</v>
      </c>
      <c r="Q3165" s="4">
        <v>10935711.02</v>
      </c>
      <c r="R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 s="3">
        <v>42562</v>
      </c>
      <c r="AC3165" t="s">
        <v>53</v>
      </c>
      <c r="AD3165" t="s">
        <v>53</v>
      </c>
      <c r="AK3165">
        <v>0</v>
      </c>
      <c r="AU3165" s="3">
        <v>42453</v>
      </c>
      <c r="AV3165" s="3">
        <v>42453</v>
      </c>
      <c r="AW3165" t="s">
        <v>54</v>
      </c>
      <c r="AX3165" t="str">
        <f t="shared" ref="AX3165:AX3196" si="371">"FOR"</f>
        <v>FOR</v>
      </c>
      <c r="AY3165" t="s">
        <v>55</v>
      </c>
    </row>
    <row r="3166" spans="1:51">
      <c r="A3166">
        <v>104394</v>
      </c>
      <c r="B3166" t="s">
        <v>393</v>
      </c>
      <c r="C3166" t="str">
        <f t="shared" si="370"/>
        <v>00234290658</v>
      </c>
      <c r="D3166" t="str">
        <f t="shared" si="370"/>
        <v>00234290658</v>
      </c>
      <c r="E3166" t="s">
        <v>52</v>
      </c>
      <c r="F3166">
        <v>2015</v>
      </c>
      <c r="G3166" t="str">
        <f>"               5/567"</f>
        <v xml:space="preserve">               5/567</v>
      </c>
      <c r="H3166" s="3">
        <v>42277</v>
      </c>
      <c r="I3166" s="3">
        <v>42284</v>
      </c>
      <c r="J3166" s="3">
        <v>42284</v>
      </c>
      <c r="K3166" s="3">
        <v>42344</v>
      </c>
      <c r="L3166" s="5">
        <v>90039.16</v>
      </c>
      <c r="M3166">
        <v>185</v>
      </c>
      <c r="N3166" s="5">
        <v>16657244.6</v>
      </c>
      <c r="O3166" s="4">
        <v>90039.16</v>
      </c>
      <c r="P3166">
        <v>185</v>
      </c>
      <c r="Q3166" s="4">
        <v>16657244.6</v>
      </c>
      <c r="R3166">
        <v>0</v>
      </c>
      <c r="V3166">
        <v>0</v>
      </c>
      <c r="W3166">
        <v>0</v>
      </c>
      <c r="X3166">
        <v>0</v>
      </c>
      <c r="Y3166">
        <v>0</v>
      </c>
      <c r="Z3166">
        <v>0</v>
      </c>
      <c r="AA3166">
        <v>0</v>
      </c>
      <c r="AB3166" s="3">
        <v>42562</v>
      </c>
      <c r="AC3166" t="s">
        <v>53</v>
      </c>
      <c r="AD3166" t="s">
        <v>53</v>
      </c>
      <c r="AK3166">
        <v>0</v>
      </c>
      <c r="AU3166" s="3">
        <v>42529</v>
      </c>
      <c r="AV3166" s="3">
        <v>42529</v>
      </c>
      <c r="AW3166" t="s">
        <v>54</v>
      </c>
      <c r="AX3166" t="str">
        <f t="shared" si="371"/>
        <v>FOR</v>
      </c>
      <c r="AY3166" t="s">
        <v>55</v>
      </c>
    </row>
    <row r="3167" spans="1:51">
      <c r="A3167">
        <v>104394</v>
      </c>
      <c r="B3167" t="s">
        <v>393</v>
      </c>
      <c r="C3167" t="str">
        <f t="shared" si="370"/>
        <v>00234290658</v>
      </c>
      <c r="D3167" t="str">
        <f t="shared" si="370"/>
        <v>00234290658</v>
      </c>
      <c r="E3167" t="s">
        <v>52</v>
      </c>
      <c r="F3167">
        <v>2015</v>
      </c>
      <c r="G3167" t="str">
        <f>"               5/568"</f>
        <v xml:space="preserve">               5/568</v>
      </c>
      <c r="H3167" s="3">
        <v>42277</v>
      </c>
      <c r="I3167" s="3">
        <v>42286</v>
      </c>
      <c r="J3167" s="3">
        <v>42284</v>
      </c>
      <c r="K3167" s="3">
        <v>42344</v>
      </c>
      <c r="L3167" s="1">
        <v>90</v>
      </c>
      <c r="M3167">
        <v>185</v>
      </c>
      <c r="N3167" s="5">
        <v>16650</v>
      </c>
      <c r="O3167">
        <v>90</v>
      </c>
      <c r="P3167">
        <v>185</v>
      </c>
      <c r="Q3167" s="4">
        <v>16650</v>
      </c>
      <c r="R3167">
        <v>19.8</v>
      </c>
      <c r="V3167">
        <v>0</v>
      </c>
      <c r="W3167">
        <v>0</v>
      </c>
      <c r="X3167">
        <v>0</v>
      </c>
      <c r="Y3167">
        <v>0</v>
      </c>
      <c r="Z3167">
        <v>0</v>
      </c>
      <c r="AA3167">
        <v>0</v>
      </c>
      <c r="AB3167" s="3">
        <v>42562</v>
      </c>
      <c r="AC3167" t="s">
        <v>53</v>
      </c>
      <c r="AD3167" t="s">
        <v>53</v>
      </c>
      <c r="AK3167">
        <v>19.8</v>
      </c>
      <c r="AU3167" s="3">
        <v>42529</v>
      </c>
      <c r="AV3167" s="3">
        <v>42529</v>
      </c>
      <c r="AW3167" t="s">
        <v>54</v>
      </c>
      <c r="AX3167" t="str">
        <f t="shared" si="371"/>
        <v>FOR</v>
      </c>
      <c r="AY3167" t="s">
        <v>55</v>
      </c>
    </row>
    <row r="3168" spans="1:51">
      <c r="A3168">
        <v>104394</v>
      </c>
      <c r="B3168" t="s">
        <v>393</v>
      </c>
      <c r="C3168" t="str">
        <f t="shared" si="370"/>
        <v>00234290658</v>
      </c>
      <c r="D3168" t="str">
        <f t="shared" si="370"/>
        <v>00234290658</v>
      </c>
      <c r="E3168" t="s">
        <v>52</v>
      </c>
      <c r="F3168">
        <v>2015</v>
      </c>
      <c r="G3168" t="str">
        <f>"               5/569"</f>
        <v xml:space="preserve">               5/569</v>
      </c>
      <c r="H3168" s="3">
        <v>42277</v>
      </c>
      <c r="I3168" s="3">
        <v>42286</v>
      </c>
      <c r="J3168" s="3">
        <v>42284</v>
      </c>
      <c r="K3168" s="3">
        <v>42344</v>
      </c>
      <c r="L3168" s="1">
        <v>360.8</v>
      </c>
      <c r="M3168">
        <v>185</v>
      </c>
      <c r="N3168" s="5">
        <v>66748</v>
      </c>
      <c r="O3168">
        <v>360.8</v>
      </c>
      <c r="P3168">
        <v>185</v>
      </c>
      <c r="Q3168" s="4">
        <v>66748</v>
      </c>
      <c r="R3168">
        <v>79.38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 s="3">
        <v>42562</v>
      </c>
      <c r="AC3168" t="s">
        <v>53</v>
      </c>
      <c r="AD3168" t="s">
        <v>53</v>
      </c>
      <c r="AK3168">
        <v>79.38</v>
      </c>
      <c r="AU3168" s="3">
        <v>42529</v>
      </c>
      <c r="AV3168" s="3">
        <v>42529</v>
      </c>
      <c r="AW3168" t="s">
        <v>54</v>
      </c>
      <c r="AX3168" t="str">
        <f t="shared" si="371"/>
        <v>FOR</v>
      </c>
      <c r="AY3168" t="s">
        <v>55</v>
      </c>
    </row>
    <row r="3169" spans="1:51">
      <c r="A3169">
        <v>104394</v>
      </c>
      <c r="B3169" t="s">
        <v>393</v>
      </c>
      <c r="C3169" t="str">
        <f t="shared" si="370"/>
        <v>00234290658</v>
      </c>
      <c r="D3169" t="str">
        <f t="shared" si="370"/>
        <v>00234290658</v>
      </c>
      <c r="E3169" t="s">
        <v>52</v>
      </c>
      <c r="F3169">
        <v>2015</v>
      </c>
      <c r="G3169" t="str">
        <f>"               5/570"</f>
        <v xml:space="preserve">               5/570</v>
      </c>
      <c r="H3169" s="3">
        <v>42277</v>
      </c>
      <c r="I3169" s="3">
        <v>42286</v>
      </c>
      <c r="J3169" s="3">
        <v>42284</v>
      </c>
      <c r="K3169" s="3">
        <v>42344</v>
      </c>
      <c r="L3169" s="1">
        <v>177.45</v>
      </c>
      <c r="M3169">
        <v>185</v>
      </c>
      <c r="N3169" s="5">
        <v>32828.25</v>
      </c>
      <c r="O3169">
        <v>177.45</v>
      </c>
      <c r="P3169">
        <v>185</v>
      </c>
      <c r="Q3169" s="4">
        <v>32828.25</v>
      </c>
      <c r="R3169">
        <v>39.04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 s="3">
        <v>42562</v>
      </c>
      <c r="AC3169" t="s">
        <v>53</v>
      </c>
      <c r="AD3169" t="s">
        <v>53</v>
      </c>
      <c r="AK3169">
        <v>39.04</v>
      </c>
      <c r="AU3169" s="3">
        <v>42529</v>
      </c>
      <c r="AV3169" s="3">
        <v>42529</v>
      </c>
      <c r="AW3169" t="s">
        <v>54</v>
      </c>
      <c r="AX3169" t="str">
        <f t="shared" si="371"/>
        <v>FOR</v>
      </c>
      <c r="AY3169" t="s">
        <v>55</v>
      </c>
    </row>
    <row r="3170" spans="1:51">
      <c r="A3170">
        <v>104394</v>
      </c>
      <c r="B3170" t="s">
        <v>393</v>
      </c>
      <c r="C3170" t="str">
        <f t="shared" si="370"/>
        <v>00234290658</v>
      </c>
      <c r="D3170" t="str">
        <f t="shared" si="370"/>
        <v>00234290658</v>
      </c>
      <c r="E3170" t="s">
        <v>52</v>
      </c>
      <c r="F3170">
        <v>2016</v>
      </c>
      <c r="G3170" t="str">
        <f>"                5/60"</f>
        <v xml:space="preserve">                5/60</v>
      </c>
      <c r="H3170" s="3">
        <v>42400</v>
      </c>
      <c r="I3170" s="3">
        <v>42415</v>
      </c>
      <c r="J3170" s="3">
        <v>42413</v>
      </c>
      <c r="K3170" s="3">
        <v>42473</v>
      </c>
      <c r="L3170" s="1">
        <v>350.14</v>
      </c>
      <c r="M3170">
        <v>20</v>
      </c>
      <c r="N3170" s="5">
        <v>7002.8</v>
      </c>
      <c r="O3170">
        <v>350.14</v>
      </c>
      <c r="P3170">
        <v>20</v>
      </c>
      <c r="Q3170" s="4">
        <v>7002.8</v>
      </c>
      <c r="R3170">
        <v>0</v>
      </c>
      <c r="V3170">
        <v>0</v>
      </c>
      <c r="W3170">
        <v>0</v>
      </c>
      <c r="X3170">
        <v>0</v>
      </c>
      <c r="Y3170">
        <v>427.17</v>
      </c>
      <c r="Z3170">
        <v>427.17</v>
      </c>
      <c r="AA3170">
        <v>427.17</v>
      </c>
      <c r="AB3170" s="3">
        <v>42562</v>
      </c>
      <c r="AC3170" t="s">
        <v>53</v>
      </c>
      <c r="AD3170" t="s">
        <v>53</v>
      </c>
      <c r="AK3170">
        <v>0</v>
      </c>
      <c r="AU3170" s="3">
        <v>42493</v>
      </c>
      <c r="AV3170" s="3">
        <v>42493</v>
      </c>
      <c r="AW3170" t="s">
        <v>54</v>
      </c>
      <c r="AX3170" t="str">
        <f t="shared" si="371"/>
        <v>FOR</v>
      </c>
      <c r="AY3170" t="s">
        <v>55</v>
      </c>
    </row>
    <row r="3171" spans="1:51">
      <c r="A3171">
        <v>104394</v>
      </c>
      <c r="B3171" t="s">
        <v>393</v>
      </c>
      <c r="C3171" t="str">
        <f t="shared" si="370"/>
        <v>00234290658</v>
      </c>
      <c r="D3171" t="str">
        <f t="shared" si="370"/>
        <v>00234290658</v>
      </c>
      <c r="E3171" t="s">
        <v>52</v>
      </c>
      <c r="F3171">
        <v>2016</v>
      </c>
      <c r="G3171" t="str">
        <f>"                5/61"</f>
        <v xml:space="preserve">                5/61</v>
      </c>
      <c r="H3171" s="3">
        <v>42400</v>
      </c>
      <c r="I3171" s="3">
        <v>42415</v>
      </c>
      <c r="J3171" s="3">
        <v>42413</v>
      </c>
      <c r="K3171" s="3">
        <v>42473</v>
      </c>
      <c r="L3171" s="1">
        <v>88.2</v>
      </c>
      <c r="M3171">
        <v>20</v>
      </c>
      <c r="N3171" s="5">
        <v>1764</v>
      </c>
      <c r="O3171">
        <v>88.2</v>
      </c>
      <c r="P3171">
        <v>20</v>
      </c>
      <c r="Q3171" s="4">
        <v>1764</v>
      </c>
      <c r="R3171">
        <v>0</v>
      </c>
      <c r="V3171">
        <v>0</v>
      </c>
      <c r="W3171">
        <v>0</v>
      </c>
      <c r="X3171">
        <v>0</v>
      </c>
      <c r="Y3171">
        <v>107.6</v>
      </c>
      <c r="Z3171">
        <v>107.6</v>
      </c>
      <c r="AA3171">
        <v>107.6</v>
      </c>
      <c r="AB3171" s="3">
        <v>42562</v>
      </c>
      <c r="AC3171" t="s">
        <v>53</v>
      </c>
      <c r="AD3171" t="s">
        <v>53</v>
      </c>
      <c r="AK3171">
        <v>0</v>
      </c>
      <c r="AU3171" s="3">
        <v>42493</v>
      </c>
      <c r="AV3171" s="3">
        <v>42493</v>
      </c>
      <c r="AW3171" t="s">
        <v>54</v>
      </c>
      <c r="AX3171" t="str">
        <f t="shared" si="371"/>
        <v>FOR</v>
      </c>
      <c r="AY3171" t="s">
        <v>55</v>
      </c>
    </row>
    <row r="3172" spans="1:51">
      <c r="A3172">
        <v>104394</v>
      </c>
      <c r="B3172" t="s">
        <v>393</v>
      </c>
      <c r="C3172" t="str">
        <f t="shared" si="370"/>
        <v>00234290658</v>
      </c>
      <c r="D3172" t="str">
        <f t="shared" si="370"/>
        <v>00234290658</v>
      </c>
      <c r="E3172" t="s">
        <v>52</v>
      </c>
      <c r="F3172">
        <v>2016</v>
      </c>
      <c r="G3172" t="str">
        <f>"                5/62"</f>
        <v xml:space="preserve">                5/62</v>
      </c>
      <c r="H3172" s="3">
        <v>42400</v>
      </c>
      <c r="I3172" s="3">
        <v>42415</v>
      </c>
      <c r="J3172" s="3">
        <v>42413</v>
      </c>
      <c r="K3172" s="3">
        <v>42473</v>
      </c>
      <c r="L3172" s="1">
        <v>90</v>
      </c>
      <c r="M3172">
        <v>20</v>
      </c>
      <c r="N3172" s="5">
        <v>1800</v>
      </c>
      <c r="O3172">
        <v>90</v>
      </c>
      <c r="P3172">
        <v>20</v>
      </c>
      <c r="Q3172" s="4">
        <v>1800</v>
      </c>
      <c r="R3172">
        <v>0</v>
      </c>
      <c r="V3172">
        <v>0</v>
      </c>
      <c r="W3172">
        <v>0</v>
      </c>
      <c r="X3172">
        <v>0</v>
      </c>
      <c r="Y3172">
        <v>109.8</v>
      </c>
      <c r="Z3172">
        <v>109.8</v>
      </c>
      <c r="AA3172">
        <v>109.8</v>
      </c>
      <c r="AB3172" s="3">
        <v>42562</v>
      </c>
      <c r="AC3172" t="s">
        <v>53</v>
      </c>
      <c r="AD3172" t="s">
        <v>53</v>
      </c>
      <c r="AK3172">
        <v>0</v>
      </c>
      <c r="AU3172" s="3">
        <v>42493</v>
      </c>
      <c r="AV3172" s="3">
        <v>42493</v>
      </c>
      <c r="AW3172" t="s">
        <v>54</v>
      </c>
      <c r="AX3172" t="str">
        <f t="shared" si="371"/>
        <v>FOR</v>
      </c>
      <c r="AY3172" t="s">
        <v>55</v>
      </c>
    </row>
    <row r="3173" spans="1:51">
      <c r="A3173">
        <v>104394</v>
      </c>
      <c r="B3173" t="s">
        <v>393</v>
      </c>
      <c r="C3173" t="str">
        <f t="shared" si="370"/>
        <v>00234290658</v>
      </c>
      <c r="D3173" t="str">
        <f t="shared" si="370"/>
        <v>00234290658</v>
      </c>
      <c r="E3173" t="s">
        <v>52</v>
      </c>
      <c r="F3173">
        <v>2016</v>
      </c>
      <c r="G3173" t="str">
        <f>"                5/63"</f>
        <v xml:space="preserve">                5/63</v>
      </c>
      <c r="H3173" s="3">
        <v>42400</v>
      </c>
      <c r="I3173" s="3">
        <v>42415</v>
      </c>
      <c r="J3173" s="3">
        <v>42413</v>
      </c>
      <c r="K3173" s="3">
        <v>42473</v>
      </c>
      <c r="L3173" s="5">
        <v>91185</v>
      </c>
      <c r="M3173">
        <v>20</v>
      </c>
      <c r="N3173" s="5">
        <v>1823700</v>
      </c>
      <c r="O3173" s="4">
        <v>91185</v>
      </c>
      <c r="P3173">
        <v>20</v>
      </c>
      <c r="Q3173" s="4">
        <v>1823700</v>
      </c>
      <c r="R3173">
        <v>0</v>
      </c>
      <c r="V3173">
        <v>0</v>
      </c>
      <c r="W3173">
        <v>0</v>
      </c>
      <c r="X3173">
        <v>0</v>
      </c>
      <c r="Y3173" s="4">
        <v>91185</v>
      </c>
      <c r="Z3173" s="4">
        <v>91185</v>
      </c>
      <c r="AA3173" s="4">
        <v>91185</v>
      </c>
      <c r="AB3173" s="3">
        <v>42562</v>
      </c>
      <c r="AC3173" t="s">
        <v>53</v>
      </c>
      <c r="AD3173" t="s">
        <v>53</v>
      </c>
      <c r="AK3173">
        <v>0</v>
      </c>
      <c r="AU3173" s="3">
        <v>42493</v>
      </c>
      <c r="AV3173" s="3">
        <v>42493</v>
      </c>
      <c r="AW3173" t="s">
        <v>54</v>
      </c>
      <c r="AX3173" t="str">
        <f t="shared" si="371"/>
        <v>FOR</v>
      </c>
      <c r="AY3173" t="s">
        <v>55</v>
      </c>
    </row>
    <row r="3174" spans="1:51">
      <c r="A3174">
        <v>104452</v>
      </c>
      <c r="B3174" t="s">
        <v>394</v>
      </c>
      <c r="C3174" t="str">
        <f>"04222630370"</f>
        <v>04222630370</v>
      </c>
      <c r="D3174" t="str">
        <f>"04222630370"</f>
        <v>04222630370</v>
      </c>
      <c r="E3174" t="s">
        <v>52</v>
      </c>
      <c r="F3174">
        <v>2015</v>
      </c>
      <c r="G3174" t="str">
        <f>"               70/PA"</f>
        <v xml:space="preserve">               70/PA</v>
      </c>
      <c r="H3174" s="3">
        <v>42247</v>
      </c>
      <c r="I3174" s="3">
        <v>42262</v>
      </c>
      <c r="J3174" s="3">
        <v>42261</v>
      </c>
      <c r="K3174" s="3">
        <v>42321</v>
      </c>
      <c r="L3174" s="5">
        <v>1200</v>
      </c>
      <c r="M3174">
        <v>207</v>
      </c>
      <c r="N3174" s="5">
        <v>248400</v>
      </c>
      <c r="O3174" s="4">
        <v>1200</v>
      </c>
      <c r="P3174">
        <v>207</v>
      </c>
      <c r="Q3174" s="4">
        <v>248400</v>
      </c>
      <c r="R3174">
        <v>264</v>
      </c>
      <c r="V3174">
        <v>0</v>
      </c>
      <c r="W3174">
        <v>0</v>
      </c>
      <c r="X3174">
        <v>0</v>
      </c>
      <c r="Y3174">
        <v>0</v>
      </c>
      <c r="Z3174">
        <v>0</v>
      </c>
      <c r="AA3174">
        <v>0</v>
      </c>
      <c r="AB3174" s="3">
        <v>42562</v>
      </c>
      <c r="AC3174" t="s">
        <v>53</v>
      </c>
      <c r="AD3174" t="s">
        <v>53</v>
      </c>
      <c r="AK3174">
        <v>264</v>
      </c>
      <c r="AU3174" s="3">
        <v>42528</v>
      </c>
      <c r="AV3174" s="3">
        <v>42528</v>
      </c>
      <c r="AW3174" t="s">
        <v>54</v>
      </c>
      <c r="AX3174" t="str">
        <f t="shared" si="371"/>
        <v>FOR</v>
      </c>
      <c r="AY3174" t="s">
        <v>55</v>
      </c>
    </row>
    <row r="3175" spans="1:51" hidden="1">
      <c r="A3175">
        <v>104477</v>
      </c>
      <c r="B3175" t="s">
        <v>395</v>
      </c>
      <c r="C3175" t="str">
        <f t="shared" ref="C3175:D3178" si="372">"01762850483"</f>
        <v>01762850483</v>
      </c>
      <c r="D3175" t="str">
        <f t="shared" si="372"/>
        <v>01762850483</v>
      </c>
      <c r="E3175" t="s">
        <v>52</v>
      </c>
      <c r="F3175">
        <v>2015</v>
      </c>
      <c r="G3175" t="str">
        <f>"                 302"</f>
        <v xml:space="preserve">                 302</v>
      </c>
      <c r="H3175" s="3">
        <v>42366</v>
      </c>
      <c r="I3175" s="3">
        <v>42366</v>
      </c>
      <c r="J3175" s="3">
        <v>42366</v>
      </c>
      <c r="K3175" s="3">
        <v>42426</v>
      </c>
      <c r="L3175"/>
      <c r="N3175"/>
      <c r="O3175">
        <v>500</v>
      </c>
      <c r="P3175">
        <v>-24</v>
      </c>
      <c r="Q3175" s="4">
        <v>-12000</v>
      </c>
      <c r="R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 s="3">
        <v>42562</v>
      </c>
      <c r="AC3175" t="s">
        <v>53</v>
      </c>
      <c r="AD3175" t="s">
        <v>53</v>
      </c>
      <c r="AK3175">
        <v>0</v>
      </c>
      <c r="AU3175" s="3">
        <v>42402</v>
      </c>
      <c r="AV3175" s="3">
        <v>42402</v>
      </c>
      <c r="AW3175" t="s">
        <v>54</v>
      </c>
      <c r="AX3175" t="str">
        <f t="shared" si="371"/>
        <v>FOR</v>
      </c>
      <c r="AY3175" t="s">
        <v>55</v>
      </c>
    </row>
    <row r="3176" spans="1:51" hidden="1">
      <c r="A3176">
        <v>104477</v>
      </c>
      <c r="B3176" t="s">
        <v>395</v>
      </c>
      <c r="C3176" t="str">
        <f t="shared" si="372"/>
        <v>01762850483</v>
      </c>
      <c r="D3176" t="str">
        <f t="shared" si="372"/>
        <v>01762850483</v>
      </c>
      <c r="E3176" t="s">
        <v>52</v>
      </c>
      <c r="F3176">
        <v>2016</v>
      </c>
      <c r="G3176" t="str">
        <f>"                   8"</f>
        <v xml:space="preserve">                   8</v>
      </c>
      <c r="H3176" s="3">
        <v>42395</v>
      </c>
      <c r="I3176" s="3">
        <v>42395</v>
      </c>
      <c r="J3176" s="3">
        <v>42395</v>
      </c>
      <c r="K3176" s="3">
        <v>42455</v>
      </c>
      <c r="L3176"/>
      <c r="N3176"/>
      <c r="O3176" s="4">
        <v>3451</v>
      </c>
      <c r="P3176">
        <v>-53</v>
      </c>
      <c r="Q3176" s="4">
        <v>-182903</v>
      </c>
      <c r="R3176">
        <v>0</v>
      </c>
      <c r="V3176">
        <v>0</v>
      </c>
      <c r="W3176">
        <v>0</v>
      </c>
      <c r="X3176">
        <v>0</v>
      </c>
      <c r="Y3176" s="4">
        <v>3451</v>
      </c>
      <c r="Z3176" s="4">
        <v>3451</v>
      </c>
      <c r="AA3176" s="4">
        <v>3451</v>
      </c>
      <c r="AB3176" s="3">
        <v>42562</v>
      </c>
      <c r="AC3176" t="s">
        <v>53</v>
      </c>
      <c r="AD3176" t="s">
        <v>53</v>
      </c>
      <c r="AK3176">
        <v>0</v>
      </c>
      <c r="AU3176" s="3">
        <v>42402</v>
      </c>
      <c r="AV3176" s="3">
        <v>42402</v>
      </c>
      <c r="AW3176" t="s">
        <v>54</v>
      </c>
      <c r="AX3176" t="str">
        <f t="shared" si="371"/>
        <v>FOR</v>
      </c>
      <c r="AY3176" t="s">
        <v>55</v>
      </c>
    </row>
    <row r="3177" spans="1:51" hidden="1">
      <c r="A3177">
        <v>104477</v>
      </c>
      <c r="B3177" t="s">
        <v>395</v>
      </c>
      <c r="C3177" t="str">
        <f t="shared" si="372"/>
        <v>01762850483</v>
      </c>
      <c r="D3177" t="str">
        <f t="shared" si="372"/>
        <v>01762850483</v>
      </c>
      <c r="E3177" t="s">
        <v>52</v>
      </c>
      <c r="F3177">
        <v>2016</v>
      </c>
      <c r="G3177" t="str">
        <f>"                  12"</f>
        <v xml:space="preserve">                  12</v>
      </c>
      <c r="H3177" s="3">
        <v>42401</v>
      </c>
      <c r="I3177" s="3">
        <v>42401</v>
      </c>
      <c r="J3177" s="3">
        <v>42401</v>
      </c>
      <c r="K3177" s="3">
        <v>42461</v>
      </c>
      <c r="L3177"/>
      <c r="N3177"/>
      <c r="O3177" s="4">
        <v>92936.34</v>
      </c>
      <c r="P3177">
        <v>-59</v>
      </c>
      <c r="Q3177" s="4">
        <v>-5483244.0599999996</v>
      </c>
      <c r="R3177">
        <v>0</v>
      </c>
      <c r="V3177">
        <v>0</v>
      </c>
      <c r="W3177">
        <v>0</v>
      </c>
      <c r="X3177">
        <v>0</v>
      </c>
      <c r="Y3177">
        <v>0</v>
      </c>
      <c r="Z3177" s="4">
        <v>92936.34</v>
      </c>
      <c r="AA3177" s="4">
        <v>92936.34</v>
      </c>
      <c r="AB3177" s="3">
        <v>42562</v>
      </c>
      <c r="AC3177" t="s">
        <v>53</v>
      </c>
      <c r="AD3177" t="s">
        <v>53</v>
      </c>
      <c r="AK3177">
        <v>0</v>
      </c>
      <c r="AU3177" s="3">
        <v>42402</v>
      </c>
      <c r="AV3177" s="3">
        <v>42402</v>
      </c>
      <c r="AW3177" t="s">
        <v>54</v>
      </c>
      <c r="AX3177" t="str">
        <f t="shared" si="371"/>
        <v>FOR</v>
      </c>
      <c r="AY3177" t="s">
        <v>55</v>
      </c>
    </row>
    <row r="3178" spans="1:51" hidden="1">
      <c r="A3178">
        <v>104477</v>
      </c>
      <c r="B3178" t="s">
        <v>395</v>
      </c>
      <c r="C3178" t="str">
        <f t="shared" si="372"/>
        <v>01762850483</v>
      </c>
      <c r="D3178" t="str">
        <f t="shared" si="372"/>
        <v>01762850483</v>
      </c>
      <c r="E3178" t="s">
        <v>52</v>
      </c>
      <c r="F3178">
        <v>2016</v>
      </c>
      <c r="G3178" t="str">
        <f>"                  18"</f>
        <v xml:space="preserve">                  18</v>
      </c>
      <c r="H3178" s="3">
        <v>42422</v>
      </c>
      <c r="I3178" s="3">
        <v>42422</v>
      </c>
      <c r="J3178" s="3">
        <v>42422</v>
      </c>
      <c r="K3178" s="3">
        <v>42482</v>
      </c>
      <c r="L3178"/>
      <c r="N3178"/>
      <c r="O3178" s="4">
        <v>25278</v>
      </c>
      <c r="P3178">
        <v>-57</v>
      </c>
      <c r="Q3178" s="4">
        <v>-1440846</v>
      </c>
      <c r="R3178">
        <v>0</v>
      </c>
      <c r="V3178">
        <v>0</v>
      </c>
      <c r="W3178">
        <v>0</v>
      </c>
      <c r="X3178">
        <v>0</v>
      </c>
      <c r="Y3178">
        <v>0</v>
      </c>
      <c r="Z3178" s="4">
        <v>25278</v>
      </c>
      <c r="AA3178" s="4">
        <v>25278</v>
      </c>
      <c r="AB3178" s="3">
        <v>42562</v>
      </c>
      <c r="AC3178" t="s">
        <v>53</v>
      </c>
      <c r="AD3178" t="s">
        <v>53</v>
      </c>
      <c r="AK3178">
        <v>0</v>
      </c>
      <c r="AU3178" s="3">
        <v>42425</v>
      </c>
      <c r="AV3178" s="3">
        <v>42425</v>
      </c>
      <c r="AW3178" t="s">
        <v>54</v>
      </c>
      <c r="AX3178" t="str">
        <f t="shared" si="371"/>
        <v>FOR</v>
      </c>
      <c r="AY3178" t="s">
        <v>55</v>
      </c>
    </row>
    <row r="3179" spans="1:51" hidden="1">
      <c r="A3179">
        <v>104487</v>
      </c>
      <c r="B3179" t="s">
        <v>396</v>
      </c>
      <c r="C3179" t="str">
        <f t="shared" ref="C3179:C3191" si="373">"07287630631"</f>
        <v>07287630631</v>
      </c>
      <c r="D3179" t="str">
        <f t="shared" ref="D3179:D3191" si="374">"VSTGTN63B26F839C"</f>
        <v>VSTGTN63B26F839C</v>
      </c>
      <c r="E3179" t="s">
        <v>52</v>
      </c>
      <c r="F3179">
        <v>2015</v>
      </c>
      <c r="G3179" t="str">
        <f>"                  23"</f>
        <v xml:space="preserve">                  23</v>
      </c>
      <c r="H3179" s="3">
        <v>42069</v>
      </c>
      <c r="I3179" s="3">
        <v>42086</v>
      </c>
      <c r="J3179" s="3">
        <v>42086</v>
      </c>
      <c r="K3179" s="3">
        <v>42146</v>
      </c>
      <c r="L3179"/>
      <c r="N3179"/>
      <c r="O3179" s="4">
        <v>6700</v>
      </c>
      <c r="P3179">
        <v>287</v>
      </c>
      <c r="Q3179" s="4">
        <v>1922900</v>
      </c>
      <c r="R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 s="3">
        <v>42562</v>
      </c>
      <c r="AC3179" t="s">
        <v>53</v>
      </c>
      <c r="AD3179" t="s">
        <v>53</v>
      </c>
      <c r="AK3179">
        <v>0</v>
      </c>
      <c r="AU3179" s="3">
        <v>42433</v>
      </c>
      <c r="AV3179" s="3">
        <v>42433</v>
      </c>
      <c r="AW3179" t="s">
        <v>54</v>
      </c>
      <c r="AX3179" t="str">
        <f t="shared" si="371"/>
        <v>FOR</v>
      </c>
      <c r="AY3179" t="s">
        <v>55</v>
      </c>
    </row>
    <row r="3180" spans="1:51">
      <c r="A3180">
        <v>104487</v>
      </c>
      <c r="B3180" t="s">
        <v>396</v>
      </c>
      <c r="C3180" t="str">
        <f t="shared" si="373"/>
        <v>07287630631</v>
      </c>
      <c r="D3180" t="str">
        <f t="shared" si="374"/>
        <v>VSTGTN63B26F839C</v>
      </c>
      <c r="E3180" t="s">
        <v>52</v>
      </c>
      <c r="F3180">
        <v>2015</v>
      </c>
      <c r="G3180" t="str">
        <f>"                01/E"</f>
        <v xml:space="preserve">                01/E</v>
      </c>
      <c r="H3180" s="3">
        <v>42033</v>
      </c>
      <c r="I3180" s="3">
        <v>42411</v>
      </c>
      <c r="J3180" s="3">
        <v>42401</v>
      </c>
      <c r="K3180" s="3">
        <v>42461</v>
      </c>
      <c r="L3180" s="1">
        <v>540</v>
      </c>
      <c r="M3180">
        <v>31</v>
      </c>
      <c r="N3180" s="5">
        <v>16740</v>
      </c>
      <c r="O3180">
        <v>540</v>
      </c>
      <c r="P3180">
        <v>31</v>
      </c>
      <c r="Q3180" s="4">
        <v>16740</v>
      </c>
      <c r="R3180">
        <v>0</v>
      </c>
      <c r="V3180">
        <v>0</v>
      </c>
      <c r="W3180">
        <v>0</v>
      </c>
      <c r="X3180">
        <v>0</v>
      </c>
      <c r="Y3180">
        <v>658.8</v>
      </c>
      <c r="Z3180">
        <v>658.8</v>
      </c>
      <c r="AA3180">
        <v>0</v>
      </c>
      <c r="AB3180" s="3">
        <v>42562</v>
      </c>
      <c r="AC3180" t="s">
        <v>53</v>
      </c>
      <c r="AD3180" t="s">
        <v>53</v>
      </c>
      <c r="AK3180">
        <v>0</v>
      </c>
      <c r="AU3180" s="3">
        <v>42492</v>
      </c>
      <c r="AV3180" s="3">
        <v>42492</v>
      </c>
      <c r="AW3180" t="s">
        <v>54</v>
      </c>
      <c r="AX3180" t="str">
        <f t="shared" si="371"/>
        <v>FOR</v>
      </c>
      <c r="AY3180" t="s">
        <v>55</v>
      </c>
    </row>
    <row r="3181" spans="1:51">
      <c r="A3181">
        <v>104487</v>
      </c>
      <c r="B3181" t="s">
        <v>396</v>
      </c>
      <c r="C3181" t="str">
        <f t="shared" si="373"/>
        <v>07287630631</v>
      </c>
      <c r="D3181" t="str">
        <f t="shared" si="374"/>
        <v>VSTGTN63B26F839C</v>
      </c>
      <c r="E3181" t="s">
        <v>52</v>
      </c>
      <c r="F3181">
        <v>2015</v>
      </c>
      <c r="G3181" t="str">
        <f>"                18/E"</f>
        <v xml:space="preserve">                18/E</v>
      </c>
      <c r="H3181" s="3">
        <v>42167</v>
      </c>
      <c r="I3181" s="3">
        <v>42191</v>
      </c>
      <c r="J3181" s="3">
        <v>42187</v>
      </c>
      <c r="K3181" s="3">
        <v>42247</v>
      </c>
      <c r="L3181" s="5">
        <v>2774</v>
      </c>
      <c r="M3181">
        <v>245</v>
      </c>
      <c r="N3181" s="5">
        <v>679630</v>
      </c>
      <c r="O3181" s="4">
        <v>2774</v>
      </c>
      <c r="P3181">
        <v>245</v>
      </c>
      <c r="Q3181" s="4">
        <v>679630</v>
      </c>
      <c r="R3181">
        <v>0</v>
      </c>
      <c r="V3181">
        <v>0</v>
      </c>
      <c r="W3181">
        <v>0</v>
      </c>
      <c r="X3181">
        <v>0</v>
      </c>
      <c r="Y3181">
        <v>0</v>
      </c>
      <c r="Z3181">
        <v>0</v>
      </c>
      <c r="AA3181">
        <v>0</v>
      </c>
      <c r="AB3181" s="3">
        <v>42562</v>
      </c>
      <c r="AC3181" t="s">
        <v>53</v>
      </c>
      <c r="AD3181" t="s">
        <v>53</v>
      </c>
      <c r="AK3181">
        <v>0</v>
      </c>
      <c r="AU3181" s="3">
        <v>42492</v>
      </c>
      <c r="AV3181" s="3">
        <v>42492</v>
      </c>
      <c r="AW3181" t="s">
        <v>54</v>
      </c>
      <c r="AX3181" t="str">
        <f t="shared" si="371"/>
        <v>FOR</v>
      </c>
      <c r="AY3181" t="s">
        <v>55</v>
      </c>
    </row>
    <row r="3182" spans="1:51" hidden="1">
      <c r="A3182">
        <v>104487</v>
      </c>
      <c r="B3182" t="s">
        <v>396</v>
      </c>
      <c r="C3182" t="str">
        <f t="shared" si="373"/>
        <v>07287630631</v>
      </c>
      <c r="D3182" t="str">
        <f t="shared" si="374"/>
        <v>VSTGTN63B26F839C</v>
      </c>
      <c r="E3182" t="s">
        <v>52</v>
      </c>
      <c r="F3182">
        <v>2015</v>
      </c>
      <c r="G3182" t="str">
        <f>"                24/E"</f>
        <v xml:space="preserve">                24/E</v>
      </c>
      <c r="H3182" s="3">
        <v>42215</v>
      </c>
      <c r="I3182" s="3">
        <v>42223</v>
      </c>
      <c r="J3182" s="3">
        <v>42222</v>
      </c>
      <c r="K3182" s="3">
        <v>42282</v>
      </c>
      <c r="L3182"/>
      <c r="N3182"/>
      <c r="O3182" s="4">
        <v>15202</v>
      </c>
      <c r="P3182">
        <v>151</v>
      </c>
      <c r="Q3182" s="4">
        <v>2295502</v>
      </c>
      <c r="R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 s="3">
        <v>42562</v>
      </c>
      <c r="AC3182" t="s">
        <v>53</v>
      </c>
      <c r="AD3182" t="s">
        <v>53</v>
      </c>
      <c r="AK3182">
        <v>0</v>
      </c>
      <c r="AU3182" s="3">
        <v>42433</v>
      </c>
      <c r="AV3182" s="3">
        <v>42433</v>
      </c>
      <c r="AW3182" t="s">
        <v>54</v>
      </c>
      <c r="AX3182" t="str">
        <f t="shared" si="371"/>
        <v>FOR</v>
      </c>
      <c r="AY3182" t="s">
        <v>55</v>
      </c>
    </row>
    <row r="3183" spans="1:51" hidden="1">
      <c r="A3183">
        <v>104487</v>
      </c>
      <c r="B3183" t="s">
        <v>396</v>
      </c>
      <c r="C3183" t="str">
        <f t="shared" si="373"/>
        <v>07287630631</v>
      </c>
      <c r="D3183" t="str">
        <f t="shared" si="374"/>
        <v>VSTGTN63B26F839C</v>
      </c>
      <c r="E3183" t="s">
        <v>52</v>
      </c>
      <c r="F3183">
        <v>2015</v>
      </c>
      <c r="G3183" t="str">
        <f>"                52/E"</f>
        <v xml:space="preserve">                52/E</v>
      </c>
      <c r="H3183" s="3">
        <v>42275</v>
      </c>
      <c r="I3183" s="3">
        <v>42277</v>
      </c>
      <c r="J3183" s="3">
        <v>42276</v>
      </c>
      <c r="K3183" s="3">
        <v>42336</v>
      </c>
      <c r="L3183"/>
      <c r="N3183"/>
      <c r="O3183">
        <v>216</v>
      </c>
      <c r="P3183">
        <v>97</v>
      </c>
      <c r="Q3183" s="4">
        <v>20952</v>
      </c>
      <c r="R3183">
        <v>0</v>
      </c>
      <c r="V3183">
        <v>0</v>
      </c>
      <c r="W3183">
        <v>0</v>
      </c>
      <c r="X3183">
        <v>0</v>
      </c>
      <c r="Y3183">
        <v>0</v>
      </c>
      <c r="Z3183">
        <v>0</v>
      </c>
      <c r="AA3183">
        <v>0</v>
      </c>
      <c r="AB3183" s="3">
        <v>42562</v>
      </c>
      <c r="AC3183" t="s">
        <v>53</v>
      </c>
      <c r="AD3183" t="s">
        <v>53</v>
      </c>
      <c r="AK3183">
        <v>0</v>
      </c>
      <c r="AU3183" s="3">
        <v>42433</v>
      </c>
      <c r="AV3183" s="3">
        <v>42433</v>
      </c>
      <c r="AW3183" t="s">
        <v>54</v>
      </c>
      <c r="AX3183" t="str">
        <f t="shared" si="371"/>
        <v>FOR</v>
      </c>
      <c r="AY3183" t="s">
        <v>55</v>
      </c>
    </row>
    <row r="3184" spans="1:51">
      <c r="A3184">
        <v>104487</v>
      </c>
      <c r="B3184" t="s">
        <v>396</v>
      </c>
      <c r="C3184" t="str">
        <f t="shared" si="373"/>
        <v>07287630631</v>
      </c>
      <c r="D3184" t="str">
        <f t="shared" si="374"/>
        <v>VSTGTN63B26F839C</v>
      </c>
      <c r="E3184" t="s">
        <v>52</v>
      </c>
      <c r="F3184">
        <v>2015</v>
      </c>
      <c r="G3184" t="str">
        <f>"                58/E"</f>
        <v xml:space="preserve">                58/E</v>
      </c>
      <c r="H3184" s="3">
        <v>42307</v>
      </c>
      <c r="I3184" s="3">
        <v>42318</v>
      </c>
      <c r="J3184" s="3">
        <v>42317</v>
      </c>
      <c r="K3184" s="3">
        <v>42377</v>
      </c>
      <c r="L3184" s="1">
        <v>425</v>
      </c>
      <c r="M3184">
        <v>115</v>
      </c>
      <c r="N3184" s="5">
        <v>48875</v>
      </c>
      <c r="O3184">
        <v>425</v>
      </c>
      <c r="P3184">
        <v>115</v>
      </c>
      <c r="Q3184" s="4">
        <v>48875</v>
      </c>
      <c r="R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 s="3">
        <v>42562</v>
      </c>
      <c r="AC3184" t="s">
        <v>53</v>
      </c>
      <c r="AD3184" t="s">
        <v>53</v>
      </c>
      <c r="AK3184">
        <v>0</v>
      </c>
      <c r="AU3184" s="3">
        <v>42492</v>
      </c>
      <c r="AV3184" s="3">
        <v>42492</v>
      </c>
      <c r="AW3184" t="s">
        <v>54</v>
      </c>
      <c r="AX3184" t="str">
        <f t="shared" si="371"/>
        <v>FOR</v>
      </c>
      <c r="AY3184" t="s">
        <v>55</v>
      </c>
    </row>
    <row r="3185" spans="1:51">
      <c r="A3185">
        <v>104487</v>
      </c>
      <c r="B3185" t="s">
        <v>396</v>
      </c>
      <c r="C3185" t="str">
        <f t="shared" si="373"/>
        <v>07287630631</v>
      </c>
      <c r="D3185" t="str">
        <f t="shared" si="374"/>
        <v>VSTGTN63B26F839C</v>
      </c>
      <c r="E3185" t="s">
        <v>52</v>
      </c>
      <c r="F3185">
        <v>2015</v>
      </c>
      <c r="G3185" t="str">
        <f>"                59/E"</f>
        <v xml:space="preserve">                59/E</v>
      </c>
      <c r="H3185" s="3">
        <v>42307</v>
      </c>
      <c r="I3185" s="3">
        <v>42318</v>
      </c>
      <c r="J3185" s="3">
        <v>42317</v>
      </c>
      <c r="K3185" s="3">
        <v>42377</v>
      </c>
      <c r="L3185" s="1">
        <v>864</v>
      </c>
      <c r="M3185">
        <v>115</v>
      </c>
      <c r="N3185" s="5">
        <v>99360</v>
      </c>
      <c r="O3185">
        <v>864</v>
      </c>
      <c r="P3185">
        <v>115</v>
      </c>
      <c r="Q3185" s="4">
        <v>99360</v>
      </c>
      <c r="R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 s="3">
        <v>42562</v>
      </c>
      <c r="AC3185" t="s">
        <v>53</v>
      </c>
      <c r="AD3185" t="s">
        <v>53</v>
      </c>
      <c r="AK3185">
        <v>0</v>
      </c>
      <c r="AU3185" s="3">
        <v>42492</v>
      </c>
      <c r="AV3185" s="3">
        <v>42492</v>
      </c>
      <c r="AW3185" t="s">
        <v>54</v>
      </c>
      <c r="AX3185" t="str">
        <f t="shared" si="371"/>
        <v>FOR</v>
      </c>
      <c r="AY3185" t="s">
        <v>55</v>
      </c>
    </row>
    <row r="3186" spans="1:51">
      <c r="A3186">
        <v>104487</v>
      </c>
      <c r="B3186" t="s">
        <v>396</v>
      </c>
      <c r="C3186" t="str">
        <f t="shared" si="373"/>
        <v>07287630631</v>
      </c>
      <c r="D3186" t="str">
        <f t="shared" si="374"/>
        <v>VSTGTN63B26F839C</v>
      </c>
      <c r="E3186" t="s">
        <v>52</v>
      </c>
      <c r="F3186">
        <v>2015</v>
      </c>
      <c r="G3186" t="str">
        <f>"                60/E"</f>
        <v xml:space="preserve">                60/E</v>
      </c>
      <c r="H3186" s="3">
        <v>42307</v>
      </c>
      <c r="I3186" s="3">
        <v>42318</v>
      </c>
      <c r="J3186" s="3">
        <v>42317</v>
      </c>
      <c r="K3186" s="3">
        <v>42377</v>
      </c>
      <c r="L3186" s="5">
        <v>11220</v>
      </c>
      <c r="M3186">
        <v>115</v>
      </c>
      <c r="N3186" s="5">
        <v>1290300</v>
      </c>
      <c r="O3186" s="4">
        <v>11220</v>
      </c>
      <c r="P3186">
        <v>115</v>
      </c>
      <c r="Q3186" s="4">
        <v>1290300</v>
      </c>
      <c r="R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 s="3">
        <v>42562</v>
      </c>
      <c r="AC3186" t="s">
        <v>53</v>
      </c>
      <c r="AD3186" t="s">
        <v>53</v>
      </c>
      <c r="AK3186">
        <v>0</v>
      </c>
      <c r="AU3186" s="3">
        <v>42492</v>
      </c>
      <c r="AV3186" s="3">
        <v>42492</v>
      </c>
      <c r="AW3186" t="s">
        <v>54</v>
      </c>
      <c r="AX3186" t="str">
        <f t="shared" si="371"/>
        <v>FOR</v>
      </c>
      <c r="AY3186" t="s">
        <v>55</v>
      </c>
    </row>
    <row r="3187" spans="1:51">
      <c r="A3187">
        <v>104487</v>
      </c>
      <c r="B3187" t="s">
        <v>396</v>
      </c>
      <c r="C3187" t="str">
        <f t="shared" si="373"/>
        <v>07287630631</v>
      </c>
      <c r="D3187" t="str">
        <f t="shared" si="374"/>
        <v>VSTGTN63B26F839C</v>
      </c>
      <c r="E3187" t="s">
        <v>52</v>
      </c>
      <c r="F3187">
        <v>2015</v>
      </c>
      <c r="G3187" t="str">
        <f>"                62/E"</f>
        <v xml:space="preserve">                62/E</v>
      </c>
      <c r="H3187" s="3">
        <v>42307</v>
      </c>
      <c r="I3187" s="3">
        <v>42318</v>
      </c>
      <c r="J3187" s="3">
        <v>42317</v>
      </c>
      <c r="K3187" s="3">
        <v>42377</v>
      </c>
      <c r="L3187" s="5">
        <v>2100</v>
      </c>
      <c r="M3187">
        <v>115</v>
      </c>
      <c r="N3187" s="5">
        <v>241500</v>
      </c>
      <c r="O3187" s="4">
        <v>2100</v>
      </c>
      <c r="P3187">
        <v>115</v>
      </c>
      <c r="Q3187" s="4">
        <v>241500</v>
      </c>
      <c r="R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 s="3">
        <v>42562</v>
      </c>
      <c r="AC3187" t="s">
        <v>53</v>
      </c>
      <c r="AD3187" t="s">
        <v>53</v>
      </c>
      <c r="AK3187">
        <v>0</v>
      </c>
      <c r="AU3187" s="3">
        <v>42492</v>
      </c>
      <c r="AV3187" s="3">
        <v>42492</v>
      </c>
      <c r="AW3187" t="s">
        <v>54</v>
      </c>
      <c r="AX3187" t="str">
        <f t="shared" si="371"/>
        <v>FOR</v>
      </c>
      <c r="AY3187" t="s">
        <v>55</v>
      </c>
    </row>
    <row r="3188" spans="1:51">
      <c r="A3188">
        <v>104487</v>
      </c>
      <c r="B3188" t="s">
        <v>396</v>
      </c>
      <c r="C3188" t="str">
        <f t="shared" si="373"/>
        <v>07287630631</v>
      </c>
      <c r="D3188" t="str">
        <f t="shared" si="374"/>
        <v>VSTGTN63B26F839C</v>
      </c>
      <c r="E3188" t="s">
        <v>52</v>
      </c>
      <c r="F3188">
        <v>2015</v>
      </c>
      <c r="G3188" t="str">
        <f>"                63/E"</f>
        <v xml:space="preserve">                63/E</v>
      </c>
      <c r="H3188" s="3">
        <v>42307</v>
      </c>
      <c r="I3188" s="3">
        <v>42318</v>
      </c>
      <c r="J3188" s="3">
        <v>42317</v>
      </c>
      <c r="K3188" s="3">
        <v>42377</v>
      </c>
      <c r="L3188" s="1">
        <v>594</v>
      </c>
      <c r="M3188">
        <v>115</v>
      </c>
      <c r="N3188" s="5">
        <v>68310</v>
      </c>
      <c r="O3188">
        <v>594</v>
      </c>
      <c r="P3188">
        <v>115</v>
      </c>
      <c r="Q3188" s="4">
        <v>68310</v>
      </c>
      <c r="R3188">
        <v>0</v>
      </c>
      <c r="V3188">
        <v>0</v>
      </c>
      <c r="W3188">
        <v>0</v>
      </c>
      <c r="X3188">
        <v>0</v>
      </c>
      <c r="Y3188">
        <v>0</v>
      </c>
      <c r="Z3188">
        <v>0</v>
      </c>
      <c r="AA3188">
        <v>0</v>
      </c>
      <c r="AB3188" s="3">
        <v>42562</v>
      </c>
      <c r="AC3188" t="s">
        <v>53</v>
      </c>
      <c r="AD3188" t="s">
        <v>53</v>
      </c>
      <c r="AK3188">
        <v>0</v>
      </c>
      <c r="AU3188" s="3">
        <v>42492</v>
      </c>
      <c r="AV3188" s="3">
        <v>42492</v>
      </c>
      <c r="AW3188" t="s">
        <v>54</v>
      </c>
      <c r="AX3188" t="str">
        <f t="shared" si="371"/>
        <v>FOR</v>
      </c>
      <c r="AY3188" t="s">
        <v>55</v>
      </c>
    </row>
    <row r="3189" spans="1:51">
      <c r="A3189">
        <v>104487</v>
      </c>
      <c r="B3189" t="s">
        <v>396</v>
      </c>
      <c r="C3189" t="str">
        <f t="shared" si="373"/>
        <v>07287630631</v>
      </c>
      <c r="D3189" t="str">
        <f t="shared" si="374"/>
        <v>VSTGTN63B26F839C</v>
      </c>
      <c r="E3189" t="s">
        <v>52</v>
      </c>
      <c r="F3189">
        <v>2015</v>
      </c>
      <c r="G3189" t="str">
        <f>"                68/E"</f>
        <v xml:space="preserve">                68/E</v>
      </c>
      <c r="H3189" s="3">
        <v>42338</v>
      </c>
      <c r="I3189" s="3">
        <v>42345</v>
      </c>
      <c r="J3189" s="3">
        <v>42342</v>
      </c>
      <c r="K3189" s="3">
        <v>42402</v>
      </c>
      <c r="L3189" s="1">
        <v>216</v>
      </c>
      <c r="M3189">
        <v>118</v>
      </c>
      <c r="N3189" s="5">
        <v>25488</v>
      </c>
      <c r="O3189">
        <v>216</v>
      </c>
      <c r="P3189">
        <v>118</v>
      </c>
      <c r="Q3189" s="4">
        <v>25488</v>
      </c>
      <c r="R3189">
        <v>0</v>
      </c>
      <c r="V3189">
        <v>0</v>
      </c>
      <c r="W3189">
        <v>0</v>
      </c>
      <c r="X3189">
        <v>0</v>
      </c>
      <c r="Y3189">
        <v>0</v>
      </c>
      <c r="Z3189">
        <v>0</v>
      </c>
      <c r="AA3189">
        <v>0</v>
      </c>
      <c r="AB3189" s="3">
        <v>42562</v>
      </c>
      <c r="AC3189" t="s">
        <v>53</v>
      </c>
      <c r="AD3189" t="s">
        <v>53</v>
      </c>
      <c r="AK3189">
        <v>0</v>
      </c>
      <c r="AU3189" s="3">
        <v>42520</v>
      </c>
      <c r="AV3189" s="3">
        <v>42520</v>
      </c>
      <c r="AW3189" t="s">
        <v>54</v>
      </c>
      <c r="AX3189" t="str">
        <f t="shared" si="371"/>
        <v>FOR</v>
      </c>
      <c r="AY3189" t="s">
        <v>55</v>
      </c>
    </row>
    <row r="3190" spans="1:51">
      <c r="A3190">
        <v>104487</v>
      </c>
      <c r="B3190" t="s">
        <v>396</v>
      </c>
      <c r="C3190" t="str">
        <f t="shared" si="373"/>
        <v>07287630631</v>
      </c>
      <c r="D3190" t="str">
        <f t="shared" si="374"/>
        <v>VSTGTN63B26F839C</v>
      </c>
      <c r="E3190" t="s">
        <v>52</v>
      </c>
      <c r="F3190">
        <v>2015</v>
      </c>
      <c r="G3190" t="str">
        <f>"                70/E"</f>
        <v xml:space="preserve">                70/E</v>
      </c>
      <c r="H3190" s="3">
        <v>42368</v>
      </c>
      <c r="I3190" s="3">
        <v>42369</v>
      </c>
      <c r="J3190" s="3">
        <v>42369</v>
      </c>
      <c r="K3190" s="3">
        <v>42429</v>
      </c>
      <c r="L3190" s="5">
        <v>1404</v>
      </c>
      <c r="M3190">
        <v>91</v>
      </c>
      <c r="N3190" s="5">
        <v>127764</v>
      </c>
      <c r="O3190" s="4">
        <v>1404</v>
      </c>
      <c r="P3190">
        <v>91</v>
      </c>
      <c r="Q3190" s="4">
        <v>127764</v>
      </c>
      <c r="R3190">
        <v>0</v>
      </c>
      <c r="V3190">
        <v>0</v>
      </c>
      <c r="W3190">
        <v>0</v>
      </c>
      <c r="X3190">
        <v>0</v>
      </c>
      <c r="Y3190">
        <v>0</v>
      </c>
      <c r="Z3190">
        <v>0</v>
      </c>
      <c r="AA3190">
        <v>0</v>
      </c>
      <c r="AB3190" s="3">
        <v>42562</v>
      </c>
      <c r="AC3190" t="s">
        <v>53</v>
      </c>
      <c r="AD3190" t="s">
        <v>53</v>
      </c>
      <c r="AK3190">
        <v>0</v>
      </c>
      <c r="AU3190" s="3">
        <v>42520</v>
      </c>
      <c r="AV3190" s="3">
        <v>42520</v>
      </c>
      <c r="AW3190" t="s">
        <v>54</v>
      </c>
      <c r="AX3190" t="str">
        <f t="shared" si="371"/>
        <v>FOR</v>
      </c>
      <c r="AY3190" t="s">
        <v>55</v>
      </c>
    </row>
    <row r="3191" spans="1:51">
      <c r="A3191">
        <v>104487</v>
      </c>
      <c r="B3191" t="s">
        <v>396</v>
      </c>
      <c r="C3191" t="str">
        <f t="shared" si="373"/>
        <v>07287630631</v>
      </c>
      <c r="D3191" t="str">
        <f t="shared" si="374"/>
        <v>VSTGTN63B26F839C</v>
      </c>
      <c r="E3191" t="s">
        <v>52</v>
      </c>
      <c r="F3191">
        <v>2015</v>
      </c>
      <c r="G3191" t="str">
        <f>"                73/E"</f>
        <v xml:space="preserve">                73/E</v>
      </c>
      <c r="H3191" s="3">
        <v>42368</v>
      </c>
      <c r="I3191" s="3">
        <v>42369</v>
      </c>
      <c r="J3191" s="3">
        <v>42369</v>
      </c>
      <c r="K3191" s="3">
        <v>42429</v>
      </c>
      <c r="L3191" s="5">
        <v>15825</v>
      </c>
      <c r="M3191">
        <v>91</v>
      </c>
      <c r="N3191" s="5">
        <v>1440075</v>
      </c>
      <c r="O3191" s="4">
        <v>15825</v>
      </c>
      <c r="P3191">
        <v>91</v>
      </c>
      <c r="Q3191" s="4">
        <v>1440075</v>
      </c>
      <c r="R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 s="3">
        <v>42562</v>
      </c>
      <c r="AC3191" t="s">
        <v>53</v>
      </c>
      <c r="AD3191" t="s">
        <v>53</v>
      </c>
      <c r="AK3191">
        <v>0</v>
      </c>
      <c r="AU3191" s="3">
        <v>42520</v>
      </c>
      <c r="AV3191" s="3">
        <v>42520</v>
      </c>
      <c r="AW3191" t="s">
        <v>54</v>
      </c>
      <c r="AX3191" t="str">
        <f t="shared" si="371"/>
        <v>FOR</v>
      </c>
      <c r="AY3191" t="s">
        <v>55</v>
      </c>
    </row>
    <row r="3192" spans="1:51" hidden="1">
      <c r="A3192">
        <v>104489</v>
      </c>
      <c r="B3192" t="s">
        <v>397</v>
      </c>
      <c r="C3192" t="str">
        <f t="shared" ref="C3192:D3211" si="375">"07854330631"</f>
        <v>07854330631</v>
      </c>
      <c r="D3192" t="str">
        <f t="shared" si="375"/>
        <v>07854330631</v>
      </c>
      <c r="E3192" t="s">
        <v>52</v>
      </c>
      <c r="F3192">
        <v>2015</v>
      </c>
      <c r="G3192" t="str">
        <f>"                  44"</f>
        <v xml:space="preserve">                  44</v>
      </c>
      <c r="H3192" s="3">
        <v>42058</v>
      </c>
      <c r="I3192" s="3">
        <v>42061</v>
      </c>
      <c r="J3192" s="3">
        <v>42061</v>
      </c>
      <c r="K3192" s="3">
        <v>42121</v>
      </c>
      <c r="L3192"/>
      <c r="N3192"/>
      <c r="O3192">
        <v>850</v>
      </c>
      <c r="P3192">
        <v>287</v>
      </c>
      <c r="Q3192" s="4">
        <v>243950</v>
      </c>
      <c r="R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 s="3">
        <v>42562</v>
      </c>
      <c r="AC3192" t="s">
        <v>53</v>
      </c>
      <c r="AD3192" t="s">
        <v>53</v>
      </c>
      <c r="AK3192">
        <v>0</v>
      </c>
      <c r="AU3192" s="3">
        <v>42408</v>
      </c>
      <c r="AV3192" s="3">
        <v>42408</v>
      </c>
      <c r="AW3192" t="s">
        <v>54</v>
      </c>
      <c r="AX3192" t="str">
        <f t="shared" si="371"/>
        <v>FOR</v>
      </c>
      <c r="AY3192" t="s">
        <v>55</v>
      </c>
    </row>
    <row r="3193" spans="1:51" hidden="1">
      <c r="A3193">
        <v>104489</v>
      </c>
      <c r="B3193" t="s">
        <v>397</v>
      </c>
      <c r="C3193" t="str">
        <f t="shared" si="375"/>
        <v>07854330631</v>
      </c>
      <c r="D3193" t="str">
        <f t="shared" si="375"/>
        <v>07854330631</v>
      </c>
      <c r="E3193" t="s">
        <v>52</v>
      </c>
      <c r="F3193">
        <v>2015</v>
      </c>
      <c r="G3193" t="str">
        <f>"                  86"</f>
        <v xml:space="preserve">                  86</v>
      </c>
      <c r="H3193" s="3">
        <v>42072</v>
      </c>
      <c r="I3193" s="3">
        <v>42081</v>
      </c>
      <c r="J3193" s="3">
        <v>42081</v>
      </c>
      <c r="K3193" s="3">
        <v>42141</v>
      </c>
      <c r="L3193"/>
      <c r="N3193"/>
      <c r="O3193">
        <v>850</v>
      </c>
      <c r="P3193">
        <v>274</v>
      </c>
      <c r="Q3193" s="4">
        <v>232900</v>
      </c>
      <c r="R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 s="3">
        <v>42562</v>
      </c>
      <c r="AC3193" t="s">
        <v>53</v>
      </c>
      <c r="AD3193" t="s">
        <v>53</v>
      </c>
      <c r="AK3193">
        <v>0</v>
      </c>
      <c r="AU3193" s="3">
        <v>42415</v>
      </c>
      <c r="AV3193" s="3">
        <v>42415</v>
      </c>
      <c r="AW3193" t="s">
        <v>54</v>
      </c>
      <c r="AX3193" t="str">
        <f t="shared" si="371"/>
        <v>FOR</v>
      </c>
      <c r="AY3193" t="s">
        <v>55</v>
      </c>
    </row>
    <row r="3194" spans="1:51" hidden="1">
      <c r="A3194">
        <v>104489</v>
      </c>
      <c r="B3194" t="s">
        <v>397</v>
      </c>
      <c r="C3194" t="str">
        <f t="shared" si="375"/>
        <v>07854330631</v>
      </c>
      <c r="D3194" t="str">
        <f t="shared" si="375"/>
        <v>07854330631</v>
      </c>
      <c r="E3194" t="s">
        <v>52</v>
      </c>
      <c r="F3194">
        <v>2015</v>
      </c>
      <c r="G3194" t="str">
        <f>"                  87"</f>
        <v xml:space="preserve">                  87</v>
      </c>
      <c r="H3194" s="3">
        <v>42072</v>
      </c>
      <c r="I3194" s="3">
        <v>42081</v>
      </c>
      <c r="J3194" s="3">
        <v>42081</v>
      </c>
      <c r="K3194" s="3">
        <v>42141</v>
      </c>
      <c r="L3194"/>
      <c r="N3194"/>
      <c r="O3194">
        <v>600</v>
      </c>
      <c r="P3194">
        <v>274</v>
      </c>
      <c r="Q3194" s="4">
        <v>164400</v>
      </c>
      <c r="R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>
        <v>0</v>
      </c>
      <c r="AB3194" s="3">
        <v>42562</v>
      </c>
      <c r="AC3194" t="s">
        <v>53</v>
      </c>
      <c r="AD3194" t="s">
        <v>53</v>
      </c>
      <c r="AK3194">
        <v>0</v>
      </c>
      <c r="AU3194" s="3">
        <v>42415</v>
      </c>
      <c r="AV3194" s="3">
        <v>42415</v>
      </c>
      <c r="AW3194" t="s">
        <v>54</v>
      </c>
      <c r="AX3194" t="str">
        <f t="shared" si="371"/>
        <v>FOR</v>
      </c>
      <c r="AY3194" t="s">
        <v>55</v>
      </c>
    </row>
    <row r="3195" spans="1:51" hidden="1">
      <c r="A3195">
        <v>104489</v>
      </c>
      <c r="B3195" t="s">
        <v>397</v>
      </c>
      <c r="C3195" t="str">
        <f t="shared" si="375"/>
        <v>07854330631</v>
      </c>
      <c r="D3195" t="str">
        <f t="shared" si="375"/>
        <v>07854330631</v>
      </c>
      <c r="E3195" t="s">
        <v>52</v>
      </c>
      <c r="F3195">
        <v>2015</v>
      </c>
      <c r="G3195" t="str">
        <f>"                  88"</f>
        <v xml:space="preserve">                  88</v>
      </c>
      <c r="H3195" s="3">
        <v>42072</v>
      </c>
      <c r="I3195" s="3">
        <v>42081</v>
      </c>
      <c r="J3195" s="3">
        <v>42081</v>
      </c>
      <c r="K3195" s="3">
        <v>42141</v>
      </c>
      <c r="L3195"/>
      <c r="N3195"/>
      <c r="O3195">
        <v>600</v>
      </c>
      <c r="P3195">
        <v>274</v>
      </c>
      <c r="Q3195" s="4">
        <v>164400</v>
      </c>
      <c r="R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 s="3">
        <v>42562</v>
      </c>
      <c r="AC3195" t="s">
        <v>53</v>
      </c>
      <c r="AD3195" t="s">
        <v>53</v>
      </c>
      <c r="AK3195">
        <v>0</v>
      </c>
      <c r="AU3195" s="3">
        <v>42415</v>
      </c>
      <c r="AV3195" s="3">
        <v>42415</v>
      </c>
      <c r="AW3195" t="s">
        <v>54</v>
      </c>
      <c r="AX3195" t="str">
        <f t="shared" si="371"/>
        <v>FOR</v>
      </c>
      <c r="AY3195" t="s">
        <v>55</v>
      </c>
    </row>
    <row r="3196" spans="1:51" hidden="1">
      <c r="A3196">
        <v>104489</v>
      </c>
      <c r="B3196" t="s">
        <v>397</v>
      </c>
      <c r="C3196" t="str">
        <f t="shared" si="375"/>
        <v>07854330631</v>
      </c>
      <c r="D3196" t="str">
        <f t="shared" si="375"/>
        <v>07854330631</v>
      </c>
      <c r="E3196" t="s">
        <v>52</v>
      </c>
      <c r="F3196">
        <v>2015</v>
      </c>
      <c r="G3196" t="str">
        <f>"                  91"</f>
        <v xml:space="preserve">                  91</v>
      </c>
      <c r="H3196" s="3">
        <v>42072</v>
      </c>
      <c r="I3196" s="3">
        <v>42081</v>
      </c>
      <c r="J3196" s="3">
        <v>42081</v>
      </c>
      <c r="K3196" s="3">
        <v>42141</v>
      </c>
      <c r="L3196"/>
      <c r="N3196"/>
      <c r="O3196">
        <v>140</v>
      </c>
      <c r="P3196">
        <v>274</v>
      </c>
      <c r="Q3196" s="4">
        <v>38360</v>
      </c>
      <c r="R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 s="3">
        <v>42562</v>
      </c>
      <c r="AC3196" t="s">
        <v>53</v>
      </c>
      <c r="AD3196" t="s">
        <v>53</v>
      </c>
      <c r="AK3196">
        <v>0</v>
      </c>
      <c r="AU3196" s="3">
        <v>42415</v>
      </c>
      <c r="AV3196" s="3">
        <v>42415</v>
      </c>
      <c r="AW3196" t="s">
        <v>54</v>
      </c>
      <c r="AX3196" t="str">
        <f t="shared" si="371"/>
        <v>FOR</v>
      </c>
      <c r="AY3196" t="s">
        <v>55</v>
      </c>
    </row>
    <row r="3197" spans="1:51" hidden="1">
      <c r="A3197">
        <v>104489</v>
      </c>
      <c r="B3197" t="s">
        <v>397</v>
      </c>
      <c r="C3197" t="str">
        <f t="shared" si="375"/>
        <v>07854330631</v>
      </c>
      <c r="D3197" t="str">
        <f t="shared" si="375"/>
        <v>07854330631</v>
      </c>
      <c r="E3197" t="s">
        <v>52</v>
      </c>
      <c r="F3197">
        <v>2015</v>
      </c>
      <c r="G3197" t="str">
        <f>"                  92"</f>
        <v xml:space="preserve">                  92</v>
      </c>
      <c r="H3197" s="3">
        <v>42072</v>
      </c>
      <c r="I3197" s="3">
        <v>42081</v>
      </c>
      <c r="J3197" s="3">
        <v>42081</v>
      </c>
      <c r="K3197" s="3">
        <v>42141</v>
      </c>
      <c r="L3197"/>
      <c r="N3197"/>
      <c r="O3197">
        <v>140</v>
      </c>
      <c r="P3197">
        <v>274</v>
      </c>
      <c r="Q3197" s="4">
        <v>38360</v>
      </c>
      <c r="R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 s="3">
        <v>42562</v>
      </c>
      <c r="AC3197" t="s">
        <v>53</v>
      </c>
      <c r="AD3197" t="s">
        <v>53</v>
      </c>
      <c r="AK3197">
        <v>0</v>
      </c>
      <c r="AU3197" s="3">
        <v>42415</v>
      </c>
      <c r="AV3197" s="3">
        <v>42415</v>
      </c>
      <c r="AW3197" t="s">
        <v>54</v>
      </c>
      <c r="AX3197" t="str">
        <f t="shared" ref="AX3197:AX3228" si="376">"FOR"</f>
        <v>FOR</v>
      </c>
      <c r="AY3197" t="s">
        <v>55</v>
      </c>
    </row>
    <row r="3198" spans="1:51" hidden="1">
      <c r="A3198">
        <v>104489</v>
      </c>
      <c r="B3198" t="s">
        <v>397</v>
      </c>
      <c r="C3198" t="str">
        <f t="shared" si="375"/>
        <v>07854330631</v>
      </c>
      <c r="D3198" t="str">
        <f t="shared" si="375"/>
        <v>07854330631</v>
      </c>
      <c r="E3198" t="s">
        <v>52</v>
      </c>
      <c r="F3198">
        <v>2015</v>
      </c>
      <c r="G3198" t="str">
        <f>"                  95"</f>
        <v xml:space="preserve">                  95</v>
      </c>
      <c r="H3198" s="3">
        <v>42072</v>
      </c>
      <c r="I3198" s="3">
        <v>42081</v>
      </c>
      <c r="J3198" s="3">
        <v>42081</v>
      </c>
      <c r="K3198" s="3">
        <v>42141</v>
      </c>
      <c r="L3198"/>
      <c r="N3198"/>
      <c r="O3198">
        <v>600</v>
      </c>
      <c r="P3198">
        <v>274</v>
      </c>
      <c r="Q3198" s="4">
        <v>164400</v>
      </c>
      <c r="R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 s="3">
        <v>42562</v>
      </c>
      <c r="AC3198" t="s">
        <v>53</v>
      </c>
      <c r="AD3198" t="s">
        <v>53</v>
      </c>
      <c r="AK3198">
        <v>0</v>
      </c>
      <c r="AU3198" s="3">
        <v>42415</v>
      </c>
      <c r="AV3198" s="3">
        <v>42415</v>
      </c>
      <c r="AW3198" t="s">
        <v>54</v>
      </c>
      <c r="AX3198" t="str">
        <f t="shared" si="376"/>
        <v>FOR</v>
      </c>
      <c r="AY3198" t="s">
        <v>55</v>
      </c>
    </row>
    <row r="3199" spans="1:51" hidden="1">
      <c r="A3199">
        <v>104489</v>
      </c>
      <c r="B3199" t="s">
        <v>397</v>
      </c>
      <c r="C3199" t="str">
        <f t="shared" si="375"/>
        <v>07854330631</v>
      </c>
      <c r="D3199" t="str">
        <f t="shared" si="375"/>
        <v>07854330631</v>
      </c>
      <c r="E3199" t="s">
        <v>52</v>
      </c>
      <c r="F3199">
        <v>2015</v>
      </c>
      <c r="G3199" t="str">
        <f>"                  96"</f>
        <v xml:space="preserve">                  96</v>
      </c>
      <c r="H3199" s="3">
        <v>42072</v>
      </c>
      <c r="I3199" s="3">
        <v>42081</v>
      </c>
      <c r="J3199" s="3">
        <v>42081</v>
      </c>
      <c r="K3199" s="3">
        <v>42141</v>
      </c>
      <c r="L3199"/>
      <c r="N3199"/>
      <c r="O3199">
        <v>600</v>
      </c>
      <c r="P3199">
        <v>274</v>
      </c>
      <c r="Q3199" s="4">
        <v>164400</v>
      </c>
      <c r="R3199">
        <v>0</v>
      </c>
      <c r="V3199">
        <v>0</v>
      </c>
      <c r="W3199">
        <v>0</v>
      </c>
      <c r="X3199">
        <v>0</v>
      </c>
      <c r="Y3199">
        <v>0</v>
      </c>
      <c r="Z3199">
        <v>0</v>
      </c>
      <c r="AA3199">
        <v>0</v>
      </c>
      <c r="AB3199" s="3">
        <v>42562</v>
      </c>
      <c r="AC3199" t="s">
        <v>53</v>
      </c>
      <c r="AD3199" t="s">
        <v>53</v>
      </c>
      <c r="AK3199">
        <v>0</v>
      </c>
      <c r="AU3199" s="3">
        <v>42415</v>
      </c>
      <c r="AV3199" s="3">
        <v>42415</v>
      </c>
      <c r="AW3199" t="s">
        <v>54</v>
      </c>
      <c r="AX3199" t="str">
        <f t="shared" si="376"/>
        <v>FOR</v>
      </c>
      <c r="AY3199" t="s">
        <v>55</v>
      </c>
    </row>
    <row r="3200" spans="1:51" hidden="1">
      <c r="A3200">
        <v>104489</v>
      </c>
      <c r="B3200" t="s">
        <v>397</v>
      </c>
      <c r="C3200" t="str">
        <f t="shared" si="375"/>
        <v>07854330631</v>
      </c>
      <c r="D3200" t="str">
        <f t="shared" si="375"/>
        <v>07854330631</v>
      </c>
      <c r="E3200" t="s">
        <v>52</v>
      </c>
      <c r="F3200">
        <v>2015</v>
      </c>
      <c r="G3200" t="str">
        <f>"                 122"</f>
        <v xml:space="preserve">                 122</v>
      </c>
      <c r="H3200" s="3">
        <v>42090</v>
      </c>
      <c r="I3200" s="3">
        <v>42097</v>
      </c>
      <c r="J3200" s="3">
        <v>42097</v>
      </c>
      <c r="K3200" s="3">
        <v>42157</v>
      </c>
      <c r="L3200"/>
      <c r="N3200"/>
      <c r="O3200">
        <v>850</v>
      </c>
      <c r="P3200">
        <v>258</v>
      </c>
      <c r="Q3200" s="4">
        <v>219300</v>
      </c>
      <c r="R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 s="3">
        <v>42562</v>
      </c>
      <c r="AC3200" t="s">
        <v>53</v>
      </c>
      <c r="AD3200" t="s">
        <v>53</v>
      </c>
      <c r="AK3200">
        <v>0</v>
      </c>
      <c r="AU3200" s="3">
        <v>42415</v>
      </c>
      <c r="AV3200" s="3">
        <v>42415</v>
      </c>
      <c r="AW3200" t="s">
        <v>54</v>
      </c>
      <c r="AX3200" t="str">
        <f t="shared" si="376"/>
        <v>FOR</v>
      </c>
      <c r="AY3200" t="s">
        <v>55</v>
      </c>
    </row>
    <row r="3201" spans="1:51" hidden="1">
      <c r="A3201">
        <v>104489</v>
      </c>
      <c r="B3201" t="s">
        <v>397</v>
      </c>
      <c r="C3201" t="str">
        <f t="shared" si="375"/>
        <v>07854330631</v>
      </c>
      <c r="D3201" t="str">
        <f t="shared" si="375"/>
        <v>07854330631</v>
      </c>
      <c r="E3201" t="s">
        <v>52</v>
      </c>
      <c r="F3201">
        <v>2015</v>
      </c>
      <c r="G3201" t="str">
        <f>"                 123"</f>
        <v xml:space="preserve">                 123</v>
      </c>
      <c r="H3201" s="3">
        <v>42090</v>
      </c>
      <c r="I3201" s="3">
        <v>42097</v>
      </c>
      <c r="J3201" s="3">
        <v>42097</v>
      </c>
      <c r="K3201" s="3">
        <v>42157</v>
      </c>
      <c r="L3201"/>
      <c r="N3201"/>
      <c r="O3201">
        <v>850</v>
      </c>
      <c r="P3201">
        <v>258</v>
      </c>
      <c r="Q3201" s="4">
        <v>219300</v>
      </c>
      <c r="R3201">
        <v>0</v>
      </c>
      <c r="V3201">
        <v>0</v>
      </c>
      <c r="W3201">
        <v>0</v>
      </c>
      <c r="X3201">
        <v>0</v>
      </c>
      <c r="Y3201">
        <v>0</v>
      </c>
      <c r="Z3201">
        <v>0</v>
      </c>
      <c r="AA3201">
        <v>0</v>
      </c>
      <c r="AB3201" s="3">
        <v>42562</v>
      </c>
      <c r="AC3201" t="s">
        <v>53</v>
      </c>
      <c r="AD3201" t="s">
        <v>53</v>
      </c>
      <c r="AK3201">
        <v>0</v>
      </c>
      <c r="AU3201" s="3">
        <v>42415</v>
      </c>
      <c r="AV3201" s="3">
        <v>42415</v>
      </c>
      <c r="AW3201" t="s">
        <v>54</v>
      </c>
      <c r="AX3201" t="str">
        <f t="shared" si="376"/>
        <v>FOR</v>
      </c>
      <c r="AY3201" t="s">
        <v>55</v>
      </c>
    </row>
    <row r="3202" spans="1:51" hidden="1">
      <c r="A3202">
        <v>104489</v>
      </c>
      <c r="B3202" t="s">
        <v>397</v>
      </c>
      <c r="C3202" t="str">
        <f t="shared" si="375"/>
        <v>07854330631</v>
      </c>
      <c r="D3202" t="str">
        <f t="shared" si="375"/>
        <v>07854330631</v>
      </c>
      <c r="E3202" t="s">
        <v>52</v>
      </c>
      <c r="F3202">
        <v>2015</v>
      </c>
      <c r="G3202" t="str">
        <f>"                 124"</f>
        <v xml:space="preserve">                 124</v>
      </c>
      <c r="H3202" s="3">
        <v>42090</v>
      </c>
      <c r="I3202" s="3">
        <v>42097</v>
      </c>
      <c r="J3202" s="3">
        <v>42097</v>
      </c>
      <c r="K3202" s="3">
        <v>42157</v>
      </c>
      <c r="L3202"/>
      <c r="N3202"/>
      <c r="O3202">
        <v>850</v>
      </c>
      <c r="P3202">
        <v>258</v>
      </c>
      <c r="Q3202" s="4">
        <v>219300</v>
      </c>
      <c r="R3202">
        <v>0</v>
      </c>
      <c r="V3202">
        <v>0</v>
      </c>
      <c r="W3202">
        <v>0</v>
      </c>
      <c r="X3202">
        <v>0</v>
      </c>
      <c r="Y3202">
        <v>0</v>
      </c>
      <c r="Z3202">
        <v>0</v>
      </c>
      <c r="AA3202">
        <v>0</v>
      </c>
      <c r="AB3202" s="3">
        <v>42562</v>
      </c>
      <c r="AC3202" t="s">
        <v>53</v>
      </c>
      <c r="AD3202" t="s">
        <v>53</v>
      </c>
      <c r="AK3202">
        <v>0</v>
      </c>
      <c r="AU3202" s="3">
        <v>42415</v>
      </c>
      <c r="AV3202" s="3">
        <v>42415</v>
      </c>
      <c r="AW3202" t="s">
        <v>54</v>
      </c>
      <c r="AX3202" t="str">
        <f t="shared" si="376"/>
        <v>FOR</v>
      </c>
      <c r="AY3202" t="s">
        <v>55</v>
      </c>
    </row>
    <row r="3203" spans="1:51" hidden="1">
      <c r="A3203">
        <v>104489</v>
      </c>
      <c r="B3203" t="s">
        <v>397</v>
      </c>
      <c r="C3203" t="str">
        <f t="shared" si="375"/>
        <v>07854330631</v>
      </c>
      <c r="D3203" t="str">
        <f t="shared" si="375"/>
        <v>07854330631</v>
      </c>
      <c r="E3203" t="s">
        <v>52</v>
      </c>
      <c r="F3203">
        <v>2015</v>
      </c>
      <c r="G3203" t="str">
        <f>"                 125"</f>
        <v xml:space="preserve">                 125</v>
      </c>
      <c r="H3203" s="3">
        <v>42090</v>
      </c>
      <c r="I3203" s="3">
        <v>42097</v>
      </c>
      <c r="J3203" s="3">
        <v>42097</v>
      </c>
      <c r="K3203" s="3">
        <v>42157</v>
      </c>
      <c r="L3203"/>
      <c r="N3203"/>
      <c r="O3203">
        <v>850</v>
      </c>
      <c r="P3203">
        <v>258</v>
      </c>
      <c r="Q3203" s="4">
        <v>219300</v>
      </c>
      <c r="R3203">
        <v>0</v>
      </c>
      <c r="V3203">
        <v>0</v>
      </c>
      <c r="W3203">
        <v>0</v>
      </c>
      <c r="X3203">
        <v>0</v>
      </c>
      <c r="Y3203">
        <v>0</v>
      </c>
      <c r="Z3203">
        <v>0</v>
      </c>
      <c r="AA3203">
        <v>0</v>
      </c>
      <c r="AB3203" s="3">
        <v>42562</v>
      </c>
      <c r="AC3203" t="s">
        <v>53</v>
      </c>
      <c r="AD3203" t="s">
        <v>53</v>
      </c>
      <c r="AK3203">
        <v>0</v>
      </c>
      <c r="AU3203" s="3">
        <v>42415</v>
      </c>
      <c r="AV3203" s="3">
        <v>42415</v>
      </c>
      <c r="AW3203" t="s">
        <v>54</v>
      </c>
      <c r="AX3203" t="str">
        <f t="shared" si="376"/>
        <v>FOR</v>
      </c>
      <c r="AY3203" t="s">
        <v>55</v>
      </c>
    </row>
    <row r="3204" spans="1:51" hidden="1">
      <c r="A3204">
        <v>104489</v>
      </c>
      <c r="B3204" t="s">
        <v>397</v>
      </c>
      <c r="C3204" t="str">
        <f t="shared" si="375"/>
        <v>07854330631</v>
      </c>
      <c r="D3204" t="str">
        <f t="shared" si="375"/>
        <v>07854330631</v>
      </c>
      <c r="E3204" t="s">
        <v>52</v>
      </c>
      <c r="F3204">
        <v>2015</v>
      </c>
      <c r="G3204" t="str">
        <f>"                 126"</f>
        <v xml:space="preserve">                 126</v>
      </c>
      <c r="H3204" s="3">
        <v>42090</v>
      </c>
      <c r="I3204" s="3">
        <v>42097</v>
      </c>
      <c r="J3204" s="3">
        <v>42097</v>
      </c>
      <c r="K3204" s="3">
        <v>42157</v>
      </c>
      <c r="L3204"/>
      <c r="N3204"/>
      <c r="O3204">
        <v>850</v>
      </c>
      <c r="P3204">
        <v>258</v>
      </c>
      <c r="Q3204" s="4">
        <v>219300</v>
      </c>
      <c r="R3204">
        <v>0</v>
      </c>
      <c r="V3204">
        <v>0</v>
      </c>
      <c r="W3204">
        <v>0</v>
      </c>
      <c r="X3204">
        <v>0</v>
      </c>
      <c r="Y3204">
        <v>0</v>
      </c>
      <c r="Z3204">
        <v>0</v>
      </c>
      <c r="AA3204">
        <v>0</v>
      </c>
      <c r="AB3204" s="3">
        <v>42562</v>
      </c>
      <c r="AC3204" t="s">
        <v>53</v>
      </c>
      <c r="AD3204" t="s">
        <v>53</v>
      </c>
      <c r="AK3204">
        <v>0</v>
      </c>
      <c r="AU3204" s="3">
        <v>42415</v>
      </c>
      <c r="AV3204" s="3">
        <v>42415</v>
      </c>
      <c r="AW3204" t="s">
        <v>54</v>
      </c>
      <c r="AX3204" t="str">
        <f t="shared" si="376"/>
        <v>FOR</v>
      </c>
      <c r="AY3204" t="s">
        <v>55</v>
      </c>
    </row>
    <row r="3205" spans="1:51" hidden="1">
      <c r="A3205">
        <v>104489</v>
      </c>
      <c r="B3205" t="s">
        <v>397</v>
      </c>
      <c r="C3205" t="str">
        <f t="shared" si="375"/>
        <v>07854330631</v>
      </c>
      <c r="D3205" t="str">
        <f t="shared" si="375"/>
        <v>07854330631</v>
      </c>
      <c r="E3205" t="s">
        <v>52</v>
      </c>
      <c r="F3205">
        <v>2015</v>
      </c>
      <c r="G3205" t="str">
        <f>"              132/02"</f>
        <v xml:space="preserve">              132/02</v>
      </c>
      <c r="H3205" s="3">
        <v>42101</v>
      </c>
      <c r="I3205" s="3">
        <v>42163</v>
      </c>
      <c r="J3205" s="3">
        <v>42142</v>
      </c>
      <c r="K3205" s="3">
        <v>42202</v>
      </c>
      <c r="L3205"/>
      <c r="N3205"/>
      <c r="O3205">
        <v>850</v>
      </c>
      <c r="P3205">
        <v>229</v>
      </c>
      <c r="Q3205" s="4">
        <v>194650</v>
      </c>
      <c r="R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 s="3">
        <v>42562</v>
      </c>
      <c r="AC3205" t="s">
        <v>53</v>
      </c>
      <c r="AD3205" t="s">
        <v>53</v>
      </c>
      <c r="AK3205">
        <v>0</v>
      </c>
      <c r="AU3205" s="3">
        <v>42431</v>
      </c>
      <c r="AV3205" s="3">
        <v>42431</v>
      </c>
      <c r="AW3205" t="s">
        <v>54</v>
      </c>
      <c r="AX3205" t="str">
        <f t="shared" si="376"/>
        <v>FOR</v>
      </c>
      <c r="AY3205" t="s">
        <v>55</v>
      </c>
    </row>
    <row r="3206" spans="1:51" hidden="1">
      <c r="A3206">
        <v>104489</v>
      </c>
      <c r="B3206" t="s">
        <v>397</v>
      </c>
      <c r="C3206" t="str">
        <f t="shared" si="375"/>
        <v>07854330631</v>
      </c>
      <c r="D3206" t="str">
        <f t="shared" si="375"/>
        <v>07854330631</v>
      </c>
      <c r="E3206" t="s">
        <v>52</v>
      </c>
      <c r="F3206">
        <v>2015</v>
      </c>
      <c r="G3206" t="str">
        <f>"              133/02"</f>
        <v xml:space="preserve">              133/02</v>
      </c>
      <c r="H3206" s="3">
        <v>42101</v>
      </c>
      <c r="I3206" s="3">
        <v>42163</v>
      </c>
      <c r="J3206" s="3">
        <v>42142</v>
      </c>
      <c r="K3206" s="3">
        <v>42202</v>
      </c>
      <c r="L3206"/>
      <c r="N3206"/>
      <c r="O3206">
        <v>850</v>
      </c>
      <c r="P3206">
        <v>229</v>
      </c>
      <c r="Q3206" s="4">
        <v>194650</v>
      </c>
      <c r="R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 s="3">
        <v>42562</v>
      </c>
      <c r="AC3206" t="s">
        <v>53</v>
      </c>
      <c r="AD3206" t="s">
        <v>53</v>
      </c>
      <c r="AK3206">
        <v>0</v>
      </c>
      <c r="AU3206" s="3">
        <v>42431</v>
      </c>
      <c r="AV3206" s="3">
        <v>42431</v>
      </c>
      <c r="AW3206" t="s">
        <v>54</v>
      </c>
      <c r="AX3206" t="str">
        <f t="shared" si="376"/>
        <v>FOR</v>
      </c>
      <c r="AY3206" t="s">
        <v>55</v>
      </c>
    </row>
    <row r="3207" spans="1:51" hidden="1">
      <c r="A3207">
        <v>104489</v>
      </c>
      <c r="B3207" t="s">
        <v>397</v>
      </c>
      <c r="C3207" t="str">
        <f t="shared" si="375"/>
        <v>07854330631</v>
      </c>
      <c r="D3207" t="str">
        <f t="shared" si="375"/>
        <v>07854330631</v>
      </c>
      <c r="E3207" t="s">
        <v>52</v>
      </c>
      <c r="F3207">
        <v>2015</v>
      </c>
      <c r="G3207" t="str">
        <f>"              134/02"</f>
        <v xml:space="preserve">              134/02</v>
      </c>
      <c r="H3207" s="3">
        <v>42101</v>
      </c>
      <c r="I3207" s="3">
        <v>42163</v>
      </c>
      <c r="J3207" s="3">
        <v>42142</v>
      </c>
      <c r="K3207" s="3">
        <v>42202</v>
      </c>
      <c r="L3207"/>
      <c r="N3207"/>
      <c r="O3207">
        <v>850</v>
      </c>
      <c r="P3207">
        <v>229</v>
      </c>
      <c r="Q3207" s="4">
        <v>194650</v>
      </c>
      <c r="R3207">
        <v>0</v>
      </c>
      <c r="V3207">
        <v>0</v>
      </c>
      <c r="W3207">
        <v>0</v>
      </c>
      <c r="X3207">
        <v>0</v>
      </c>
      <c r="Y3207">
        <v>0</v>
      </c>
      <c r="Z3207">
        <v>0</v>
      </c>
      <c r="AA3207">
        <v>0</v>
      </c>
      <c r="AB3207" s="3">
        <v>42562</v>
      </c>
      <c r="AC3207" t="s">
        <v>53</v>
      </c>
      <c r="AD3207" t="s">
        <v>53</v>
      </c>
      <c r="AK3207">
        <v>0</v>
      </c>
      <c r="AU3207" s="3">
        <v>42431</v>
      </c>
      <c r="AV3207" s="3">
        <v>42431</v>
      </c>
      <c r="AW3207" t="s">
        <v>54</v>
      </c>
      <c r="AX3207" t="str">
        <f t="shared" si="376"/>
        <v>FOR</v>
      </c>
      <c r="AY3207" t="s">
        <v>55</v>
      </c>
    </row>
    <row r="3208" spans="1:51" hidden="1">
      <c r="A3208">
        <v>104489</v>
      </c>
      <c r="B3208" t="s">
        <v>397</v>
      </c>
      <c r="C3208" t="str">
        <f t="shared" si="375"/>
        <v>07854330631</v>
      </c>
      <c r="D3208" t="str">
        <f t="shared" si="375"/>
        <v>07854330631</v>
      </c>
      <c r="E3208" t="s">
        <v>52</v>
      </c>
      <c r="F3208">
        <v>2015</v>
      </c>
      <c r="G3208" t="str">
        <f>"              156/02"</f>
        <v xml:space="preserve">              156/02</v>
      </c>
      <c r="H3208" s="3">
        <v>42117</v>
      </c>
      <c r="I3208" s="3">
        <v>42163</v>
      </c>
      <c r="J3208" s="3">
        <v>42142</v>
      </c>
      <c r="K3208" s="3">
        <v>42202</v>
      </c>
      <c r="L3208"/>
      <c r="N3208"/>
      <c r="O3208">
        <v>850</v>
      </c>
      <c r="P3208">
        <v>229</v>
      </c>
      <c r="Q3208" s="4">
        <v>194650</v>
      </c>
      <c r="R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 s="3">
        <v>42562</v>
      </c>
      <c r="AC3208" t="s">
        <v>53</v>
      </c>
      <c r="AD3208" t="s">
        <v>53</v>
      </c>
      <c r="AK3208">
        <v>0</v>
      </c>
      <c r="AU3208" s="3">
        <v>42431</v>
      </c>
      <c r="AV3208" s="3">
        <v>42431</v>
      </c>
      <c r="AW3208" t="s">
        <v>54</v>
      </c>
      <c r="AX3208" t="str">
        <f t="shared" si="376"/>
        <v>FOR</v>
      </c>
      <c r="AY3208" t="s">
        <v>55</v>
      </c>
    </row>
    <row r="3209" spans="1:51" hidden="1">
      <c r="A3209">
        <v>104489</v>
      </c>
      <c r="B3209" t="s">
        <v>397</v>
      </c>
      <c r="C3209" t="str">
        <f t="shared" si="375"/>
        <v>07854330631</v>
      </c>
      <c r="D3209" t="str">
        <f t="shared" si="375"/>
        <v>07854330631</v>
      </c>
      <c r="E3209" t="s">
        <v>52</v>
      </c>
      <c r="F3209">
        <v>2015</v>
      </c>
      <c r="G3209" t="str">
        <f>"              157/02"</f>
        <v xml:space="preserve">              157/02</v>
      </c>
      <c r="H3209" s="3">
        <v>42117</v>
      </c>
      <c r="I3209" s="3">
        <v>42163</v>
      </c>
      <c r="J3209" s="3">
        <v>42142</v>
      </c>
      <c r="K3209" s="3">
        <v>42202</v>
      </c>
      <c r="L3209"/>
      <c r="N3209"/>
      <c r="O3209">
        <v>850</v>
      </c>
      <c r="P3209">
        <v>229</v>
      </c>
      <c r="Q3209" s="4">
        <v>194650</v>
      </c>
      <c r="R3209">
        <v>0</v>
      </c>
      <c r="V3209">
        <v>0</v>
      </c>
      <c r="W3209">
        <v>0</v>
      </c>
      <c r="X3209">
        <v>0</v>
      </c>
      <c r="Y3209">
        <v>0</v>
      </c>
      <c r="Z3209">
        <v>0</v>
      </c>
      <c r="AA3209">
        <v>0</v>
      </c>
      <c r="AB3209" s="3">
        <v>42562</v>
      </c>
      <c r="AC3209" t="s">
        <v>53</v>
      </c>
      <c r="AD3209" t="s">
        <v>53</v>
      </c>
      <c r="AK3209">
        <v>0</v>
      </c>
      <c r="AU3209" s="3">
        <v>42431</v>
      </c>
      <c r="AV3209" s="3">
        <v>42431</v>
      </c>
      <c r="AW3209" t="s">
        <v>54</v>
      </c>
      <c r="AX3209" t="str">
        <f t="shared" si="376"/>
        <v>FOR</v>
      </c>
      <c r="AY3209" t="s">
        <v>55</v>
      </c>
    </row>
    <row r="3210" spans="1:51" hidden="1">
      <c r="A3210">
        <v>104489</v>
      </c>
      <c r="B3210" t="s">
        <v>397</v>
      </c>
      <c r="C3210" t="str">
        <f t="shared" si="375"/>
        <v>07854330631</v>
      </c>
      <c r="D3210" t="str">
        <f t="shared" si="375"/>
        <v>07854330631</v>
      </c>
      <c r="E3210" t="s">
        <v>52</v>
      </c>
      <c r="F3210">
        <v>2015</v>
      </c>
      <c r="G3210" t="str">
        <f>"              158/02"</f>
        <v xml:space="preserve">              158/02</v>
      </c>
      <c r="H3210" s="3">
        <v>42117</v>
      </c>
      <c r="I3210" s="3">
        <v>42163</v>
      </c>
      <c r="J3210" s="3">
        <v>42142</v>
      </c>
      <c r="K3210" s="3">
        <v>42202</v>
      </c>
      <c r="L3210"/>
      <c r="N3210"/>
      <c r="O3210">
        <v>850</v>
      </c>
      <c r="P3210">
        <v>229</v>
      </c>
      <c r="Q3210" s="4">
        <v>194650</v>
      </c>
      <c r="R3210">
        <v>0</v>
      </c>
      <c r="V3210">
        <v>0</v>
      </c>
      <c r="W3210">
        <v>0</v>
      </c>
      <c r="X3210">
        <v>0</v>
      </c>
      <c r="Y3210">
        <v>0</v>
      </c>
      <c r="Z3210">
        <v>0</v>
      </c>
      <c r="AA3210">
        <v>0</v>
      </c>
      <c r="AB3210" s="3">
        <v>42562</v>
      </c>
      <c r="AC3210" t="s">
        <v>53</v>
      </c>
      <c r="AD3210" t="s">
        <v>53</v>
      </c>
      <c r="AK3210">
        <v>0</v>
      </c>
      <c r="AU3210" s="3">
        <v>42431</v>
      </c>
      <c r="AV3210" s="3">
        <v>42431</v>
      </c>
      <c r="AW3210" t="s">
        <v>54</v>
      </c>
      <c r="AX3210" t="str">
        <f t="shared" si="376"/>
        <v>FOR</v>
      </c>
      <c r="AY3210" t="s">
        <v>55</v>
      </c>
    </row>
    <row r="3211" spans="1:51">
      <c r="A3211">
        <v>104489</v>
      </c>
      <c r="B3211" t="s">
        <v>397</v>
      </c>
      <c r="C3211" t="str">
        <f t="shared" si="375"/>
        <v>07854330631</v>
      </c>
      <c r="D3211" t="str">
        <f t="shared" si="375"/>
        <v>07854330631</v>
      </c>
      <c r="E3211" t="s">
        <v>52</v>
      </c>
      <c r="F3211">
        <v>2015</v>
      </c>
      <c r="G3211" t="str">
        <f>"              242/02"</f>
        <v xml:space="preserve">              242/02</v>
      </c>
      <c r="H3211" s="3">
        <v>42158</v>
      </c>
      <c r="I3211" s="3">
        <v>42209</v>
      </c>
      <c r="J3211" s="3">
        <v>42208</v>
      </c>
      <c r="K3211" s="3">
        <v>42268</v>
      </c>
      <c r="L3211" s="1">
        <v>850</v>
      </c>
      <c r="M3211">
        <v>259</v>
      </c>
      <c r="N3211" s="5">
        <v>220150</v>
      </c>
      <c r="O3211">
        <v>850</v>
      </c>
      <c r="P3211">
        <v>259</v>
      </c>
      <c r="Q3211" s="4">
        <v>220150</v>
      </c>
      <c r="R3211">
        <v>34</v>
      </c>
      <c r="V3211">
        <v>0</v>
      </c>
      <c r="W3211">
        <v>0</v>
      </c>
      <c r="X3211">
        <v>0</v>
      </c>
      <c r="Y3211">
        <v>0</v>
      </c>
      <c r="Z3211">
        <v>0</v>
      </c>
      <c r="AA3211">
        <v>0</v>
      </c>
      <c r="AB3211" s="3">
        <v>42562</v>
      </c>
      <c r="AC3211" t="s">
        <v>53</v>
      </c>
      <c r="AD3211" t="s">
        <v>53</v>
      </c>
      <c r="AK3211">
        <v>34</v>
      </c>
      <c r="AU3211" s="3">
        <v>42527</v>
      </c>
      <c r="AV3211" s="3">
        <v>42527</v>
      </c>
      <c r="AW3211" t="s">
        <v>54</v>
      </c>
      <c r="AX3211" t="str">
        <f t="shared" si="376"/>
        <v>FOR</v>
      </c>
      <c r="AY3211" t="s">
        <v>55</v>
      </c>
    </row>
    <row r="3212" spans="1:51" hidden="1">
      <c r="A3212">
        <v>104492</v>
      </c>
      <c r="B3212" t="s">
        <v>398</v>
      </c>
      <c r="C3212" t="str">
        <f t="shared" ref="C3212:D3231" si="377">"05354730631"</f>
        <v>05354730631</v>
      </c>
      <c r="D3212" t="str">
        <f t="shared" si="377"/>
        <v>05354730631</v>
      </c>
      <c r="E3212" t="s">
        <v>52</v>
      </c>
      <c r="F3212">
        <v>2015</v>
      </c>
      <c r="G3212" t="str">
        <f>"                 378"</f>
        <v xml:space="preserve">                 378</v>
      </c>
      <c r="H3212" s="3">
        <v>42048</v>
      </c>
      <c r="I3212" s="3">
        <v>42061</v>
      </c>
      <c r="J3212" s="3">
        <v>42061</v>
      </c>
      <c r="K3212" s="3">
        <v>42121</v>
      </c>
      <c r="L3212"/>
      <c r="N3212"/>
      <c r="O3212" s="4">
        <v>4650</v>
      </c>
      <c r="P3212">
        <v>295</v>
      </c>
      <c r="Q3212" s="4">
        <v>1371750</v>
      </c>
      <c r="R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 s="3">
        <v>42562</v>
      </c>
      <c r="AC3212" t="s">
        <v>53</v>
      </c>
      <c r="AD3212" t="s">
        <v>53</v>
      </c>
      <c r="AK3212">
        <v>0</v>
      </c>
      <c r="AU3212" s="3">
        <v>42416</v>
      </c>
      <c r="AV3212" s="3">
        <v>42416</v>
      </c>
      <c r="AW3212" t="s">
        <v>54</v>
      </c>
      <c r="AX3212" t="str">
        <f t="shared" si="376"/>
        <v>FOR</v>
      </c>
      <c r="AY3212" t="s">
        <v>55</v>
      </c>
    </row>
    <row r="3213" spans="1:51" hidden="1">
      <c r="A3213">
        <v>104492</v>
      </c>
      <c r="B3213" t="s">
        <v>398</v>
      </c>
      <c r="C3213" t="str">
        <f t="shared" si="377"/>
        <v>05354730631</v>
      </c>
      <c r="D3213" t="str">
        <f t="shared" si="377"/>
        <v>05354730631</v>
      </c>
      <c r="E3213" t="s">
        <v>52</v>
      </c>
      <c r="F3213">
        <v>2015</v>
      </c>
      <c r="G3213" t="str">
        <f>"                 720"</f>
        <v xml:space="preserve">                 720</v>
      </c>
      <c r="H3213" s="3">
        <v>42083</v>
      </c>
      <c r="I3213" s="3">
        <v>42086</v>
      </c>
      <c r="J3213" s="3">
        <v>42086</v>
      </c>
      <c r="K3213" s="3">
        <v>42146</v>
      </c>
      <c r="L3213"/>
      <c r="N3213"/>
      <c r="O3213" s="4">
        <v>4650</v>
      </c>
      <c r="P3213">
        <v>270</v>
      </c>
      <c r="Q3213" s="4">
        <v>1255500</v>
      </c>
      <c r="R3213">
        <v>0</v>
      </c>
      <c r="V3213">
        <v>0</v>
      </c>
      <c r="W3213">
        <v>0</v>
      </c>
      <c r="X3213">
        <v>0</v>
      </c>
      <c r="Y3213">
        <v>0</v>
      </c>
      <c r="Z3213">
        <v>0</v>
      </c>
      <c r="AA3213">
        <v>0</v>
      </c>
      <c r="AB3213" s="3">
        <v>42562</v>
      </c>
      <c r="AC3213" t="s">
        <v>53</v>
      </c>
      <c r="AD3213" t="s">
        <v>53</v>
      </c>
      <c r="AK3213">
        <v>0</v>
      </c>
      <c r="AU3213" s="3">
        <v>42416</v>
      </c>
      <c r="AV3213" s="3">
        <v>42416</v>
      </c>
      <c r="AW3213" t="s">
        <v>54</v>
      </c>
      <c r="AX3213" t="str">
        <f t="shared" si="376"/>
        <v>FOR</v>
      </c>
      <c r="AY3213" t="s">
        <v>55</v>
      </c>
    </row>
    <row r="3214" spans="1:51" hidden="1">
      <c r="A3214">
        <v>104492</v>
      </c>
      <c r="B3214" t="s">
        <v>398</v>
      </c>
      <c r="C3214" t="str">
        <f t="shared" si="377"/>
        <v>05354730631</v>
      </c>
      <c r="D3214" t="str">
        <f t="shared" si="377"/>
        <v>05354730631</v>
      </c>
      <c r="E3214" t="s">
        <v>52</v>
      </c>
      <c r="F3214">
        <v>2015</v>
      </c>
      <c r="G3214" t="str">
        <f>"                F925"</f>
        <v xml:space="preserve">                F925</v>
      </c>
      <c r="H3214" s="3">
        <v>42108</v>
      </c>
      <c r="I3214" s="3">
        <v>42185</v>
      </c>
      <c r="J3214" s="3">
        <v>42110</v>
      </c>
      <c r="K3214" s="3">
        <v>42170</v>
      </c>
      <c r="L3214"/>
      <c r="N3214"/>
      <c r="O3214">
        <v>75</v>
      </c>
      <c r="P3214">
        <v>233</v>
      </c>
      <c r="Q3214" s="4">
        <v>17475</v>
      </c>
      <c r="R3214">
        <v>0</v>
      </c>
      <c r="V3214">
        <v>0</v>
      </c>
      <c r="W3214">
        <v>0</v>
      </c>
      <c r="X3214">
        <v>0</v>
      </c>
      <c r="Y3214">
        <v>0</v>
      </c>
      <c r="Z3214">
        <v>0</v>
      </c>
      <c r="AA3214">
        <v>0</v>
      </c>
      <c r="AB3214" s="3">
        <v>42562</v>
      </c>
      <c r="AC3214" t="s">
        <v>53</v>
      </c>
      <c r="AD3214" t="s">
        <v>53</v>
      </c>
      <c r="AK3214">
        <v>0</v>
      </c>
      <c r="AU3214" s="3">
        <v>42403</v>
      </c>
      <c r="AV3214" s="3">
        <v>42403</v>
      </c>
      <c r="AW3214" t="s">
        <v>54</v>
      </c>
      <c r="AX3214" t="str">
        <f t="shared" si="376"/>
        <v>FOR</v>
      </c>
      <c r="AY3214" t="s">
        <v>55</v>
      </c>
    </row>
    <row r="3215" spans="1:51" hidden="1">
      <c r="A3215">
        <v>104492</v>
      </c>
      <c r="B3215" t="s">
        <v>398</v>
      </c>
      <c r="C3215" t="str">
        <f t="shared" si="377"/>
        <v>05354730631</v>
      </c>
      <c r="D3215" t="str">
        <f t="shared" si="377"/>
        <v>05354730631</v>
      </c>
      <c r="E3215" t="s">
        <v>52</v>
      </c>
      <c r="F3215">
        <v>2015</v>
      </c>
      <c r="G3215" t="str">
        <f>"               F1113"</f>
        <v xml:space="preserve">               F1113</v>
      </c>
      <c r="H3215" s="3">
        <v>42124</v>
      </c>
      <c r="I3215" s="3">
        <v>42132</v>
      </c>
      <c r="J3215" s="3">
        <v>42131</v>
      </c>
      <c r="K3215" s="3">
        <v>42191</v>
      </c>
      <c r="L3215"/>
      <c r="N3215"/>
      <c r="O3215" s="4">
        <v>4650</v>
      </c>
      <c r="P3215">
        <v>225</v>
      </c>
      <c r="Q3215" s="4">
        <v>1046250</v>
      </c>
      <c r="R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 s="3">
        <v>42562</v>
      </c>
      <c r="AC3215" t="s">
        <v>53</v>
      </c>
      <c r="AD3215" t="s">
        <v>53</v>
      </c>
      <c r="AK3215">
        <v>0</v>
      </c>
      <c r="AU3215" s="3">
        <v>42416</v>
      </c>
      <c r="AV3215" s="3">
        <v>42416</v>
      </c>
      <c r="AW3215" t="s">
        <v>54</v>
      </c>
      <c r="AX3215" t="str">
        <f t="shared" si="376"/>
        <v>FOR</v>
      </c>
      <c r="AY3215" t="s">
        <v>55</v>
      </c>
    </row>
    <row r="3216" spans="1:51" hidden="1">
      <c r="A3216">
        <v>104492</v>
      </c>
      <c r="B3216" t="s">
        <v>398</v>
      </c>
      <c r="C3216" t="str">
        <f t="shared" si="377"/>
        <v>05354730631</v>
      </c>
      <c r="D3216" t="str">
        <f t="shared" si="377"/>
        <v>05354730631</v>
      </c>
      <c r="E3216" t="s">
        <v>52</v>
      </c>
      <c r="F3216">
        <v>2015</v>
      </c>
      <c r="G3216" t="str">
        <f>"               F1136"</f>
        <v xml:space="preserve">               F1136</v>
      </c>
      <c r="H3216" s="3">
        <v>42124</v>
      </c>
      <c r="I3216" s="3">
        <v>42131</v>
      </c>
      <c r="J3216" s="3">
        <v>42130</v>
      </c>
      <c r="K3216" s="3">
        <v>42190</v>
      </c>
      <c r="L3216"/>
      <c r="N3216"/>
      <c r="O3216">
        <v>100</v>
      </c>
      <c r="P3216">
        <v>213</v>
      </c>
      <c r="Q3216" s="4">
        <v>21300</v>
      </c>
      <c r="R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 s="3">
        <v>42562</v>
      </c>
      <c r="AC3216" t="s">
        <v>53</v>
      </c>
      <c r="AD3216" t="s">
        <v>53</v>
      </c>
      <c r="AK3216">
        <v>0</v>
      </c>
      <c r="AU3216" s="3">
        <v>42403</v>
      </c>
      <c r="AV3216" s="3">
        <v>42403</v>
      </c>
      <c r="AW3216" t="s">
        <v>54</v>
      </c>
      <c r="AX3216" t="str">
        <f t="shared" si="376"/>
        <v>FOR</v>
      </c>
      <c r="AY3216" t="s">
        <v>55</v>
      </c>
    </row>
    <row r="3217" spans="1:51" hidden="1">
      <c r="A3217">
        <v>104492</v>
      </c>
      <c r="B3217" t="s">
        <v>398</v>
      </c>
      <c r="C3217" t="str">
        <f t="shared" si="377"/>
        <v>05354730631</v>
      </c>
      <c r="D3217" t="str">
        <f t="shared" si="377"/>
        <v>05354730631</v>
      </c>
      <c r="E3217" t="s">
        <v>52</v>
      </c>
      <c r="F3217">
        <v>2015</v>
      </c>
      <c r="G3217" t="str">
        <f>"               F1137"</f>
        <v xml:space="preserve">               F1137</v>
      </c>
      <c r="H3217" s="3">
        <v>42124</v>
      </c>
      <c r="I3217" s="3">
        <v>42131</v>
      </c>
      <c r="J3217" s="3">
        <v>42130</v>
      </c>
      <c r="K3217" s="3">
        <v>42190</v>
      </c>
      <c r="L3217"/>
      <c r="N3217"/>
      <c r="O3217">
        <v>130</v>
      </c>
      <c r="P3217">
        <v>213</v>
      </c>
      <c r="Q3217" s="4">
        <v>27690</v>
      </c>
      <c r="R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 s="3">
        <v>42562</v>
      </c>
      <c r="AC3217" t="s">
        <v>53</v>
      </c>
      <c r="AD3217" t="s">
        <v>53</v>
      </c>
      <c r="AK3217">
        <v>0</v>
      </c>
      <c r="AU3217" s="3">
        <v>42403</v>
      </c>
      <c r="AV3217" s="3">
        <v>42403</v>
      </c>
      <c r="AW3217" t="s">
        <v>54</v>
      </c>
      <c r="AX3217" t="str">
        <f t="shared" si="376"/>
        <v>FOR</v>
      </c>
      <c r="AY3217" t="s">
        <v>55</v>
      </c>
    </row>
    <row r="3218" spans="1:51" hidden="1">
      <c r="A3218">
        <v>104492</v>
      </c>
      <c r="B3218" t="s">
        <v>398</v>
      </c>
      <c r="C3218" t="str">
        <f t="shared" si="377"/>
        <v>05354730631</v>
      </c>
      <c r="D3218" t="str">
        <f t="shared" si="377"/>
        <v>05354730631</v>
      </c>
      <c r="E3218" t="s">
        <v>52</v>
      </c>
      <c r="F3218">
        <v>2015</v>
      </c>
      <c r="G3218" t="str">
        <f>"               F1138"</f>
        <v xml:space="preserve">               F1138</v>
      </c>
      <c r="H3218" s="3">
        <v>42124</v>
      </c>
      <c r="I3218" s="3">
        <v>42131</v>
      </c>
      <c r="J3218" s="3">
        <v>42130</v>
      </c>
      <c r="K3218" s="3">
        <v>42190</v>
      </c>
      <c r="L3218"/>
      <c r="N3218"/>
      <c r="O3218">
        <v>130</v>
      </c>
      <c r="P3218">
        <v>213</v>
      </c>
      <c r="Q3218" s="4">
        <v>27690</v>
      </c>
      <c r="R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 s="3">
        <v>42562</v>
      </c>
      <c r="AC3218" t="s">
        <v>53</v>
      </c>
      <c r="AD3218" t="s">
        <v>53</v>
      </c>
      <c r="AK3218">
        <v>0</v>
      </c>
      <c r="AU3218" s="3">
        <v>42403</v>
      </c>
      <c r="AV3218" s="3">
        <v>42403</v>
      </c>
      <c r="AW3218" t="s">
        <v>54</v>
      </c>
      <c r="AX3218" t="str">
        <f t="shared" si="376"/>
        <v>FOR</v>
      </c>
      <c r="AY3218" t="s">
        <v>55</v>
      </c>
    </row>
    <row r="3219" spans="1:51" hidden="1">
      <c r="A3219">
        <v>104492</v>
      </c>
      <c r="B3219" t="s">
        <v>398</v>
      </c>
      <c r="C3219" t="str">
        <f t="shared" si="377"/>
        <v>05354730631</v>
      </c>
      <c r="D3219" t="str">
        <f t="shared" si="377"/>
        <v>05354730631</v>
      </c>
      <c r="E3219" t="s">
        <v>52</v>
      </c>
      <c r="F3219">
        <v>2015</v>
      </c>
      <c r="G3219" t="str">
        <f>"               F1139"</f>
        <v xml:space="preserve">               F1139</v>
      </c>
      <c r="H3219" s="3">
        <v>42124</v>
      </c>
      <c r="I3219" s="3">
        <v>42131</v>
      </c>
      <c r="J3219" s="3">
        <v>42130</v>
      </c>
      <c r="K3219" s="3">
        <v>42190</v>
      </c>
      <c r="L3219"/>
      <c r="N3219"/>
      <c r="O3219">
        <v>130</v>
      </c>
      <c r="P3219">
        <v>213</v>
      </c>
      <c r="Q3219" s="4">
        <v>27690</v>
      </c>
      <c r="R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 s="3">
        <v>42562</v>
      </c>
      <c r="AC3219" t="s">
        <v>53</v>
      </c>
      <c r="AD3219" t="s">
        <v>53</v>
      </c>
      <c r="AK3219">
        <v>0</v>
      </c>
      <c r="AU3219" s="3">
        <v>42403</v>
      </c>
      <c r="AV3219" s="3">
        <v>42403</v>
      </c>
      <c r="AW3219" t="s">
        <v>54</v>
      </c>
      <c r="AX3219" t="str">
        <f t="shared" si="376"/>
        <v>FOR</v>
      </c>
      <c r="AY3219" t="s">
        <v>55</v>
      </c>
    </row>
    <row r="3220" spans="1:51" hidden="1">
      <c r="A3220">
        <v>104492</v>
      </c>
      <c r="B3220" t="s">
        <v>398</v>
      </c>
      <c r="C3220" t="str">
        <f t="shared" si="377"/>
        <v>05354730631</v>
      </c>
      <c r="D3220" t="str">
        <f t="shared" si="377"/>
        <v>05354730631</v>
      </c>
      <c r="E3220" t="s">
        <v>52</v>
      </c>
      <c r="F3220">
        <v>2015</v>
      </c>
      <c r="G3220" t="str">
        <f>"               F1323"</f>
        <v xml:space="preserve">               F1323</v>
      </c>
      <c r="H3220" s="3">
        <v>42146</v>
      </c>
      <c r="I3220" s="3">
        <v>42163</v>
      </c>
      <c r="J3220" s="3">
        <v>42149</v>
      </c>
      <c r="K3220" s="3">
        <v>42209</v>
      </c>
      <c r="L3220"/>
      <c r="N3220"/>
      <c r="O3220">
        <v>100</v>
      </c>
      <c r="P3220">
        <v>194</v>
      </c>
      <c r="Q3220" s="4">
        <v>19400</v>
      </c>
      <c r="R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 s="3">
        <v>42562</v>
      </c>
      <c r="AC3220" t="s">
        <v>53</v>
      </c>
      <c r="AD3220" t="s">
        <v>53</v>
      </c>
      <c r="AK3220">
        <v>0</v>
      </c>
      <c r="AU3220" s="3">
        <v>42403</v>
      </c>
      <c r="AV3220" s="3">
        <v>42403</v>
      </c>
      <c r="AW3220" t="s">
        <v>54</v>
      </c>
      <c r="AX3220" t="str">
        <f t="shared" si="376"/>
        <v>FOR</v>
      </c>
      <c r="AY3220" t="s">
        <v>55</v>
      </c>
    </row>
    <row r="3221" spans="1:51" hidden="1">
      <c r="A3221">
        <v>104492</v>
      </c>
      <c r="B3221" t="s">
        <v>398</v>
      </c>
      <c r="C3221" t="str">
        <f t="shared" si="377"/>
        <v>05354730631</v>
      </c>
      <c r="D3221" t="str">
        <f t="shared" si="377"/>
        <v>05354730631</v>
      </c>
      <c r="E3221" t="s">
        <v>52</v>
      </c>
      <c r="F3221">
        <v>2015</v>
      </c>
      <c r="G3221" t="str">
        <f>"               F1324"</f>
        <v xml:space="preserve">               F1324</v>
      </c>
      <c r="H3221" s="3">
        <v>42146</v>
      </c>
      <c r="I3221" s="3">
        <v>42163</v>
      </c>
      <c r="J3221" s="3">
        <v>42149</v>
      </c>
      <c r="K3221" s="3">
        <v>42209</v>
      </c>
      <c r="L3221"/>
      <c r="N3221"/>
      <c r="O3221">
        <v>100</v>
      </c>
      <c r="P3221">
        <v>194</v>
      </c>
      <c r="Q3221" s="4">
        <v>19400</v>
      </c>
      <c r="R3221">
        <v>0</v>
      </c>
      <c r="V3221">
        <v>0</v>
      </c>
      <c r="W3221">
        <v>0</v>
      </c>
      <c r="X3221">
        <v>0</v>
      </c>
      <c r="Y3221">
        <v>0</v>
      </c>
      <c r="Z3221">
        <v>0</v>
      </c>
      <c r="AA3221">
        <v>0</v>
      </c>
      <c r="AB3221" s="3">
        <v>42562</v>
      </c>
      <c r="AC3221" t="s">
        <v>53</v>
      </c>
      <c r="AD3221" t="s">
        <v>53</v>
      </c>
      <c r="AK3221">
        <v>0</v>
      </c>
      <c r="AU3221" s="3">
        <v>42403</v>
      </c>
      <c r="AV3221" s="3">
        <v>42403</v>
      </c>
      <c r="AW3221" t="s">
        <v>54</v>
      </c>
      <c r="AX3221" t="str">
        <f t="shared" si="376"/>
        <v>FOR</v>
      </c>
      <c r="AY3221" t="s">
        <v>55</v>
      </c>
    </row>
    <row r="3222" spans="1:51" hidden="1">
      <c r="A3222">
        <v>104492</v>
      </c>
      <c r="B3222" t="s">
        <v>398</v>
      </c>
      <c r="C3222" t="str">
        <f t="shared" si="377"/>
        <v>05354730631</v>
      </c>
      <c r="D3222" t="str">
        <f t="shared" si="377"/>
        <v>05354730631</v>
      </c>
      <c r="E3222" t="s">
        <v>52</v>
      </c>
      <c r="F3222">
        <v>2015</v>
      </c>
      <c r="G3222" t="str">
        <f>"               F1352"</f>
        <v xml:space="preserve">               F1352</v>
      </c>
      <c r="H3222" s="3">
        <v>42146</v>
      </c>
      <c r="I3222" s="3">
        <v>42163</v>
      </c>
      <c r="J3222" s="3">
        <v>42149</v>
      </c>
      <c r="K3222" s="3">
        <v>42209</v>
      </c>
      <c r="L3222"/>
      <c r="N3222"/>
      <c r="O3222" s="4">
        <v>1775</v>
      </c>
      <c r="P3222">
        <v>194</v>
      </c>
      <c r="Q3222" s="4">
        <v>344350</v>
      </c>
      <c r="R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 s="3">
        <v>42562</v>
      </c>
      <c r="AC3222" t="s">
        <v>53</v>
      </c>
      <c r="AD3222" t="s">
        <v>53</v>
      </c>
      <c r="AK3222">
        <v>0</v>
      </c>
      <c r="AU3222" s="3">
        <v>42403</v>
      </c>
      <c r="AV3222" s="3">
        <v>42403</v>
      </c>
      <c r="AW3222" t="s">
        <v>54</v>
      </c>
      <c r="AX3222" t="str">
        <f t="shared" si="376"/>
        <v>FOR</v>
      </c>
      <c r="AY3222" t="s">
        <v>55</v>
      </c>
    </row>
    <row r="3223" spans="1:51" hidden="1">
      <c r="A3223">
        <v>104492</v>
      </c>
      <c r="B3223" t="s">
        <v>398</v>
      </c>
      <c r="C3223" t="str">
        <f t="shared" si="377"/>
        <v>05354730631</v>
      </c>
      <c r="D3223" t="str">
        <f t="shared" si="377"/>
        <v>05354730631</v>
      </c>
      <c r="E3223" t="s">
        <v>52</v>
      </c>
      <c r="F3223">
        <v>2015</v>
      </c>
      <c r="G3223" t="str">
        <f>"               F1463"</f>
        <v xml:space="preserve">               F1463</v>
      </c>
      <c r="H3223" s="3">
        <v>42155</v>
      </c>
      <c r="I3223" s="3">
        <v>42163</v>
      </c>
      <c r="J3223" s="3">
        <v>42160</v>
      </c>
      <c r="K3223" s="3">
        <v>42220</v>
      </c>
      <c r="L3223"/>
      <c r="N3223"/>
      <c r="O3223">
        <v>100</v>
      </c>
      <c r="P3223">
        <v>183</v>
      </c>
      <c r="Q3223" s="4">
        <v>18300</v>
      </c>
      <c r="R3223">
        <v>0</v>
      </c>
      <c r="V3223">
        <v>0</v>
      </c>
      <c r="W3223">
        <v>0</v>
      </c>
      <c r="X3223">
        <v>0</v>
      </c>
      <c r="Y3223">
        <v>0</v>
      </c>
      <c r="Z3223">
        <v>0</v>
      </c>
      <c r="AA3223">
        <v>0</v>
      </c>
      <c r="AB3223" s="3">
        <v>42562</v>
      </c>
      <c r="AC3223" t="s">
        <v>53</v>
      </c>
      <c r="AD3223" t="s">
        <v>53</v>
      </c>
      <c r="AK3223">
        <v>0</v>
      </c>
      <c r="AU3223" s="3">
        <v>42403</v>
      </c>
      <c r="AV3223" s="3">
        <v>42403</v>
      </c>
      <c r="AW3223" t="s">
        <v>54</v>
      </c>
      <c r="AX3223" t="str">
        <f t="shared" si="376"/>
        <v>FOR</v>
      </c>
      <c r="AY3223" t="s">
        <v>55</v>
      </c>
    </row>
    <row r="3224" spans="1:51" hidden="1">
      <c r="A3224">
        <v>104492</v>
      </c>
      <c r="B3224" t="s">
        <v>398</v>
      </c>
      <c r="C3224" t="str">
        <f t="shared" si="377"/>
        <v>05354730631</v>
      </c>
      <c r="D3224" t="str">
        <f t="shared" si="377"/>
        <v>05354730631</v>
      </c>
      <c r="E3224" t="s">
        <v>52</v>
      </c>
      <c r="F3224">
        <v>2015</v>
      </c>
      <c r="G3224" t="str">
        <f>"               F1464"</f>
        <v xml:space="preserve">               F1464</v>
      </c>
      <c r="H3224" s="3">
        <v>42155</v>
      </c>
      <c r="I3224" s="3">
        <v>42163</v>
      </c>
      <c r="J3224" s="3">
        <v>42160</v>
      </c>
      <c r="K3224" s="3">
        <v>42220</v>
      </c>
      <c r="L3224"/>
      <c r="N3224"/>
      <c r="O3224">
        <v>100</v>
      </c>
      <c r="P3224">
        <v>183</v>
      </c>
      <c r="Q3224" s="4">
        <v>18300</v>
      </c>
      <c r="R3224">
        <v>0</v>
      </c>
      <c r="V3224">
        <v>0</v>
      </c>
      <c r="W3224">
        <v>0</v>
      </c>
      <c r="X3224">
        <v>0</v>
      </c>
      <c r="Y3224">
        <v>0</v>
      </c>
      <c r="Z3224">
        <v>0</v>
      </c>
      <c r="AA3224">
        <v>0</v>
      </c>
      <c r="AB3224" s="3">
        <v>42562</v>
      </c>
      <c r="AC3224" t="s">
        <v>53</v>
      </c>
      <c r="AD3224" t="s">
        <v>53</v>
      </c>
      <c r="AK3224">
        <v>0</v>
      </c>
      <c r="AU3224" s="3">
        <v>42403</v>
      </c>
      <c r="AV3224" s="3">
        <v>42403</v>
      </c>
      <c r="AW3224" t="s">
        <v>54</v>
      </c>
      <c r="AX3224" t="str">
        <f t="shared" si="376"/>
        <v>FOR</v>
      </c>
      <c r="AY3224" t="s">
        <v>55</v>
      </c>
    </row>
    <row r="3225" spans="1:51" hidden="1">
      <c r="A3225">
        <v>104492</v>
      </c>
      <c r="B3225" t="s">
        <v>398</v>
      </c>
      <c r="C3225" t="str">
        <f t="shared" si="377"/>
        <v>05354730631</v>
      </c>
      <c r="D3225" t="str">
        <f t="shared" si="377"/>
        <v>05354730631</v>
      </c>
      <c r="E3225" t="s">
        <v>52</v>
      </c>
      <c r="F3225">
        <v>2015</v>
      </c>
      <c r="G3225" t="str">
        <f>"               F1465"</f>
        <v xml:space="preserve">               F1465</v>
      </c>
      <c r="H3225" s="3">
        <v>42155</v>
      </c>
      <c r="I3225" s="3">
        <v>42163</v>
      </c>
      <c r="J3225" s="3">
        <v>42160</v>
      </c>
      <c r="K3225" s="3">
        <v>42220</v>
      </c>
      <c r="L3225"/>
      <c r="N3225"/>
      <c r="O3225">
        <v>100</v>
      </c>
      <c r="P3225">
        <v>183</v>
      </c>
      <c r="Q3225" s="4">
        <v>18300</v>
      </c>
      <c r="R3225">
        <v>0</v>
      </c>
      <c r="V3225">
        <v>0</v>
      </c>
      <c r="W3225">
        <v>0</v>
      </c>
      <c r="X3225">
        <v>0</v>
      </c>
      <c r="Y3225">
        <v>0</v>
      </c>
      <c r="Z3225">
        <v>0</v>
      </c>
      <c r="AA3225">
        <v>0</v>
      </c>
      <c r="AB3225" s="3">
        <v>42562</v>
      </c>
      <c r="AC3225" t="s">
        <v>53</v>
      </c>
      <c r="AD3225" t="s">
        <v>53</v>
      </c>
      <c r="AK3225">
        <v>0</v>
      </c>
      <c r="AU3225" s="3">
        <v>42403</v>
      </c>
      <c r="AV3225" s="3">
        <v>42403</v>
      </c>
      <c r="AW3225" t="s">
        <v>54</v>
      </c>
      <c r="AX3225" t="str">
        <f t="shared" si="376"/>
        <v>FOR</v>
      </c>
      <c r="AY3225" t="s">
        <v>55</v>
      </c>
    </row>
    <row r="3226" spans="1:51" hidden="1">
      <c r="A3226">
        <v>104492</v>
      </c>
      <c r="B3226" t="s">
        <v>398</v>
      </c>
      <c r="C3226" t="str">
        <f t="shared" si="377"/>
        <v>05354730631</v>
      </c>
      <c r="D3226" t="str">
        <f t="shared" si="377"/>
        <v>05354730631</v>
      </c>
      <c r="E3226" t="s">
        <v>52</v>
      </c>
      <c r="F3226">
        <v>2015</v>
      </c>
      <c r="G3226" t="str">
        <f>"               F1466"</f>
        <v xml:space="preserve">               F1466</v>
      </c>
      <c r="H3226" s="3">
        <v>42155</v>
      </c>
      <c r="I3226" s="3">
        <v>42163</v>
      </c>
      <c r="J3226" s="3">
        <v>42160</v>
      </c>
      <c r="K3226" s="3">
        <v>42220</v>
      </c>
      <c r="L3226"/>
      <c r="N3226"/>
      <c r="O3226">
        <v>100</v>
      </c>
      <c r="P3226">
        <v>183</v>
      </c>
      <c r="Q3226" s="4">
        <v>18300</v>
      </c>
      <c r="R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 s="3">
        <v>42562</v>
      </c>
      <c r="AC3226" t="s">
        <v>53</v>
      </c>
      <c r="AD3226" t="s">
        <v>53</v>
      </c>
      <c r="AK3226">
        <v>0</v>
      </c>
      <c r="AU3226" s="3">
        <v>42403</v>
      </c>
      <c r="AV3226" s="3">
        <v>42403</v>
      </c>
      <c r="AW3226" t="s">
        <v>54</v>
      </c>
      <c r="AX3226" t="str">
        <f t="shared" si="376"/>
        <v>FOR</v>
      </c>
      <c r="AY3226" t="s">
        <v>55</v>
      </c>
    </row>
    <row r="3227" spans="1:51" hidden="1">
      <c r="A3227">
        <v>104492</v>
      </c>
      <c r="B3227" t="s">
        <v>398</v>
      </c>
      <c r="C3227" t="str">
        <f t="shared" si="377"/>
        <v>05354730631</v>
      </c>
      <c r="D3227" t="str">
        <f t="shared" si="377"/>
        <v>05354730631</v>
      </c>
      <c r="E3227" t="s">
        <v>52</v>
      </c>
      <c r="F3227">
        <v>2015</v>
      </c>
      <c r="G3227" t="str">
        <f>"               F1467"</f>
        <v xml:space="preserve">               F1467</v>
      </c>
      <c r="H3227" s="3">
        <v>42155</v>
      </c>
      <c r="I3227" s="3">
        <v>42163</v>
      </c>
      <c r="J3227" s="3">
        <v>42160</v>
      </c>
      <c r="K3227" s="3">
        <v>42220</v>
      </c>
      <c r="L3227"/>
      <c r="N3227"/>
      <c r="O3227">
        <v>130</v>
      </c>
      <c r="P3227">
        <v>183</v>
      </c>
      <c r="Q3227" s="4">
        <v>23790</v>
      </c>
      <c r="R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>
        <v>0</v>
      </c>
      <c r="AB3227" s="3">
        <v>42562</v>
      </c>
      <c r="AC3227" t="s">
        <v>53</v>
      </c>
      <c r="AD3227" t="s">
        <v>53</v>
      </c>
      <c r="AK3227">
        <v>0</v>
      </c>
      <c r="AU3227" s="3">
        <v>42403</v>
      </c>
      <c r="AV3227" s="3">
        <v>42403</v>
      </c>
      <c r="AW3227" t="s">
        <v>54</v>
      </c>
      <c r="AX3227" t="str">
        <f t="shared" si="376"/>
        <v>FOR</v>
      </c>
      <c r="AY3227" t="s">
        <v>55</v>
      </c>
    </row>
    <row r="3228" spans="1:51" hidden="1">
      <c r="A3228">
        <v>104492</v>
      </c>
      <c r="B3228" t="s">
        <v>398</v>
      </c>
      <c r="C3228" t="str">
        <f t="shared" si="377"/>
        <v>05354730631</v>
      </c>
      <c r="D3228" t="str">
        <f t="shared" si="377"/>
        <v>05354730631</v>
      </c>
      <c r="E3228" t="s">
        <v>52</v>
      </c>
      <c r="F3228">
        <v>2015</v>
      </c>
      <c r="G3228" t="str">
        <f>"               F1468"</f>
        <v xml:space="preserve">               F1468</v>
      </c>
      <c r="H3228" s="3">
        <v>42155</v>
      </c>
      <c r="I3228" s="3">
        <v>42163</v>
      </c>
      <c r="J3228" s="3">
        <v>42160</v>
      </c>
      <c r="K3228" s="3">
        <v>42220</v>
      </c>
      <c r="L3228"/>
      <c r="N3228"/>
      <c r="O3228">
        <v>130</v>
      </c>
      <c r="P3228">
        <v>183</v>
      </c>
      <c r="Q3228" s="4">
        <v>23790</v>
      </c>
      <c r="R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 s="3">
        <v>42562</v>
      </c>
      <c r="AC3228" t="s">
        <v>53</v>
      </c>
      <c r="AD3228" t="s">
        <v>53</v>
      </c>
      <c r="AK3228">
        <v>0</v>
      </c>
      <c r="AU3228" s="3">
        <v>42403</v>
      </c>
      <c r="AV3228" s="3">
        <v>42403</v>
      </c>
      <c r="AW3228" t="s">
        <v>54</v>
      </c>
      <c r="AX3228" t="str">
        <f t="shared" si="376"/>
        <v>FOR</v>
      </c>
      <c r="AY3228" t="s">
        <v>55</v>
      </c>
    </row>
    <row r="3229" spans="1:51" hidden="1">
      <c r="A3229">
        <v>104492</v>
      </c>
      <c r="B3229" t="s">
        <v>398</v>
      </c>
      <c r="C3229" t="str">
        <f t="shared" si="377"/>
        <v>05354730631</v>
      </c>
      <c r="D3229" t="str">
        <f t="shared" si="377"/>
        <v>05354730631</v>
      </c>
      <c r="E3229" t="s">
        <v>52</v>
      </c>
      <c r="F3229">
        <v>2015</v>
      </c>
      <c r="G3229" t="str">
        <f>"               F1469"</f>
        <v xml:space="preserve">               F1469</v>
      </c>
      <c r="H3229" s="3">
        <v>42155</v>
      </c>
      <c r="I3229" s="3">
        <v>42163</v>
      </c>
      <c r="J3229" s="3">
        <v>42160</v>
      </c>
      <c r="K3229" s="3">
        <v>42220</v>
      </c>
      <c r="L3229"/>
      <c r="N3229"/>
      <c r="O3229">
        <v>100</v>
      </c>
      <c r="P3229">
        <v>183</v>
      </c>
      <c r="Q3229" s="4">
        <v>18300</v>
      </c>
      <c r="R3229">
        <v>0</v>
      </c>
      <c r="V3229">
        <v>0</v>
      </c>
      <c r="W3229">
        <v>0</v>
      </c>
      <c r="X3229">
        <v>0</v>
      </c>
      <c r="Y3229">
        <v>0</v>
      </c>
      <c r="Z3229">
        <v>0</v>
      </c>
      <c r="AA3229">
        <v>0</v>
      </c>
      <c r="AB3229" s="3">
        <v>42562</v>
      </c>
      <c r="AC3229" t="s">
        <v>53</v>
      </c>
      <c r="AD3229" t="s">
        <v>53</v>
      </c>
      <c r="AK3229">
        <v>0</v>
      </c>
      <c r="AU3229" s="3">
        <v>42403</v>
      </c>
      <c r="AV3229" s="3">
        <v>42403</v>
      </c>
      <c r="AW3229" t="s">
        <v>54</v>
      </c>
      <c r="AX3229" t="str">
        <f t="shared" ref="AX3229:AX3260" si="378">"FOR"</f>
        <v>FOR</v>
      </c>
      <c r="AY3229" t="s">
        <v>55</v>
      </c>
    </row>
    <row r="3230" spans="1:51" hidden="1">
      <c r="A3230">
        <v>104492</v>
      </c>
      <c r="B3230" t="s">
        <v>398</v>
      </c>
      <c r="C3230" t="str">
        <f t="shared" si="377"/>
        <v>05354730631</v>
      </c>
      <c r="D3230" t="str">
        <f t="shared" si="377"/>
        <v>05354730631</v>
      </c>
      <c r="E3230" t="s">
        <v>52</v>
      </c>
      <c r="F3230">
        <v>2015</v>
      </c>
      <c r="G3230" t="str">
        <f>"               F1470"</f>
        <v xml:space="preserve">               F1470</v>
      </c>
      <c r="H3230" s="3">
        <v>42155</v>
      </c>
      <c r="I3230" s="3">
        <v>42163</v>
      </c>
      <c r="J3230" s="3">
        <v>42160</v>
      </c>
      <c r="K3230" s="3">
        <v>42220</v>
      </c>
      <c r="L3230"/>
      <c r="N3230"/>
      <c r="O3230">
        <v>100</v>
      </c>
      <c r="P3230">
        <v>196</v>
      </c>
      <c r="Q3230" s="4">
        <v>19600</v>
      </c>
      <c r="R3230">
        <v>0</v>
      </c>
      <c r="V3230">
        <v>0</v>
      </c>
      <c r="W3230">
        <v>0</v>
      </c>
      <c r="X3230">
        <v>0</v>
      </c>
      <c r="Y3230">
        <v>0</v>
      </c>
      <c r="Z3230">
        <v>0</v>
      </c>
      <c r="AA3230">
        <v>0</v>
      </c>
      <c r="AB3230" s="3">
        <v>42562</v>
      </c>
      <c r="AC3230" t="s">
        <v>53</v>
      </c>
      <c r="AD3230" t="s">
        <v>53</v>
      </c>
      <c r="AK3230">
        <v>0</v>
      </c>
      <c r="AU3230" s="3">
        <v>42416</v>
      </c>
      <c r="AV3230" s="3">
        <v>42416</v>
      </c>
      <c r="AW3230" t="s">
        <v>54</v>
      </c>
      <c r="AX3230" t="str">
        <f t="shared" si="378"/>
        <v>FOR</v>
      </c>
      <c r="AY3230" t="s">
        <v>55</v>
      </c>
    </row>
    <row r="3231" spans="1:51" hidden="1">
      <c r="A3231">
        <v>104492</v>
      </c>
      <c r="B3231" t="s">
        <v>398</v>
      </c>
      <c r="C3231" t="str">
        <f t="shared" si="377"/>
        <v>05354730631</v>
      </c>
      <c r="D3231" t="str">
        <f t="shared" si="377"/>
        <v>05354730631</v>
      </c>
      <c r="E3231" t="s">
        <v>52</v>
      </c>
      <c r="F3231">
        <v>2015</v>
      </c>
      <c r="G3231" t="str">
        <f>"               F1471"</f>
        <v xml:space="preserve">               F1471</v>
      </c>
      <c r="H3231" s="3">
        <v>42155</v>
      </c>
      <c r="I3231" s="3">
        <v>42163</v>
      </c>
      <c r="J3231" s="3">
        <v>42160</v>
      </c>
      <c r="K3231" s="3">
        <v>42220</v>
      </c>
      <c r="L3231"/>
      <c r="N3231"/>
      <c r="O3231">
        <v>100</v>
      </c>
      <c r="P3231">
        <v>183</v>
      </c>
      <c r="Q3231" s="4">
        <v>18300</v>
      </c>
      <c r="R3231">
        <v>0</v>
      </c>
      <c r="V3231">
        <v>0</v>
      </c>
      <c r="W3231">
        <v>0</v>
      </c>
      <c r="X3231">
        <v>0</v>
      </c>
      <c r="Y3231">
        <v>0</v>
      </c>
      <c r="Z3231">
        <v>0</v>
      </c>
      <c r="AA3231">
        <v>0</v>
      </c>
      <c r="AB3231" s="3">
        <v>42562</v>
      </c>
      <c r="AC3231" t="s">
        <v>53</v>
      </c>
      <c r="AD3231" t="s">
        <v>53</v>
      </c>
      <c r="AK3231">
        <v>0</v>
      </c>
      <c r="AU3231" s="3">
        <v>42403</v>
      </c>
      <c r="AV3231" s="3">
        <v>42403</v>
      </c>
      <c r="AW3231" t="s">
        <v>54</v>
      </c>
      <c r="AX3231" t="str">
        <f t="shared" si="378"/>
        <v>FOR</v>
      </c>
      <c r="AY3231" t="s">
        <v>55</v>
      </c>
    </row>
    <row r="3232" spans="1:51" hidden="1">
      <c r="A3232">
        <v>104492</v>
      </c>
      <c r="B3232" t="s">
        <v>398</v>
      </c>
      <c r="C3232" t="str">
        <f t="shared" ref="C3232:D3251" si="379">"05354730631"</f>
        <v>05354730631</v>
      </c>
      <c r="D3232" t="str">
        <f t="shared" si="379"/>
        <v>05354730631</v>
      </c>
      <c r="E3232" t="s">
        <v>52</v>
      </c>
      <c r="F3232">
        <v>2015</v>
      </c>
      <c r="G3232" t="str">
        <f>"               F1472"</f>
        <v xml:space="preserve">               F1472</v>
      </c>
      <c r="H3232" s="3">
        <v>42155</v>
      </c>
      <c r="I3232" s="3">
        <v>42163</v>
      </c>
      <c r="J3232" s="3">
        <v>42161</v>
      </c>
      <c r="K3232" s="3">
        <v>42221</v>
      </c>
      <c r="L3232"/>
      <c r="N3232"/>
      <c r="O3232">
        <v>130</v>
      </c>
      <c r="P3232">
        <v>182</v>
      </c>
      <c r="Q3232" s="4">
        <v>23660</v>
      </c>
      <c r="R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 s="3">
        <v>42562</v>
      </c>
      <c r="AC3232" t="s">
        <v>53</v>
      </c>
      <c r="AD3232" t="s">
        <v>53</v>
      </c>
      <c r="AK3232">
        <v>0</v>
      </c>
      <c r="AU3232" s="3">
        <v>42403</v>
      </c>
      <c r="AV3232" s="3">
        <v>42403</v>
      </c>
      <c r="AW3232" t="s">
        <v>54</v>
      </c>
      <c r="AX3232" t="str">
        <f t="shared" si="378"/>
        <v>FOR</v>
      </c>
      <c r="AY3232" t="s">
        <v>55</v>
      </c>
    </row>
    <row r="3233" spans="1:51" hidden="1">
      <c r="A3233">
        <v>104492</v>
      </c>
      <c r="B3233" t="s">
        <v>398</v>
      </c>
      <c r="C3233" t="str">
        <f t="shared" si="379"/>
        <v>05354730631</v>
      </c>
      <c r="D3233" t="str">
        <f t="shared" si="379"/>
        <v>05354730631</v>
      </c>
      <c r="E3233" t="s">
        <v>52</v>
      </c>
      <c r="F3233">
        <v>2015</v>
      </c>
      <c r="G3233" t="str">
        <f>"               F1473"</f>
        <v xml:space="preserve">               F1473</v>
      </c>
      <c r="H3233" s="3">
        <v>42155</v>
      </c>
      <c r="I3233" s="3">
        <v>42163</v>
      </c>
      <c r="J3233" s="3">
        <v>42160</v>
      </c>
      <c r="K3233" s="3">
        <v>42220</v>
      </c>
      <c r="L3233"/>
      <c r="N3233"/>
      <c r="O3233">
        <v>130</v>
      </c>
      <c r="P3233">
        <v>183</v>
      </c>
      <c r="Q3233" s="4">
        <v>23790</v>
      </c>
      <c r="R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 s="3">
        <v>42562</v>
      </c>
      <c r="AC3233" t="s">
        <v>53</v>
      </c>
      <c r="AD3233" t="s">
        <v>53</v>
      </c>
      <c r="AK3233">
        <v>0</v>
      </c>
      <c r="AU3233" s="3">
        <v>42403</v>
      </c>
      <c r="AV3233" s="3">
        <v>42403</v>
      </c>
      <c r="AW3233" t="s">
        <v>54</v>
      </c>
      <c r="AX3233" t="str">
        <f t="shared" si="378"/>
        <v>FOR</v>
      </c>
      <c r="AY3233" t="s">
        <v>55</v>
      </c>
    </row>
    <row r="3234" spans="1:51" hidden="1">
      <c r="A3234">
        <v>104492</v>
      </c>
      <c r="B3234" t="s">
        <v>398</v>
      </c>
      <c r="C3234" t="str">
        <f t="shared" si="379"/>
        <v>05354730631</v>
      </c>
      <c r="D3234" t="str">
        <f t="shared" si="379"/>
        <v>05354730631</v>
      </c>
      <c r="E3234" t="s">
        <v>52</v>
      </c>
      <c r="F3234">
        <v>2015</v>
      </c>
      <c r="G3234" t="str">
        <f>"               F1474"</f>
        <v xml:space="preserve">               F1474</v>
      </c>
      <c r="H3234" s="3">
        <v>42155</v>
      </c>
      <c r="I3234" s="3">
        <v>42163</v>
      </c>
      <c r="J3234" s="3">
        <v>42160</v>
      </c>
      <c r="K3234" s="3">
        <v>42220</v>
      </c>
      <c r="L3234"/>
      <c r="N3234"/>
      <c r="O3234">
        <v>100</v>
      </c>
      <c r="P3234">
        <v>183</v>
      </c>
      <c r="Q3234" s="4">
        <v>18300</v>
      </c>
      <c r="R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 s="3">
        <v>42562</v>
      </c>
      <c r="AC3234" t="s">
        <v>53</v>
      </c>
      <c r="AD3234" t="s">
        <v>53</v>
      </c>
      <c r="AK3234">
        <v>0</v>
      </c>
      <c r="AU3234" s="3">
        <v>42403</v>
      </c>
      <c r="AV3234" s="3">
        <v>42403</v>
      </c>
      <c r="AW3234" t="s">
        <v>54</v>
      </c>
      <c r="AX3234" t="str">
        <f t="shared" si="378"/>
        <v>FOR</v>
      </c>
      <c r="AY3234" t="s">
        <v>55</v>
      </c>
    </row>
    <row r="3235" spans="1:51" hidden="1">
      <c r="A3235">
        <v>104492</v>
      </c>
      <c r="B3235" t="s">
        <v>398</v>
      </c>
      <c r="C3235" t="str">
        <f t="shared" si="379"/>
        <v>05354730631</v>
      </c>
      <c r="D3235" t="str">
        <f t="shared" si="379"/>
        <v>05354730631</v>
      </c>
      <c r="E3235" t="s">
        <v>52</v>
      </c>
      <c r="F3235">
        <v>2015</v>
      </c>
      <c r="G3235" t="str">
        <f>"               F1526"</f>
        <v xml:space="preserve">               F1526</v>
      </c>
      <c r="H3235" s="3">
        <v>42163</v>
      </c>
      <c r="I3235" s="3">
        <v>42165</v>
      </c>
      <c r="J3235" s="3">
        <v>42164</v>
      </c>
      <c r="K3235" s="3">
        <v>42224</v>
      </c>
      <c r="L3235"/>
      <c r="N3235"/>
      <c r="O3235" s="4">
        <v>1200</v>
      </c>
      <c r="P3235">
        <v>192</v>
      </c>
      <c r="Q3235" s="4">
        <v>230400</v>
      </c>
      <c r="R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 s="3">
        <v>42562</v>
      </c>
      <c r="AC3235" t="s">
        <v>53</v>
      </c>
      <c r="AD3235" t="s">
        <v>53</v>
      </c>
      <c r="AK3235">
        <v>0</v>
      </c>
      <c r="AU3235" s="3">
        <v>42416</v>
      </c>
      <c r="AV3235" s="3">
        <v>42416</v>
      </c>
      <c r="AW3235" t="s">
        <v>54</v>
      </c>
      <c r="AX3235" t="str">
        <f t="shared" si="378"/>
        <v>FOR</v>
      </c>
      <c r="AY3235" t="s">
        <v>55</v>
      </c>
    </row>
    <row r="3236" spans="1:51" hidden="1">
      <c r="A3236">
        <v>104492</v>
      </c>
      <c r="B3236" t="s">
        <v>398</v>
      </c>
      <c r="C3236" t="str">
        <f t="shared" si="379"/>
        <v>05354730631</v>
      </c>
      <c r="D3236" t="str">
        <f t="shared" si="379"/>
        <v>05354730631</v>
      </c>
      <c r="E3236" t="s">
        <v>52</v>
      </c>
      <c r="F3236">
        <v>2015</v>
      </c>
      <c r="G3236" t="str">
        <f>"               F1531"</f>
        <v xml:space="preserve">               F1531</v>
      </c>
      <c r="H3236" s="3">
        <v>42164</v>
      </c>
      <c r="I3236" s="3">
        <v>42165</v>
      </c>
      <c r="J3236" s="3">
        <v>42164</v>
      </c>
      <c r="K3236" s="3">
        <v>42224</v>
      </c>
      <c r="L3236"/>
      <c r="N3236"/>
      <c r="O3236">
        <v>100</v>
      </c>
      <c r="P3236">
        <v>192</v>
      </c>
      <c r="Q3236" s="4">
        <v>19200</v>
      </c>
      <c r="R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 s="3">
        <v>42562</v>
      </c>
      <c r="AC3236" t="s">
        <v>53</v>
      </c>
      <c r="AD3236" t="s">
        <v>53</v>
      </c>
      <c r="AK3236">
        <v>0</v>
      </c>
      <c r="AU3236" s="3">
        <v>42416</v>
      </c>
      <c r="AV3236" s="3">
        <v>42416</v>
      </c>
      <c r="AW3236" t="s">
        <v>54</v>
      </c>
      <c r="AX3236" t="str">
        <f t="shared" si="378"/>
        <v>FOR</v>
      </c>
      <c r="AY3236" t="s">
        <v>55</v>
      </c>
    </row>
    <row r="3237" spans="1:51" hidden="1">
      <c r="A3237">
        <v>104492</v>
      </c>
      <c r="B3237" t="s">
        <v>398</v>
      </c>
      <c r="C3237" t="str">
        <f t="shared" si="379"/>
        <v>05354730631</v>
      </c>
      <c r="D3237" t="str">
        <f t="shared" si="379"/>
        <v>05354730631</v>
      </c>
      <c r="E3237" t="s">
        <v>52</v>
      </c>
      <c r="F3237">
        <v>2015</v>
      </c>
      <c r="G3237" t="str">
        <f>"               F1532"</f>
        <v xml:space="preserve">               F1532</v>
      </c>
      <c r="H3237" s="3">
        <v>42164</v>
      </c>
      <c r="I3237" s="3">
        <v>42167</v>
      </c>
      <c r="J3237" s="3">
        <v>42165</v>
      </c>
      <c r="K3237" s="3">
        <v>42225</v>
      </c>
      <c r="L3237"/>
      <c r="N3237"/>
      <c r="O3237">
        <v>130</v>
      </c>
      <c r="P3237">
        <v>191</v>
      </c>
      <c r="Q3237" s="4">
        <v>24830</v>
      </c>
      <c r="R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 s="3">
        <v>42562</v>
      </c>
      <c r="AC3237" t="s">
        <v>53</v>
      </c>
      <c r="AD3237" t="s">
        <v>53</v>
      </c>
      <c r="AK3237">
        <v>0</v>
      </c>
      <c r="AU3237" s="3">
        <v>42416</v>
      </c>
      <c r="AV3237" s="3">
        <v>42416</v>
      </c>
      <c r="AW3237" t="s">
        <v>54</v>
      </c>
      <c r="AX3237" t="str">
        <f t="shared" si="378"/>
        <v>FOR</v>
      </c>
      <c r="AY3237" t="s">
        <v>55</v>
      </c>
    </row>
    <row r="3238" spans="1:51" hidden="1">
      <c r="A3238">
        <v>104492</v>
      </c>
      <c r="B3238" t="s">
        <v>398</v>
      </c>
      <c r="C3238" t="str">
        <f t="shared" si="379"/>
        <v>05354730631</v>
      </c>
      <c r="D3238" t="str">
        <f t="shared" si="379"/>
        <v>05354730631</v>
      </c>
      <c r="E3238" t="s">
        <v>52</v>
      </c>
      <c r="F3238">
        <v>2015</v>
      </c>
      <c r="G3238" t="str">
        <f>"               F1533"</f>
        <v xml:space="preserve">               F1533</v>
      </c>
      <c r="H3238" s="3">
        <v>42164</v>
      </c>
      <c r="I3238" s="3">
        <v>42165</v>
      </c>
      <c r="J3238" s="3">
        <v>42164</v>
      </c>
      <c r="K3238" s="3">
        <v>42224</v>
      </c>
      <c r="L3238"/>
      <c r="N3238"/>
      <c r="O3238">
        <v>130</v>
      </c>
      <c r="P3238">
        <v>192</v>
      </c>
      <c r="Q3238" s="4">
        <v>24960</v>
      </c>
      <c r="R3238">
        <v>0</v>
      </c>
      <c r="V3238">
        <v>0</v>
      </c>
      <c r="W3238">
        <v>0</v>
      </c>
      <c r="X3238">
        <v>0</v>
      </c>
      <c r="Y3238">
        <v>0</v>
      </c>
      <c r="Z3238">
        <v>0</v>
      </c>
      <c r="AA3238">
        <v>0</v>
      </c>
      <c r="AB3238" s="3">
        <v>42562</v>
      </c>
      <c r="AC3238" t="s">
        <v>53</v>
      </c>
      <c r="AD3238" t="s">
        <v>53</v>
      </c>
      <c r="AK3238">
        <v>0</v>
      </c>
      <c r="AU3238" s="3">
        <v>42416</v>
      </c>
      <c r="AV3238" s="3">
        <v>42416</v>
      </c>
      <c r="AW3238" t="s">
        <v>54</v>
      </c>
      <c r="AX3238" t="str">
        <f t="shared" si="378"/>
        <v>FOR</v>
      </c>
      <c r="AY3238" t="s">
        <v>55</v>
      </c>
    </row>
    <row r="3239" spans="1:51" hidden="1">
      <c r="A3239">
        <v>104492</v>
      </c>
      <c r="B3239" t="s">
        <v>398</v>
      </c>
      <c r="C3239" t="str">
        <f t="shared" si="379"/>
        <v>05354730631</v>
      </c>
      <c r="D3239" t="str">
        <f t="shared" si="379"/>
        <v>05354730631</v>
      </c>
      <c r="E3239" t="s">
        <v>52</v>
      </c>
      <c r="F3239">
        <v>2015</v>
      </c>
      <c r="G3239" t="str">
        <f>"               F1534"</f>
        <v xml:space="preserve">               F1534</v>
      </c>
      <c r="H3239" s="3">
        <v>42164</v>
      </c>
      <c r="I3239" s="3">
        <v>42167</v>
      </c>
      <c r="J3239" s="3">
        <v>42165</v>
      </c>
      <c r="K3239" s="3">
        <v>42225</v>
      </c>
      <c r="L3239"/>
      <c r="N3239"/>
      <c r="O3239">
        <v>130</v>
      </c>
      <c r="P3239">
        <v>191</v>
      </c>
      <c r="Q3239" s="4">
        <v>24830</v>
      </c>
      <c r="R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 s="3">
        <v>42562</v>
      </c>
      <c r="AC3239" t="s">
        <v>53</v>
      </c>
      <c r="AD3239" t="s">
        <v>53</v>
      </c>
      <c r="AK3239">
        <v>0</v>
      </c>
      <c r="AU3239" s="3">
        <v>42416</v>
      </c>
      <c r="AV3239" s="3">
        <v>42416</v>
      </c>
      <c r="AW3239" t="s">
        <v>54</v>
      </c>
      <c r="AX3239" t="str">
        <f t="shared" si="378"/>
        <v>FOR</v>
      </c>
      <c r="AY3239" t="s">
        <v>55</v>
      </c>
    </row>
    <row r="3240" spans="1:51" hidden="1">
      <c r="A3240">
        <v>104492</v>
      </c>
      <c r="B3240" t="s">
        <v>398</v>
      </c>
      <c r="C3240" t="str">
        <f t="shared" si="379"/>
        <v>05354730631</v>
      </c>
      <c r="D3240" t="str">
        <f t="shared" si="379"/>
        <v>05354730631</v>
      </c>
      <c r="E3240" t="s">
        <v>52</v>
      </c>
      <c r="F3240">
        <v>2015</v>
      </c>
      <c r="G3240" t="str">
        <f>"               F1535"</f>
        <v xml:space="preserve">               F1535</v>
      </c>
      <c r="H3240" s="3">
        <v>42164</v>
      </c>
      <c r="I3240" s="3">
        <v>42165</v>
      </c>
      <c r="J3240" s="3">
        <v>42164</v>
      </c>
      <c r="K3240" s="3">
        <v>42224</v>
      </c>
      <c r="L3240"/>
      <c r="N3240"/>
      <c r="O3240">
        <v>130</v>
      </c>
      <c r="P3240">
        <v>192</v>
      </c>
      <c r="Q3240" s="4">
        <v>24960</v>
      </c>
      <c r="R3240">
        <v>0</v>
      </c>
      <c r="V3240">
        <v>0</v>
      </c>
      <c r="W3240">
        <v>0</v>
      </c>
      <c r="X3240">
        <v>0</v>
      </c>
      <c r="Y3240">
        <v>0</v>
      </c>
      <c r="Z3240">
        <v>0</v>
      </c>
      <c r="AA3240">
        <v>0</v>
      </c>
      <c r="AB3240" s="3">
        <v>42562</v>
      </c>
      <c r="AC3240" t="s">
        <v>53</v>
      </c>
      <c r="AD3240" t="s">
        <v>53</v>
      </c>
      <c r="AK3240">
        <v>0</v>
      </c>
      <c r="AU3240" s="3">
        <v>42416</v>
      </c>
      <c r="AV3240" s="3">
        <v>42416</v>
      </c>
      <c r="AW3240" t="s">
        <v>54</v>
      </c>
      <c r="AX3240" t="str">
        <f t="shared" si="378"/>
        <v>FOR</v>
      </c>
      <c r="AY3240" t="s">
        <v>55</v>
      </c>
    </row>
    <row r="3241" spans="1:51" hidden="1">
      <c r="A3241">
        <v>104492</v>
      </c>
      <c r="B3241" t="s">
        <v>398</v>
      </c>
      <c r="C3241" t="str">
        <f t="shared" si="379"/>
        <v>05354730631</v>
      </c>
      <c r="D3241" t="str">
        <f t="shared" si="379"/>
        <v>05354730631</v>
      </c>
      <c r="E3241" t="s">
        <v>52</v>
      </c>
      <c r="F3241">
        <v>2015</v>
      </c>
      <c r="G3241" t="str">
        <f>"               F1630"</f>
        <v xml:space="preserve">               F1630</v>
      </c>
      <c r="H3241" s="3">
        <v>42173</v>
      </c>
      <c r="I3241" s="3">
        <v>42177</v>
      </c>
      <c r="J3241" s="3">
        <v>42174</v>
      </c>
      <c r="K3241" s="3">
        <v>42234</v>
      </c>
      <c r="L3241"/>
      <c r="N3241"/>
      <c r="O3241">
        <v>100</v>
      </c>
      <c r="P3241">
        <v>182</v>
      </c>
      <c r="Q3241" s="4">
        <v>18200</v>
      </c>
      <c r="R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 s="3">
        <v>42562</v>
      </c>
      <c r="AC3241" t="s">
        <v>53</v>
      </c>
      <c r="AD3241" t="s">
        <v>53</v>
      </c>
      <c r="AK3241">
        <v>0</v>
      </c>
      <c r="AU3241" s="3">
        <v>42416</v>
      </c>
      <c r="AV3241" s="3">
        <v>42416</v>
      </c>
      <c r="AW3241" t="s">
        <v>54</v>
      </c>
      <c r="AX3241" t="str">
        <f t="shared" si="378"/>
        <v>FOR</v>
      </c>
      <c r="AY3241" t="s">
        <v>55</v>
      </c>
    </row>
    <row r="3242" spans="1:51" hidden="1">
      <c r="A3242">
        <v>104492</v>
      </c>
      <c r="B3242" t="s">
        <v>398</v>
      </c>
      <c r="C3242" t="str">
        <f t="shared" si="379"/>
        <v>05354730631</v>
      </c>
      <c r="D3242" t="str">
        <f t="shared" si="379"/>
        <v>05354730631</v>
      </c>
      <c r="E3242" t="s">
        <v>52</v>
      </c>
      <c r="F3242">
        <v>2015</v>
      </c>
      <c r="G3242" t="str">
        <f>"               F1631"</f>
        <v xml:space="preserve">               F1631</v>
      </c>
      <c r="H3242" s="3">
        <v>42173</v>
      </c>
      <c r="I3242" s="3">
        <v>42177</v>
      </c>
      <c r="J3242" s="3">
        <v>42174</v>
      </c>
      <c r="K3242" s="3">
        <v>42234</v>
      </c>
      <c r="L3242"/>
      <c r="N3242"/>
      <c r="O3242">
        <v>100</v>
      </c>
      <c r="P3242">
        <v>182</v>
      </c>
      <c r="Q3242" s="4">
        <v>18200</v>
      </c>
      <c r="R3242">
        <v>0</v>
      </c>
      <c r="V3242">
        <v>0</v>
      </c>
      <c r="W3242">
        <v>0</v>
      </c>
      <c r="X3242">
        <v>0</v>
      </c>
      <c r="Y3242">
        <v>0</v>
      </c>
      <c r="Z3242">
        <v>0</v>
      </c>
      <c r="AA3242">
        <v>0</v>
      </c>
      <c r="AB3242" s="3">
        <v>42562</v>
      </c>
      <c r="AC3242" t="s">
        <v>53</v>
      </c>
      <c r="AD3242" t="s">
        <v>53</v>
      </c>
      <c r="AK3242">
        <v>0</v>
      </c>
      <c r="AU3242" s="3">
        <v>42416</v>
      </c>
      <c r="AV3242" s="3">
        <v>42416</v>
      </c>
      <c r="AW3242" t="s">
        <v>54</v>
      </c>
      <c r="AX3242" t="str">
        <f t="shared" si="378"/>
        <v>FOR</v>
      </c>
      <c r="AY3242" t="s">
        <v>55</v>
      </c>
    </row>
    <row r="3243" spans="1:51" hidden="1">
      <c r="A3243">
        <v>104492</v>
      </c>
      <c r="B3243" t="s">
        <v>398</v>
      </c>
      <c r="C3243" t="str">
        <f t="shared" si="379"/>
        <v>05354730631</v>
      </c>
      <c r="D3243" t="str">
        <f t="shared" si="379"/>
        <v>05354730631</v>
      </c>
      <c r="E3243" t="s">
        <v>52</v>
      </c>
      <c r="F3243">
        <v>2015</v>
      </c>
      <c r="G3243" t="str">
        <f>"               F1632"</f>
        <v xml:space="preserve">               F1632</v>
      </c>
      <c r="H3243" s="3">
        <v>42173</v>
      </c>
      <c r="I3243" s="3">
        <v>42177</v>
      </c>
      <c r="J3243" s="3">
        <v>42174</v>
      </c>
      <c r="K3243" s="3">
        <v>42234</v>
      </c>
      <c r="L3243"/>
      <c r="N3243"/>
      <c r="O3243">
        <v>100</v>
      </c>
      <c r="P3243">
        <v>182</v>
      </c>
      <c r="Q3243" s="4">
        <v>18200</v>
      </c>
      <c r="R3243">
        <v>0</v>
      </c>
      <c r="V3243">
        <v>0</v>
      </c>
      <c r="W3243">
        <v>0</v>
      </c>
      <c r="X3243">
        <v>0</v>
      </c>
      <c r="Y3243">
        <v>0</v>
      </c>
      <c r="Z3243">
        <v>0</v>
      </c>
      <c r="AA3243">
        <v>0</v>
      </c>
      <c r="AB3243" s="3">
        <v>42562</v>
      </c>
      <c r="AC3243" t="s">
        <v>53</v>
      </c>
      <c r="AD3243" t="s">
        <v>53</v>
      </c>
      <c r="AK3243">
        <v>0</v>
      </c>
      <c r="AU3243" s="3">
        <v>42416</v>
      </c>
      <c r="AV3243" s="3">
        <v>42416</v>
      </c>
      <c r="AW3243" t="s">
        <v>54</v>
      </c>
      <c r="AX3243" t="str">
        <f t="shared" si="378"/>
        <v>FOR</v>
      </c>
      <c r="AY3243" t="s">
        <v>55</v>
      </c>
    </row>
    <row r="3244" spans="1:51" hidden="1">
      <c r="A3244">
        <v>104492</v>
      </c>
      <c r="B3244" t="s">
        <v>398</v>
      </c>
      <c r="C3244" t="str">
        <f t="shared" si="379"/>
        <v>05354730631</v>
      </c>
      <c r="D3244" t="str">
        <f t="shared" si="379"/>
        <v>05354730631</v>
      </c>
      <c r="E3244" t="s">
        <v>52</v>
      </c>
      <c r="F3244">
        <v>2015</v>
      </c>
      <c r="G3244" t="str">
        <f>"               F1633"</f>
        <v xml:space="preserve">               F1633</v>
      </c>
      <c r="H3244" s="3">
        <v>42173</v>
      </c>
      <c r="I3244" s="3">
        <v>42177</v>
      </c>
      <c r="J3244" s="3">
        <v>42174</v>
      </c>
      <c r="K3244" s="3">
        <v>42234</v>
      </c>
      <c r="L3244"/>
      <c r="N3244"/>
      <c r="O3244">
        <v>100</v>
      </c>
      <c r="P3244">
        <v>182</v>
      </c>
      <c r="Q3244" s="4">
        <v>18200</v>
      </c>
      <c r="R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 s="3">
        <v>42562</v>
      </c>
      <c r="AC3244" t="s">
        <v>53</v>
      </c>
      <c r="AD3244" t="s">
        <v>53</v>
      </c>
      <c r="AK3244">
        <v>0</v>
      </c>
      <c r="AU3244" s="3">
        <v>42416</v>
      </c>
      <c r="AV3244" s="3">
        <v>42416</v>
      </c>
      <c r="AW3244" t="s">
        <v>54</v>
      </c>
      <c r="AX3244" t="str">
        <f t="shared" si="378"/>
        <v>FOR</v>
      </c>
      <c r="AY3244" t="s">
        <v>55</v>
      </c>
    </row>
    <row r="3245" spans="1:51" hidden="1">
      <c r="A3245">
        <v>104492</v>
      </c>
      <c r="B3245" t="s">
        <v>398</v>
      </c>
      <c r="C3245" t="str">
        <f t="shared" si="379"/>
        <v>05354730631</v>
      </c>
      <c r="D3245" t="str">
        <f t="shared" si="379"/>
        <v>05354730631</v>
      </c>
      <c r="E3245" t="s">
        <v>52</v>
      </c>
      <c r="F3245">
        <v>2015</v>
      </c>
      <c r="G3245" t="str">
        <f>"               F1634"</f>
        <v xml:space="preserve">               F1634</v>
      </c>
      <c r="H3245" s="3">
        <v>42173</v>
      </c>
      <c r="I3245" s="3">
        <v>42177</v>
      </c>
      <c r="J3245" s="3">
        <v>42174</v>
      </c>
      <c r="K3245" s="3">
        <v>42234</v>
      </c>
      <c r="L3245"/>
      <c r="N3245"/>
      <c r="O3245">
        <v>100</v>
      </c>
      <c r="P3245">
        <v>182</v>
      </c>
      <c r="Q3245" s="4">
        <v>18200</v>
      </c>
      <c r="R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 s="3">
        <v>42562</v>
      </c>
      <c r="AC3245" t="s">
        <v>53</v>
      </c>
      <c r="AD3245" t="s">
        <v>53</v>
      </c>
      <c r="AK3245">
        <v>0</v>
      </c>
      <c r="AU3245" s="3">
        <v>42416</v>
      </c>
      <c r="AV3245" s="3">
        <v>42416</v>
      </c>
      <c r="AW3245" t="s">
        <v>54</v>
      </c>
      <c r="AX3245" t="str">
        <f t="shared" si="378"/>
        <v>FOR</v>
      </c>
      <c r="AY3245" t="s">
        <v>55</v>
      </c>
    </row>
    <row r="3246" spans="1:51" hidden="1">
      <c r="A3246">
        <v>104492</v>
      </c>
      <c r="B3246" t="s">
        <v>398</v>
      </c>
      <c r="C3246" t="str">
        <f t="shared" si="379"/>
        <v>05354730631</v>
      </c>
      <c r="D3246" t="str">
        <f t="shared" si="379"/>
        <v>05354730631</v>
      </c>
      <c r="E3246" t="s">
        <v>52</v>
      </c>
      <c r="F3246">
        <v>2015</v>
      </c>
      <c r="G3246" t="str">
        <f>"               F1735"</f>
        <v xml:space="preserve">               F1735</v>
      </c>
      <c r="H3246" s="3">
        <v>42179</v>
      </c>
      <c r="I3246" s="3">
        <v>42185</v>
      </c>
      <c r="J3246" s="3">
        <v>42181</v>
      </c>
      <c r="K3246" s="3">
        <v>42241</v>
      </c>
      <c r="L3246"/>
      <c r="N3246"/>
      <c r="O3246">
        <v>100</v>
      </c>
      <c r="P3246">
        <v>175</v>
      </c>
      <c r="Q3246" s="4">
        <v>17500</v>
      </c>
      <c r="R3246">
        <v>0</v>
      </c>
      <c r="V3246">
        <v>0</v>
      </c>
      <c r="W3246">
        <v>0</v>
      </c>
      <c r="X3246">
        <v>0</v>
      </c>
      <c r="Y3246">
        <v>0</v>
      </c>
      <c r="Z3246">
        <v>0</v>
      </c>
      <c r="AA3246">
        <v>0</v>
      </c>
      <c r="AB3246" s="3">
        <v>42562</v>
      </c>
      <c r="AC3246" t="s">
        <v>53</v>
      </c>
      <c r="AD3246" t="s">
        <v>53</v>
      </c>
      <c r="AK3246">
        <v>0</v>
      </c>
      <c r="AU3246" s="3">
        <v>42416</v>
      </c>
      <c r="AV3246" s="3">
        <v>42416</v>
      </c>
      <c r="AW3246" t="s">
        <v>54</v>
      </c>
      <c r="AX3246" t="str">
        <f t="shared" si="378"/>
        <v>FOR</v>
      </c>
      <c r="AY3246" t="s">
        <v>55</v>
      </c>
    </row>
    <row r="3247" spans="1:51" hidden="1">
      <c r="A3247">
        <v>104492</v>
      </c>
      <c r="B3247" t="s">
        <v>398</v>
      </c>
      <c r="C3247" t="str">
        <f t="shared" si="379"/>
        <v>05354730631</v>
      </c>
      <c r="D3247" t="str">
        <f t="shared" si="379"/>
        <v>05354730631</v>
      </c>
      <c r="E3247" t="s">
        <v>52</v>
      </c>
      <c r="F3247">
        <v>2015</v>
      </c>
      <c r="G3247" t="str">
        <f>"               F1736"</f>
        <v xml:space="preserve">               F1736</v>
      </c>
      <c r="H3247" s="3">
        <v>42179</v>
      </c>
      <c r="I3247" s="3">
        <v>42185</v>
      </c>
      <c r="J3247" s="3">
        <v>42181</v>
      </c>
      <c r="K3247" s="3">
        <v>42241</v>
      </c>
      <c r="L3247"/>
      <c r="N3247"/>
      <c r="O3247">
        <v>100</v>
      </c>
      <c r="P3247">
        <v>175</v>
      </c>
      <c r="Q3247" s="4">
        <v>17500</v>
      </c>
      <c r="R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 s="3">
        <v>42562</v>
      </c>
      <c r="AC3247" t="s">
        <v>53</v>
      </c>
      <c r="AD3247" t="s">
        <v>53</v>
      </c>
      <c r="AK3247">
        <v>0</v>
      </c>
      <c r="AU3247" s="3">
        <v>42416</v>
      </c>
      <c r="AV3247" s="3">
        <v>42416</v>
      </c>
      <c r="AW3247" t="s">
        <v>54</v>
      </c>
      <c r="AX3247" t="str">
        <f t="shared" si="378"/>
        <v>FOR</v>
      </c>
      <c r="AY3247" t="s">
        <v>55</v>
      </c>
    </row>
    <row r="3248" spans="1:51" hidden="1">
      <c r="A3248">
        <v>104492</v>
      </c>
      <c r="B3248" t="s">
        <v>398</v>
      </c>
      <c r="C3248" t="str">
        <f t="shared" si="379"/>
        <v>05354730631</v>
      </c>
      <c r="D3248" t="str">
        <f t="shared" si="379"/>
        <v>05354730631</v>
      </c>
      <c r="E3248" t="s">
        <v>52</v>
      </c>
      <c r="F3248">
        <v>2015</v>
      </c>
      <c r="G3248" t="str">
        <f>"               F1737"</f>
        <v xml:space="preserve">               F1737</v>
      </c>
      <c r="H3248" s="3">
        <v>42179</v>
      </c>
      <c r="I3248" s="3">
        <v>42186</v>
      </c>
      <c r="J3248" s="3">
        <v>42181</v>
      </c>
      <c r="K3248" s="3">
        <v>42241</v>
      </c>
      <c r="L3248"/>
      <c r="N3248"/>
      <c r="O3248">
        <v>100</v>
      </c>
      <c r="P3248">
        <v>175</v>
      </c>
      <c r="Q3248" s="4">
        <v>17500</v>
      </c>
      <c r="R3248">
        <v>0</v>
      </c>
      <c r="V3248">
        <v>0</v>
      </c>
      <c r="W3248">
        <v>0</v>
      </c>
      <c r="X3248">
        <v>0</v>
      </c>
      <c r="Y3248">
        <v>0</v>
      </c>
      <c r="Z3248">
        <v>0</v>
      </c>
      <c r="AA3248">
        <v>0</v>
      </c>
      <c r="AB3248" s="3">
        <v>42562</v>
      </c>
      <c r="AC3248" t="s">
        <v>53</v>
      </c>
      <c r="AD3248" t="s">
        <v>53</v>
      </c>
      <c r="AK3248">
        <v>0</v>
      </c>
      <c r="AU3248" s="3">
        <v>42416</v>
      </c>
      <c r="AV3248" s="3">
        <v>42416</v>
      </c>
      <c r="AW3248" t="s">
        <v>54</v>
      </c>
      <c r="AX3248" t="str">
        <f t="shared" si="378"/>
        <v>FOR</v>
      </c>
      <c r="AY3248" t="s">
        <v>55</v>
      </c>
    </row>
    <row r="3249" spans="1:51" hidden="1">
      <c r="A3249">
        <v>104492</v>
      </c>
      <c r="B3249" t="s">
        <v>398</v>
      </c>
      <c r="C3249" t="str">
        <f t="shared" si="379"/>
        <v>05354730631</v>
      </c>
      <c r="D3249" t="str">
        <f t="shared" si="379"/>
        <v>05354730631</v>
      </c>
      <c r="E3249" t="s">
        <v>52</v>
      </c>
      <c r="F3249">
        <v>2015</v>
      </c>
      <c r="G3249" t="str">
        <f>"               F1738"</f>
        <v xml:space="preserve">               F1738</v>
      </c>
      <c r="H3249" s="3">
        <v>42179</v>
      </c>
      <c r="I3249" s="3">
        <v>42186</v>
      </c>
      <c r="J3249" s="3">
        <v>42181</v>
      </c>
      <c r="K3249" s="3">
        <v>42241</v>
      </c>
      <c r="L3249"/>
      <c r="N3249"/>
      <c r="O3249">
        <v>130</v>
      </c>
      <c r="P3249">
        <v>175</v>
      </c>
      <c r="Q3249" s="4">
        <v>22750</v>
      </c>
      <c r="R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 s="3">
        <v>42562</v>
      </c>
      <c r="AC3249" t="s">
        <v>53</v>
      </c>
      <c r="AD3249" t="s">
        <v>53</v>
      </c>
      <c r="AK3249">
        <v>0</v>
      </c>
      <c r="AU3249" s="3">
        <v>42416</v>
      </c>
      <c r="AV3249" s="3">
        <v>42416</v>
      </c>
      <c r="AW3249" t="s">
        <v>54</v>
      </c>
      <c r="AX3249" t="str">
        <f t="shared" si="378"/>
        <v>FOR</v>
      </c>
      <c r="AY3249" t="s">
        <v>55</v>
      </c>
    </row>
    <row r="3250" spans="1:51" hidden="1">
      <c r="A3250">
        <v>104492</v>
      </c>
      <c r="B3250" t="s">
        <v>398</v>
      </c>
      <c r="C3250" t="str">
        <f t="shared" si="379"/>
        <v>05354730631</v>
      </c>
      <c r="D3250" t="str">
        <f t="shared" si="379"/>
        <v>05354730631</v>
      </c>
      <c r="E3250" t="s">
        <v>52</v>
      </c>
      <c r="F3250">
        <v>2015</v>
      </c>
      <c r="G3250" t="str">
        <f>"               F1739"</f>
        <v xml:space="preserve">               F1739</v>
      </c>
      <c r="H3250" s="3">
        <v>42179</v>
      </c>
      <c r="I3250" s="3">
        <v>42186</v>
      </c>
      <c r="J3250" s="3">
        <v>42181</v>
      </c>
      <c r="K3250" s="3">
        <v>42241</v>
      </c>
      <c r="L3250"/>
      <c r="N3250"/>
      <c r="O3250">
        <v>130</v>
      </c>
      <c r="P3250">
        <v>175</v>
      </c>
      <c r="Q3250" s="4">
        <v>22750</v>
      </c>
      <c r="R3250">
        <v>0</v>
      </c>
      <c r="V3250">
        <v>0</v>
      </c>
      <c r="W3250">
        <v>0</v>
      </c>
      <c r="X3250">
        <v>0</v>
      </c>
      <c r="Y3250">
        <v>0</v>
      </c>
      <c r="Z3250">
        <v>0</v>
      </c>
      <c r="AA3250">
        <v>0</v>
      </c>
      <c r="AB3250" s="3">
        <v>42562</v>
      </c>
      <c r="AC3250" t="s">
        <v>53</v>
      </c>
      <c r="AD3250" t="s">
        <v>53</v>
      </c>
      <c r="AK3250">
        <v>0</v>
      </c>
      <c r="AU3250" s="3">
        <v>42416</v>
      </c>
      <c r="AV3250" s="3">
        <v>42416</v>
      </c>
      <c r="AW3250" t="s">
        <v>54</v>
      </c>
      <c r="AX3250" t="str">
        <f t="shared" si="378"/>
        <v>FOR</v>
      </c>
      <c r="AY3250" t="s">
        <v>55</v>
      </c>
    </row>
    <row r="3251" spans="1:51" hidden="1">
      <c r="A3251">
        <v>104492</v>
      </c>
      <c r="B3251" t="s">
        <v>398</v>
      </c>
      <c r="C3251" t="str">
        <f t="shared" si="379"/>
        <v>05354730631</v>
      </c>
      <c r="D3251" t="str">
        <f t="shared" si="379"/>
        <v>05354730631</v>
      </c>
      <c r="E3251" t="s">
        <v>52</v>
      </c>
      <c r="F3251">
        <v>2015</v>
      </c>
      <c r="G3251" t="str">
        <f>"               F1740"</f>
        <v xml:space="preserve">               F1740</v>
      </c>
      <c r="H3251" s="3">
        <v>42179</v>
      </c>
      <c r="I3251" s="3">
        <v>42186</v>
      </c>
      <c r="J3251" s="3">
        <v>42181</v>
      </c>
      <c r="K3251" s="3">
        <v>42241</v>
      </c>
      <c r="L3251"/>
      <c r="N3251"/>
      <c r="O3251">
        <v>130</v>
      </c>
      <c r="P3251">
        <v>175</v>
      </c>
      <c r="Q3251" s="4">
        <v>22750</v>
      </c>
      <c r="R3251">
        <v>0</v>
      </c>
      <c r="V3251">
        <v>0</v>
      </c>
      <c r="W3251">
        <v>0</v>
      </c>
      <c r="X3251">
        <v>0</v>
      </c>
      <c r="Y3251">
        <v>0</v>
      </c>
      <c r="Z3251">
        <v>0</v>
      </c>
      <c r="AA3251">
        <v>0</v>
      </c>
      <c r="AB3251" s="3">
        <v>42562</v>
      </c>
      <c r="AC3251" t="s">
        <v>53</v>
      </c>
      <c r="AD3251" t="s">
        <v>53</v>
      </c>
      <c r="AK3251">
        <v>0</v>
      </c>
      <c r="AU3251" s="3">
        <v>42416</v>
      </c>
      <c r="AV3251" s="3">
        <v>42416</v>
      </c>
      <c r="AW3251" t="s">
        <v>54</v>
      </c>
      <c r="AX3251" t="str">
        <f t="shared" si="378"/>
        <v>FOR</v>
      </c>
      <c r="AY3251" t="s">
        <v>55</v>
      </c>
    </row>
    <row r="3252" spans="1:51" hidden="1">
      <c r="A3252">
        <v>104492</v>
      </c>
      <c r="B3252" t="s">
        <v>398</v>
      </c>
      <c r="C3252" t="str">
        <f t="shared" ref="C3252:D3271" si="380">"05354730631"</f>
        <v>05354730631</v>
      </c>
      <c r="D3252" t="str">
        <f t="shared" si="380"/>
        <v>05354730631</v>
      </c>
      <c r="E3252" t="s">
        <v>52</v>
      </c>
      <c r="F3252">
        <v>2015</v>
      </c>
      <c r="G3252" t="str">
        <f>"               F1959"</f>
        <v xml:space="preserve">               F1959</v>
      </c>
      <c r="H3252" s="3">
        <v>42199</v>
      </c>
      <c r="I3252" s="3">
        <v>42202</v>
      </c>
      <c r="J3252" s="3">
        <v>42200</v>
      </c>
      <c r="K3252" s="3">
        <v>42260</v>
      </c>
      <c r="L3252"/>
      <c r="N3252"/>
      <c r="O3252">
        <v>100</v>
      </c>
      <c r="P3252">
        <v>192</v>
      </c>
      <c r="Q3252" s="4">
        <v>19200</v>
      </c>
      <c r="R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 s="3">
        <v>42562</v>
      </c>
      <c r="AC3252" t="s">
        <v>53</v>
      </c>
      <c r="AD3252" t="s">
        <v>53</v>
      </c>
      <c r="AK3252">
        <v>0</v>
      </c>
      <c r="AU3252" s="3">
        <v>42452</v>
      </c>
      <c r="AV3252" s="3">
        <v>42452</v>
      </c>
      <c r="AW3252" t="s">
        <v>54</v>
      </c>
      <c r="AX3252" t="str">
        <f t="shared" si="378"/>
        <v>FOR</v>
      </c>
      <c r="AY3252" t="s">
        <v>55</v>
      </c>
    </row>
    <row r="3253" spans="1:51" hidden="1">
      <c r="A3253">
        <v>104492</v>
      </c>
      <c r="B3253" t="s">
        <v>398</v>
      </c>
      <c r="C3253" t="str">
        <f t="shared" si="380"/>
        <v>05354730631</v>
      </c>
      <c r="D3253" t="str">
        <f t="shared" si="380"/>
        <v>05354730631</v>
      </c>
      <c r="E3253" t="s">
        <v>52</v>
      </c>
      <c r="F3253">
        <v>2015</v>
      </c>
      <c r="G3253" t="str">
        <f>"               F1960"</f>
        <v xml:space="preserve">               F1960</v>
      </c>
      <c r="H3253" s="3">
        <v>42199</v>
      </c>
      <c r="I3253" s="3">
        <v>42202</v>
      </c>
      <c r="J3253" s="3">
        <v>42200</v>
      </c>
      <c r="K3253" s="3">
        <v>42260</v>
      </c>
      <c r="L3253"/>
      <c r="N3253"/>
      <c r="O3253">
        <v>100</v>
      </c>
      <c r="P3253">
        <v>192</v>
      </c>
      <c r="Q3253" s="4">
        <v>19200</v>
      </c>
      <c r="R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 s="3">
        <v>42562</v>
      </c>
      <c r="AC3253" t="s">
        <v>53</v>
      </c>
      <c r="AD3253" t="s">
        <v>53</v>
      </c>
      <c r="AK3253">
        <v>0</v>
      </c>
      <c r="AU3253" s="3">
        <v>42452</v>
      </c>
      <c r="AV3253" s="3">
        <v>42452</v>
      </c>
      <c r="AW3253" t="s">
        <v>54</v>
      </c>
      <c r="AX3253" t="str">
        <f t="shared" si="378"/>
        <v>FOR</v>
      </c>
      <c r="AY3253" t="s">
        <v>55</v>
      </c>
    </row>
    <row r="3254" spans="1:51" hidden="1">
      <c r="A3254">
        <v>104492</v>
      </c>
      <c r="B3254" t="s">
        <v>398</v>
      </c>
      <c r="C3254" t="str">
        <f t="shared" si="380"/>
        <v>05354730631</v>
      </c>
      <c r="D3254" t="str">
        <f t="shared" si="380"/>
        <v>05354730631</v>
      </c>
      <c r="E3254" t="s">
        <v>52</v>
      </c>
      <c r="F3254">
        <v>2015</v>
      </c>
      <c r="G3254" t="str">
        <f>"               F1961"</f>
        <v xml:space="preserve">               F1961</v>
      </c>
      <c r="H3254" s="3">
        <v>42199</v>
      </c>
      <c r="I3254" s="3">
        <v>42202</v>
      </c>
      <c r="J3254" s="3">
        <v>42200</v>
      </c>
      <c r="K3254" s="3">
        <v>42260</v>
      </c>
      <c r="L3254"/>
      <c r="N3254"/>
      <c r="O3254">
        <v>100</v>
      </c>
      <c r="P3254">
        <v>192</v>
      </c>
      <c r="Q3254" s="4">
        <v>19200</v>
      </c>
      <c r="R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 s="3">
        <v>42562</v>
      </c>
      <c r="AC3254" t="s">
        <v>53</v>
      </c>
      <c r="AD3254" t="s">
        <v>53</v>
      </c>
      <c r="AK3254">
        <v>0</v>
      </c>
      <c r="AU3254" s="3">
        <v>42452</v>
      </c>
      <c r="AV3254" s="3">
        <v>42452</v>
      </c>
      <c r="AW3254" t="s">
        <v>54</v>
      </c>
      <c r="AX3254" t="str">
        <f t="shared" si="378"/>
        <v>FOR</v>
      </c>
      <c r="AY3254" t="s">
        <v>55</v>
      </c>
    </row>
    <row r="3255" spans="1:51" hidden="1">
      <c r="A3255">
        <v>104492</v>
      </c>
      <c r="B3255" t="s">
        <v>398</v>
      </c>
      <c r="C3255" t="str">
        <f t="shared" si="380"/>
        <v>05354730631</v>
      </c>
      <c r="D3255" t="str">
        <f t="shared" si="380"/>
        <v>05354730631</v>
      </c>
      <c r="E3255" t="s">
        <v>52</v>
      </c>
      <c r="F3255">
        <v>2015</v>
      </c>
      <c r="G3255" t="str">
        <f>"               F2009"</f>
        <v xml:space="preserve">               F2009</v>
      </c>
      <c r="H3255" s="3">
        <v>42205</v>
      </c>
      <c r="I3255" s="3">
        <v>42207</v>
      </c>
      <c r="J3255" s="3">
        <v>42207</v>
      </c>
      <c r="K3255" s="3">
        <v>42267</v>
      </c>
      <c r="L3255"/>
      <c r="N3255"/>
      <c r="O3255" s="4">
        <v>1785</v>
      </c>
      <c r="P3255">
        <v>185</v>
      </c>
      <c r="Q3255" s="4">
        <v>330225</v>
      </c>
      <c r="R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 s="3">
        <v>42562</v>
      </c>
      <c r="AC3255" t="s">
        <v>53</v>
      </c>
      <c r="AD3255" t="s">
        <v>53</v>
      </c>
      <c r="AK3255">
        <v>0</v>
      </c>
      <c r="AU3255" s="3">
        <v>42452</v>
      </c>
      <c r="AV3255" s="3">
        <v>42452</v>
      </c>
      <c r="AW3255" t="s">
        <v>54</v>
      </c>
      <c r="AX3255" t="str">
        <f t="shared" si="378"/>
        <v>FOR</v>
      </c>
      <c r="AY3255" t="s">
        <v>55</v>
      </c>
    </row>
    <row r="3256" spans="1:51" hidden="1">
      <c r="A3256">
        <v>104492</v>
      </c>
      <c r="B3256" t="s">
        <v>398</v>
      </c>
      <c r="C3256" t="str">
        <f t="shared" si="380"/>
        <v>05354730631</v>
      </c>
      <c r="D3256" t="str">
        <f t="shared" si="380"/>
        <v>05354730631</v>
      </c>
      <c r="E3256" t="s">
        <v>52</v>
      </c>
      <c r="F3256">
        <v>2015</v>
      </c>
      <c r="G3256" t="str">
        <f>"               F2010"</f>
        <v xml:space="preserve">               F2010</v>
      </c>
      <c r="H3256" s="3">
        <v>42205</v>
      </c>
      <c r="I3256" s="3">
        <v>42207</v>
      </c>
      <c r="J3256" s="3">
        <v>42207</v>
      </c>
      <c r="K3256" s="3">
        <v>42267</v>
      </c>
      <c r="L3256"/>
      <c r="N3256"/>
      <c r="O3256">
        <v>345</v>
      </c>
      <c r="P3256">
        <v>185</v>
      </c>
      <c r="Q3256" s="4">
        <v>63825</v>
      </c>
      <c r="R3256">
        <v>0</v>
      </c>
      <c r="V3256">
        <v>0</v>
      </c>
      <c r="W3256">
        <v>0</v>
      </c>
      <c r="X3256">
        <v>0</v>
      </c>
      <c r="Y3256">
        <v>0</v>
      </c>
      <c r="Z3256">
        <v>0</v>
      </c>
      <c r="AA3256">
        <v>0</v>
      </c>
      <c r="AB3256" s="3">
        <v>42562</v>
      </c>
      <c r="AC3256" t="s">
        <v>53</v>
      </c>
      <c r="AD3256" t="s">
        <v>53</v>
      </c>
      <c r="AK3256">
        <v>0</v>
      </c>
      <c r="AU3256" s="3">
        <v>42452</v>
      </c>
      <c r="AV3256" s="3">
        <v>42452</v>
      </c>
      <c r="AW3256" t="s">
        <v>54</v>
      </c>
      <c r="AX3256" t="str">
        <f t="shared" si="378"/>
        <v>FOR</v>
      </c>
      <c r="AY3256" t="s">
        <v>55</v>
      </c>
    </row>
    <row r="3257" spans="1:51">
      <c r="A3257">
        <v>104492</v>
      </c>
      <c r="B3257" t="s">
        <v>398</v>
      </c>
      <c r="C3257" t="str">
        <f t="shared" si="380"/>
        <v>05354730631</v>
      </c>
      <c r="D3257" t="str">
        <f t="shared" si="380"/>
        <v>05354730631</v>
      </c>
      <c r="E3257" t="s">
        <v>52</v>
      </c>
      <c r="F3257">
        <v>2015</v>
      </c>
      <c r="G3257" t="str">
        <f>"               F2030"</f>
        <v xml:space="preserve">               F2030</v>
      </c>
      <c r="H3257" s="3">
        <v>42205</v>
      </c>
      <c r="I3257" s="3">
        <v>42207</v>
      </c>
      <c r="J3257" s="3">
        <v>42207</v>
      </c>
      <c r="K3257" s="3">
        <v>42267</v>
      </c>
      <c r="L3257" s="5">
        <v>6355</v>
      </c>
      <c r="M3257">
        <v>225</v>
      </c>
      <c r="N3257" s="5">
        <v>1429875</v>
      </c>
      <c r="O3257" s="4">
        <v>6355</v>
      </c>
      <c r="P3257">
        <v>225</v>
      </c>
      <c r="Q3257" s="4">
        <v>1429875</v>
      </c>
      <c r="R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 s="3">
        <v>42562</v>
      </c>
      <c r="AC3257" t="s">
        <v>53</v>
      </c>
      <c r="AD3257" t="s">
        <v>53</v>
      </c>
      <c r="AK3257">
        <v>0</v>
      </c>
      <c r="AU3257" s="3">
        <v>42492</v>
      </c>
      <c r="AV3257" s="3">
        <v>42492</v>
      </c>
      <c r="AW3257" t="s">
        <v>54</v>
      </c>
      <c r="AX3257" t="str">
        <f t="shared" si="378"/>
        <v>FOR</v>
      </c>
      <c r="AY3257" t="s">
        <v>55</v>
      </c>
    </row>
    <row r="3258" spans="1:51" hidden="1">
      <c r="A3258">
        <v>104492</v>
      </c>
      <c r="B3258" t="s">
        <v>398</v>
      </c>
      <c r="C3258" t="str">
        <f t="shared" si="380"/>
        <v>05354730631</v>
      </c>
      <c r="D3258" t="str">
        <f t="shared" si="380"/>
        <v>05354730631</v>
      </c>
      <c r="E3258" t="s">
        <v>52</v>
      </c>
      <c r="F3258">
        <v>2015</v>
      </c>
      <c r="G3258" t="str">
        <f>"               F2100"</f>
        <v xml:space="preserve">               F2100</v>
      </c>
      <c r="H3258" s="3">
        <v>42208</v>
      </c>
      <c r="I3258" s="3">
        <v>42212</v>
      </c>
      <c r="J3258" s="3">
        <v>42209</v>
      </c>
      <c r="K3258" s="3">
        <v>42269</v>
      </c>
      <c r="L3258"/>
      <c r="N3258"/>
      <c r="O3258">
        <v>100</v>
      </c>
      <c r="P3258">
        <v>183</v>
      </c>
      <c r="Q3258" s="4">
        <v>18300</v>
      </c>
      <c r="R3258">
        <v>0</v>
      </c>
      <c r="V3258">
        <v>0</v>
      </c>
      <c r="W3258">
        <v>0</v>
      </c>
      <c r="X3258">
        <v>0</v>
      </c>
      <c r="Y3258">
        <v>0</v>
      </c>
      <c r="Z3258">
        <v>0</v>
      </c>
      <c r="AA3258">
        <v>0</v>
      </c>
      <c r="AB3258" s="3">
        <v>42562</v>
      </c>
      <c r="AC3258" t="s">
        <v>53</v>
      </c>
      <c r="AD3258" t="s">
        <v>53</v>
      </c>
      <c r="AK3258">
        <v>0</v>
      </c>
      <c r="AU3258" s="3">
        <v>42452</v>
      </c>
      <c r="AV3258" s="3">
        <v>42452</v>
      </c>
      <c r="AW3258" t="s">
        <v>54</v>
      </c>
      <c r="AX3258" t="str">
        <f t="shared" si="378"/>
        <v>FOR</v>
      </c>
      <c r="AY3258" t="s">
        <v>55</v>
      </c>
    </row>
    <row r="3259" spans="1:51" hidden="1">
      <c r="A3259">
        <v>104492</v>
      </c>
      <c r="B3259" t="s">
        <v>398</v>
      </c>
      <c r="C3259" t="str">
        <f t="shared" si="380"/>
        <v>05354730631</v>
      </c>
      <c r="D3259" t="str">
        <f t="shared" si="380"/>
        <v>05354730631</v>
      </c>
      <c r="E3259" t="s">
        <v>52</v>
      </c>
      <c r="F3259">
        <v>2015</v>
      </c>
      <c r="G3259" t="str">
        <f>"               F2101"</f>
        <v xml:space="preserve">               F2101</v>
      </c>
      <c r="H3259" s="3">
        <v>42208</v>
      </c>
      <c r="I3259" s="3">
        <v>42212</v>
      </c>
      <c r="J3259" s="3">
        <v>42209</v>
      </c>
      <c r="K3259" s="3">
        <v>42269</v>
      </c>
      <c r="L3259"/>
      <c r="N3259"/>
      <c r="O3259">
        <v>100</v>
      </c>
      <c r="P3259">
        <v>183</v>
      </c>
      <c r="Q3259" s="4">
        <v>18300</v>
      </c>
      <c r="R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 s="3">
        <v>42562</v>
      </c>
      <c r="AC3259" t="s">
        <v>53</v>
      </c>
      <c r="AD3259" t="s">
        <v>53</v>
      </c>
      <c r="AK3259">
        <v>0</v>
      </c>
      <c r="AU3259" s="3">
        <v>42452</v>
      </c>
      <c r="AV3259" s="3">
        <v>42452</v>
      </c>
      <c r="AW3259" t="s">
        <v>54</v>
      </c>
      <c r="AX3259" t="str">
        <f t="shared" si="378"/>
        <v>FOR</v>
      </c>
      <c r="AY3259" t="s">
        <v>55</v>
      </c>
    </row>
    <row r="3260" spans="1:51" hidden="1">
      <c r="A3260">
        <v>104492</v>
      </c>
      <c r="B3260" t="s">
        <v>398</v>
      </c>
      <c r="C3260" t="str">
        <f t="shared" si="380"/>
        <v>05354730631</v>
      </c>
      <c r="D3260" t="str">
        <f t="shared" si="380"/>
        <v>05354730631</v>
      </c>
      <c r="E3260" t="s">
        <v>52</v>
      </c>
      <c r="F3260">
        <v>2015</v>
      </c>
      <c r="G3260" t="str">
        <f>"               F2212"</f>
        <v xml:space="preserve">               F2212</v>
      </c>
      <c r="H3260" s="3">
        <v>42216</v>
      </c>
      <c r="I3260" s="3">
        <v>42229</v>
      </c>
      <c r="J3260" s="3">
        <v>42220</v>
      </c>
      <c r="K3260" s="3">
        <v>42280</v>
      </c>
      <c r="L3260"/>
      <c r="N3260"/>
      <c r="O3260" s="4">
        <v>1200</v>
      </c>
      <c r="P3260">
        <v>172</v>
      </c>
      <c r="Q3260" s="4">
        <v>206400</v>
      </c>
      <c r="R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 s="3">
        <v>42562</v>
      </c>
      <c r="AC3260" t="s">
        <v>53</v>
      </c>
      <c r="AD3260" t="s">
        <v>53</v>
      </c>
      <c r="AK3260">
        <v>0</v>
      </c>
      <c r="AU3260" s="3">
        <v>42452</v>
      </c>
      <c r="AV3260" s="3">
        <v>42452</v>
      </c>
      <c r="AW3260" t="s">
        <v>54</v>
      </c>
      <c r="AX3260" t="str">
        <f t="shared" si="378"/>
        <v>FOR</v>
      </c>
      <c r="AY3260" t="s">
        <v>55</v>
      </c>
    </row>
    <row r="3261" spans="1:51" hidden="1">
      <c r="A3261">
        <v>104492</v>
      </c>
      <c r="B3261" t="s">
        <v>398</v>
      </c>
      <c r="C3261" t="str">
        <f t="shared" si="380"/>
        <v>05354730631</v>
      </c>
      <c r="D3261" t="str">
        <f t="shared" si="380"/>
        <v>05354730631</v>
      </c>
      <c r="E3261" t="s">
        <v>52</v>
      </c>
      <c r="F3261">
        <v>2015</v>
      </c>
      <c r="G3261" t="str">
        <f>"               F2221"</f>
        <v xml:space="preserve">               F2221</v>
      </c>
      <c r="H3261" s="3">
        <v>42216</v>
      </c>
      <c r="I3261" s="3">
        <v>42229</v>
      </c>
      <c r="J3261" s="3">
        <v>42220</v>
      </c>
      <c r="K3261" s="3">
        <v>42280</v>
      </c>
      <c r="L3261"/>
      <c r="N3261"/>
      <c r="O3261">
        <v>100</v>
      </c>
      <c r="P3261">
        <v>172</v>
      </c>
      <c r="Q3261" s="4">
        <v>17200</v>
      </c>
      <c r="R3261">
        <v>0</v>
      </c>
      <c r="V3261">
        <v>0</v>
      </c>
      <c r="W3261">
        <v>0</v>
      </c>
      <c r="X3261">
        <v>0</v>
      </c>
      <c r="Y3261">
        <v>0</v>
      </c>
      <c r="Z3261">
        <v>0</v>
      </c>
      <c r="AA3261">
        <v>0</v>
      </c>
      <c r="AB3261" s="3">
        <v>42562</v>
      </c>
      <c r="AC3261" t="s">
        <v>53</v>
      </c>
      <c r="AD3261" t="s">
        <v>53</v>
      </c>
      <c r="AK3261">
        <v>0</v>
      </c>
      <c r="AU3261" s="3">
        <v>42452</v>
      </c>
      <c r="AV3261" s="3">
        <v>42452</v>
      </c>
      <c r="AW3261" t="s">
        <v>54</v>
      </c>
      <c r="AX3261" t="str">
        <f t="shared" ref="AX3261:AX3277" si="381">"FOR"</f>
        <v>FOR</v>
      </c>
      <c r="AY3261" t="s">
        <v>55</v>
      </c>
    </row>
    <row r="3262" spans="1:51" hidden="1">
      <c r="A3262">
        <v>104492</v>
      </c>
      <c r="B3262" t="s">
        <v>398</v>
      </c>
      <c r="C3262" t="str">
        <f t="shared" si="380"/>
        <v>05354730631</v>
      </c>
      <c r="D3262" t="str">
        <f t="shared" si="380"/>
        <v>05354730631</v>
      </c>
      <c r="E3262" t="s">
        <v>52</v>
      </c>
      <c r="F3262">
        <v>2015</v>
      </c>
      <c r="G3262" t="str">
        <f>"               F2222"</f>
        <v xml:space="preserve">               F2222</v>
      </c>
      <c r="H3262" s="3">
        <v>42216</v>
      </c>
      <c r="I3262" s="3">
        <v>42229</v>
      </c>
      <c r="J3262" s="3">
        <v>42220</v>
      </c>
      <c r="K3262" s="3">
        <v>42280</v>
      </c>
      <c r="L3262"/>
      <c r="N3262"/>
      <c r="O3262">
        <v>100</v>
      </c>
      <c r="P3262">
        <v>172</v>
      </c>
      <c r="Q3262" s="4">
        <v>17200</v>
      </c>
      <c r="R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 s="3">
        <v>42562</v>
      </c>
      <c r="AC3262" t="s">
        <v>53</v>
      </c>
      <c r="AD3262" t="s">
        <v>53</v>
      </c>
      <c r="AK3262">
        <v>0</v>
      </c>
      <c r="AU3262" s="3">
        <v>42452</v>
      </c>
      <c r="AV3262" s="3">
        <v>42452</v>
      </c>
      <c r="AW3262" t="s">
        <v>54</v>
      </c>
      <c r="AX3262" t="str">
        <f t="shared" si="381"/>
        <v>FOR</v>
      </c>
      <c r="AY3262" t="s">
        <v>55</v>
      </c>
    </row>
    <row r="3263" spans="1:51">
      <c r="A3263">
        <v>104492</v>
      </c>
      <c r="B3263" t="s">
        <v>398</v>
      </c>
      <c r="C3263" t="str">
        <f t="shared" si="380"/>
        <v>05354730631</v>
      </c>
      <c r="D3263" t="str">
        <f t="shared" si="380"/>
        <v>05354730631</v>
      </c>
      <c r="E3263" t="s">
        <v>52</v>
      </c>
      <c r="F3263">
        <v>2015</v>
      </c>
      <c r="G3263" t="str">
        <f>"               F2396"</f>
        <v xml:space="preserve">               F2396</v>
      </c>
      <c r="H3263" s="3">
        <v>42261</v>
      </c>
      <c r="I3263" s="3">
        <v>42263</v>
      </c>
      <c r="J3263" s="3">
        <v>42262</v>
      </c>
      <c r="K3263" s="3">
        <v>42322</v>
      </c>
      <c r="L3263" s="1">
        <v>100</v>
      </c>
      <c r="M3263">
        <v>170</v>
      </c>
      <c r="N3263" s="5">
        <v>17000</v>
      </c>
      <c r="O3263">
        <v>100</v>
      </c>
      <c r="P3263">
        <v>170</v>
      </c>
      <c r="Q3263" s="4">
        <v>17000</v>
      </c>
      <c r="R3263">
        <v>0</v>
      </c>
      <c r="V3263">
        <v>0</v>
      </c>
      <c r="W3263">
        <v>0</v>
      </c>
      <c r="X3263">
        <v>0</v>
      </c>
      <c r="Y3263">
        <v>0</v>
      </c>
      <c r="Z3263">
        <v>0</v>
      </c>
      <c r="AA3263">
        <v>0</v>
      </c>
      <c r="AB3263" s="3">
        <v>42562</v>
      </c>
      <c r="AC3263" t="s">
        <v>53</v>
      </c>
      <c r="AD3263" t="s">
        <v>53</v>
      </c>
      <c r="AK3263">
        <v>0</v>
      </c>
      <c r="AU3263" s="3">
        <v>42492</v>
      </c>
      <c r="AV3263" s="3">
        <v>42492</v>
      </c>
      <c r="AW3263" t="s">
        <v>54</v>
      </c>
      <c r="AX3263" t="str">
        <f t="shared" si="381"/>
        <v>FOR</v>
      </c>
      <c r="AY3263" t="s">
        <v>55</v>
      </c>
    </row>
    <row r="3264" spans="1:51">
      <c r="A3264">
        <v>104492</v>
      </c>
      <c r="B3264" t="s">
        <v>398</v>
      </c>
      <c r="C3264" t="str">
        <f t="shared" si="380"/>
        <v>05354730631</v>
      </c>
      <c r="D3264" t="str">
        <f t="shared" si="380"/>
        <v>05354730631</v>
      </c>
      <c r="E3264" t="s">
        <v>52</v>
      </c>
      <c r="F3264">
        <v>2015</v>
      </c>
      <c r="G3264" t="str">
        <f>"               F2397"</f>
        <v xml:space="preserve">               F2397</v>
      </c>
      <c r="H3264" s="3">
        <v>42261</v>
      </c>
      <c r="I3264" s="3">
        <v>42263</v>
      </c>
      <c r="J3264" s="3">
        <v>42262</v>
      </c>
      <c r="K3264" s="3">
        <v>42322</v>
      </c>
      <c r="L3264" s="1">
        <v>100</v>
      </c>
      <c r="M3264">
        <v>170</v>
      </c>
      <c r="N3264" s="5">
        <v>17000</v>
      </c>
      <c r="O3264">
        <v>100</v>
      </c>
      <c r="P3264">
        <v>170</v>
      </c>
      <c r="Q3264" s="4">
        <v>17000</v>
      </c>
      <c r="R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 s="3">
        <v>42562</v>
      </c>
      <c r="AC3264" t="s">
        <v>53</v>
      </c>
      <c r="AD3264" t="s">
        <v>53</v>
      </c>
      <c r="AK3264">
        <v>0</v>
      </c>
      <c r="AU3264" s="3">
        <v>42492</v>
      </c>
      <c r="AV3264" s="3">
        <v>42492</v>
      </c>
      <c r="AW3264" t="s">
        <v>54</v>
      </c>
      <c r="AX3264" t="str">
        <f t="shared" si="381"/>
        <v>FOR</v>
      </c>
      <c r="AY3264" t="s">
        <v>55</v>
      </c>
    </row>
    <row r="3265" spans="1:51">
      <c r="A3265">
        <v>104492</v>
      </c>
      <c r="B3265" t="s">
        <v>398</v>
      </c>
      <c r="C3265" t="str">
        <f t="shared" si="380"/>
        <v>05354730631</v>
      </c>
      <c r="D3265" t="str">
        <f t="shared" si="380"/>
        <v>05354730631</v>
      </c>
      <c r="E3265" t="s">
        <v>52</v>
      </c>
      <c r="F3265">
        <v>2015</v>
      </c>
      <c r="G3265" t="str">
        <f>"               F2398"</f>
        <v xml:space="preserve">               F2398</v>
      </c>
      <c r="H3265" s="3">
        <v>42261</v>
      </c>
      <c r="I3265" s="3">
        <v>42263</v>
      </c>
      <c r="J3265" s="3">
        <v>42262</v>
      </c>
      <c r="K3265" s="3">
        <v>42322</v>
      </c>
      <c r="L3265" s="1">
        <v>100</v>
      </c>
      <c r="M3265">
        <v>170</v>
      </c>
      <c r="N3265" s="5">
        <v>17000</v>
      </c>
      <c r="O3265">
        <v>100</v>
      </c>
      <c r="P3265">
        <v>170</v>
      </c>
      <c r="Q3265" s="4">
        <v>17000</v>
      </c>
      <c r="R3265">
        <v>0</v>
      </c>
      <c r="V3265">
        <v>0</v>
      </c>
      <c r="W3265">
        <v>0</v>
      </c>
      <c r="X3265">
        <v>0</v>
      </c>
      <c r="Y3265">
        <v>0</v>
      </c>
      <c r="Z3265">
        <v>0</v>
      </c>
      <c r="AA3265">
        <v>0</v>
      </c>
      <c r="AB3265" s="3">
        <v>42562</v>
      </c>
      <c r="AC3265" t="s">
        <v>53</v>
      </c>
      <c r="AD3265" t="s">
        <v>53</v>
      </c>
      <c r="AK3265">
        <v>0</v>
      </c>
      <c r="AU3265" s="3">
        <v>42492</v>
      </c>
      <c r="AV3265" s="3">
        <v>42492</v>
      </c>
      <c r="AW3265" t="s">
        <v>54</v>
      </c>
      <c r="AX3265" t="str">
        <f t="shared" si="381"/>
        <v>FOR</v>
      </c>
      <c r="AY3265" t="s">
        <v>55</v>
      </c>
    </row>
    <row r="3266" spans="1:51">
      <c r="A3266">
        <v>104492</v>
      </c>
      <c r="B3266" t="s">
        <v>398</v>
      </c>
      <c r="C3266" t="str">
        <f t="shared" si="380"/>
        <v>05354730631</v>
      </c>
      <c r="D3266" t="str">
        <f t="shared" si="380"/>
        <v>05354730631</v>
      </c>
      <c r="E3266" t="s">
        <v>52</v>
      </c>
      <c r="F3266">
        <v>2015</v>
      </c>
      <c r="G3266" t="str">
        <f>"               F2399"</f>
        <v xml:space="preserve">               F2399</v>
      </c>
      <c r="H3266" s="3">
        <v>42261</v>
      </c>
      <c r="I3266" s="3">
        <v>42263</v>
      </c>
      <c r="J3266" s="3">
        <v>42262</v>
      </c>
      <c r="K3266" s="3">
        <v>42322</v>
      </c>
      <c r="L3266" s="1">
        <v>100</v>
      </c>
      <c r="M3266">
        <v>170</v>
      </c>
      <c r="N3266" s="5">
        <v>17000</v>
      </c>
      <c r="O3266">
        <v>100</v>
      </c>
      <c r="P3266">
        <v>170</v>
      </c>
      <c r="Q3266" s="4">
        <v>17000</v>
      </c>
      <c r="R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 s="3">
        <v>42562</v>
      </c>
      <c r="AC3266" t="s">
        <v>53</v>
      </c>
      <c r="AD3266" t="s">
        <v>53</v>
      </c>
      <c r="AK3266">
        <v>0</v>
      </c>
      <c r="AU3266" s="3">
        <v>42492</v>
      </c>
      <c r="AV3266" s="3">
        <v>42492</v>
      </c>
      <c r="AW3266" t="s">
        <v>54</v>
      </c>
      <c r="AX3266" t="str">
        <f t="shared" si="381"/>
        <v>FOR</v>
      </c>
      <c r="AY3266" t="s">
        <v>55</v>
      </c>
    </row>
    <row r="3267" spans="1:51">
      <c r="A3267">
        <v>104492</v>
      </c>
      <c r="B3267" t="s">
        <v>398</v>
      </c>
      <c r="C3267" t="str">
        <f t="shared" si="380"/>
        <v>05354730631</v>
      </c>
      <c r="D3267" t="str">
        <f t="shared" si="380"/>
        <v>05354730631</v>
      </c>
      <c r="E3267" t="s">
        <v>52</v>
      </c>
      <c r="F3267">
        <v>2015</v>
      </c>
      <c r="G3267" t="str">
        <f>"               F2487"</f>
        <v xml:space="preserve">               F2487</v>
      </c>
      <c r="H3267" s="3">
        <v>42269</v>
      </c>
      <c r="I3267" s="3">
        <v>42270</v>
      </c>
      <c r="J3267" s="3">
        <v>42270</v>
      </c>
      <c r="K3267" s="3">
        <v>42330</v>
      </c>
      <c r="L3267" s="1">
        <v>100</v>
      </c>
      <c r="M3267">
        <v>162</v>
      </c>
      <c r="N3267" s="5">
        <v>16200</v>
      </c>
      <c r="O3267">
        <v>100</v>
      </c>
      <c r="P3267">
        <v>162</v>
      </c>
      <c r="Q3267" s="4">
        <v>16200</v>
      </c>
      <c r="R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 s="3">
        <v>42562</v>
      </c>
      <c r="AC3267" t="s">
        <v>53</v>
      </c>
      <c r="AD3267" t="s">
        <v>53</v>
      </c>
      <c r="AK3267">
        <v>0</v>
      </c>
      <c r="AU3267" s="3">
        <v>42492</v>
      </c>
      <c r="AV3267" s="3">
        <v>42492</v>
      </c>
      <c r="AW3267" t="s">
        <v>54</v>
      </c>
      <c r="AX3267" t="str">
        <f t="shared" si="381"/>
        <v>FOR</v>
      </c>
      <c r="AY3267" t="s">
        <v>55</v>
      </c>
    </row>
    <row r="3268" spans="1:51">
      <c r="A3268">
        <v>104492</v>
      </c>
      <c r="B3268" t="s">
        <v>398</v>
      </c>
      <c r="C3268" t="str">
        <f t="shared" si="380"/>
        <v>05354730631</v>
      </c>
      <c r="D3268" t="str">
        <f t="shared" si="380"/>
        <v>05354730631</v>
      </c>
      <c r="E3268" t="s">
        <v>52</v>
      </c>
      <c r="F3268">
        <v>2015</v>
      </c>
      <c r="G3268" t="str">
        <f>"               F2488"</f>
        <v xml:space="preserve">               F2488</v>
      </c>
      <c r="H3268" s="3">
        <v>42269</v>
      </c>
      <c r="I3268" s="3">
        <v>42270</v>
      </c>
      <c r="J3268" s="3">
        <v>42270</v>
      </c>
      <c r="K3268" s="3">
        <v>42330</v>
      </c>
      <c r="L3268" s="1">
        <v>100</v>
      </c>
      <c r="M3268">
        <v>162</v>
      </c>
      <c r="N3268" s="5">
        <v>16200</v>
      </c>
      <c r="O3268">
        <v>100</v>
      </c>
      <c r="P3268">
        <v>162</v>
      </c>
      <c r="Q3268" s="4">
        <v>16200</v>
      </c>
      <c r="R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 s="3">
        <v>42562</v>
      </c>
      <c r="AC3268" t="s">
        <v>53</v>
      </c>
      <c r="AD3268" t="s">
        <v>53</v>
      </c>
      <c r="AK3268">
        <v>0</v>
      </c>
      <c r="AU3268" s="3">
        <v>42492</v>
      </c>
      <c r="AV3268" s="3">
        <v>42492</v>
      </c>
      <c r="AW3268" t="s">
        <v>54</v>
      </c>
      <c r="AX3268" t="str">
        <f t="shared" si="381"/>
        <v>FOR</v>
      </c>
      <c r="AY3268" t="s">
        <v>55</v>
      </c>
    </row>
    <row r="3269" spans="1:51">
      <c r="A3269">
        <v>104492</v>
      </c>
      <c r="B3269" t="s">
        <v>398</v>
      </c>
      <c r="C3269" t="str">
        <f t="shared" si="380"/>
        <v>05354730631</v>
      </c>
      <c r="D3269" t="str">
        <f t="shared" si="380"/>
        <v>05354730631</v>
      </c>
      <c r="E3269" t="s">
        <v>52</v>
      </c>
      <c r="F3269">
        <v>2015</v>
      </c>
      <c r="G3269" t="str">
        <f>"               F2489"</f>
        <v xml:space="preserve">               F2489</v>
      </c>
      <c r="H3269" s="3">
        <v>42269</v>
      </c>
      <c r="I3269" s="3">
        <v>42272</v>
      </c>
      <c r="J3269" s="3">
        <v>42270</v>
      </c>
      <c r="K3269" s="3">
        <v>42330</v>
      </c>
      <c r="L3269" s="1">
        <v>130</v>
      </c>
      <c r="M3269">
        <v>162</v>
      </c>
      <c r="N3269" s="5">
        <v>21060</v>
      </c>
      <c r="O3269">
        <v>130</v>
      </c>
      <c r="P3269">
        <v>162</v>
      </c>
      <c r="Q3269" s="4">
        <v>21060</v>
      </c>
      <c r="R3269">
        <v>0</v>
      </c>
      <c r="V3269">
        <v>0</v>
      </c>
      <c r="W3269">
        <v>0</v>
      </c>
      <c r="X3269">
        <v>0</v>
      </c>
      <c r="Y3269">
        <v>0</v>
      </c>
      <c r="Z3269">
        <v>0</v>
      </c>
      <c r="AA3269">
        <v>0</v>
      </c>
      <c r="AB3269" s="3">
        <v>42562</v>
      </c>
      <c r="AC3269" t="s">
        <v>53</v>
      </c>
      <c r="AD3269" t="s">
        <v>53</v>
      </c>
      <c r="AK3269">
        <v>0</v>
      </c>
      <c r="AU3269" s="3">
        <v>42492</v>
      </c>
      <c r="AV3269" s="3">
        <v>42492</v>
      </c>
      <c r="AW3269" t="s">
        <v>54</v>
      </c>
      <c r="AX3269" t="str">
        <f t="shared" si="381"/>
        <v>FOR</v>
      </c>
      <c r="AY3269" t="s">
        <v>55</v>
      </c>
    </row>
    <row r="3270" spans="1:51">
      <c r="A3270">
        <v>104492</v>
      </c>
      <c r="B3270" t="s">
        <v>398</v>
      </c>
      <c r="C3270" t="str">
        <f t="shared" si="380"/>
        <v>05354730631</v>
      </c>
      <c r="D3270" t="str">
        <f t="shared" si="380"/>
        <v>05354730631</v>
      </c>
      <c r="E3270" t="s">
        <v>52</v>
      </c>
      <c r="F3270">
        <v>2015</v>
      </c>
      <c r="G3270" t="str">
        <f>"               F2501"</f>
        <v xml:space="preserve">               F2501</v>
      </c>
      <c r="H3270" s="3">
        <v>42270</v>
      </c>
      <c r="I3270" s="3">
        <v>42272</v>
      </c>
      <c r="J3270" s="3">
        <v>42271</v>
      </c>
      <c r="K3270" s="3">
        <v>42331</v>
      </c>
      <c r="L3270" s="1">
        <v>100</v>
      </c>
      <c r="M3270">
        <v>161</v>
      </c>
      <c r="N3270" s="5">
        <v>16100</v>
      </c>
      <c r="O3270">
        <v>100</v>
      </c>
      <c r="P3270">
        <v>161</v>
      </c>
      <c r="Q3270" s="4">
        <v>16100</v>
      </c>
      <c r="R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 s="3">
        <v>42562</v>
      </c>
      <c r="AC3270" t="s">
        <v>53</v>
      </c>
      <c r="AD3270" t="s">
        <v>53</v>
      </c>
      <c r="AK3270">
        <v>0</v>
      </c>
      <c r="AU3270" s="3">
        <v>42492</v>
      </c>
      <c r="AV3270" s="3">
        <v>42492</v>
      </c>
      <c r="AW3270" t="s">
        <v>54</v>
      </c>
      <c r="AX3270" t="str">
        <f t="shared" si="381"/>
        <v>FOR</v>
      </c>
      <c r="AY3270" t="s">
        <v>55</v>
      </c>
    </row>
    <row r="3271" spans="1:51">
      <c r="A3271">
        <v>104492</v>
      </c>
      <c r="B3271" t="s">
        <v>398</v>
      </c>
      <c r="C3271" t="str">
        <f t="shared" si="380"/>
        <v>05354730631</v>
      </c>
      <c r="D3271" t="str">
        <f t="shared" si="380"/>
        <v>05354730631</v>
      </c>
      <c r="E3271" t="s">
        <v>52</v>
      </c>
      <c r="F3271">
        <v>2015</v>
      </c>
      <c r="G3271" t="str">
        <f>"               F2506"</f>
        <v xml:space="preserve">               F2506</v>
      </c>
      <c r="H3271" s="3">
        <v>42270</v>
      </c>
      <c r="I3271" s="3">
        <v>42272</v>
      </c>
      <c r="J3271" s="3">
        <v>42271</v>
      </c>
      <c r="K3271" s="3">
        <v>42331</v>
      </c>
      <c r="L3271" s="5">
        <v>1200</v>
      </c>
      <c r="M3271">
        <v>161</v>
      </c>
      <c r="N3271" s="5">
        <v>193200</v>
      </c>
      <c r="O3271" s="4">
        <v>1200</v>
      </c>
      <c r="P3271">
        <v>161</v>
      </c>
      <c r="Q3271" s="4">
        <v>193200</v>
      </c>
      <c r="R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 s="3">
        <v>42562</v>
      </c>
      <c r="AC3271" t="s">
        <v>53</v>
      </c>
      <c r="AD3271" t="s">
        <v>53</v>
      </c>
      <c r="AK3271">
        <v>0</v>
      </c>
      <c r="AU3271" s="3">
        <v>42492</v>
      </c>
      <c r="AV3271" s="3">
        <v>42492</v>
      </c>
      <c r="AW3271" t="s">
        <v>54</v>
      </c>
      <c r="AX3271" t="str">
        <f t="shared" si="381"/>
        <v>FOR</v>
      </c>
      <c r="AY3271" t="s">
        <v>55</v>
      </c>
    </row>
    <row r="3272" spans="1:51">
      <c r="A3272">
        <v>104492</v>
      </c>
      <c r="B3272" t="s">
        <v>398</v>
      </c>
      <c r="C3272" t="str">
        <f t="shared" ref="C3272:D3277" si="382">"05354730631"</f>
        <v>05354730631</v>
      </c>
      <c r="D3272" t="str">
        <f t="shared" si="382"/>
        <v>05354730631</v>
      </c>
      <c r="E3272" t="s">
        <v>52</v>
      </c>
      <c r="F3272">
        <v>2015</v>
      </c>
      <c r="G3272" t="str">
        <f>"               F2576"</f>
        <v xml:space="preserve">               F2576</v>
      </c>
      <c r="H3272" s="3">
        <v>42276</v>
      </c>
      <c r="I3272" s="3">
        <v>42282</v>
      </c>
      <c r="J3272" s="3">
        <v>42277</v>
      </c>
      <c r="K3272" s="3">
        <v>42337</v>
      </c>
      <c r="L3272" s="1">
        <v>130</v>
      </c>
      <c r="M3272">
        <v>155</v>
      </c>
      <c r="N3272" s="5">
        <v>20150</v>
      </c>
      <c r="O3272">
        <v>130</v>
      </c>
      <c r="P3272">
        <v>155</v>
      </c>
      <c r="Q3272" s="4">
        <v>20150</v>
      </c>
      <c r="R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 s="3">
        <v>42562</v>
      </c>
      <c r="AC3272" t="s">
        <v>53</v>
      </c>
      <c r="AD3272" t="s">
        <v>53</v>
      </c>
      <c r="AK3272">
        <v>0</v>
      </c>
      <c r="AU3272" s="3">
        <v>42492</v>
      </c>
      <c r="AV3272" s="3">
        <v>42492</v>
      </c>
      <c r="AW3272" t="s">
        <v>54</v>
      </c>
      <c r="AX3272" t="str">
        <f t="shared" si="381"/>
        <v>FOR</v>
      </c>
      <c r="AY3272" t="s">
        <v>55</v>
      </c>
    </row>
    <row r="3273" spans="1:51">
      <c r="A3273">
        <v>104492</v>
      </c>
      <c r="B3273" t="s">
        <v>398</v>
      </c>
      <c r="C3273" t="str">
        <f t="shared" si="382"/>
        <v>05354730631</v>
      </c>
      <c r="D3273" t="str">
        <f t="shared" si="382"/>
        <v>05354730631</v>
      </c>
      <c r="E3273" t="s">
        <v>52</v>
      </c>
      <c r="F3273">
        <v>2015</v>
      </c>
      <c r="G3273" t="str">
        <f>"               F2635"</f>
        <v xml:space="preserve">               F2635</v>
      </c>
      <c r="H3273" s="3">
        <v>42277</v>
      </c>
      <c r="I3273" s="3">
        <v>42284</v>
      </c>
      <c r="J3273" s="3">
        <v>42283</v>
      </c>
      <c r="K3273" s="3">
        <v>42343</v>
      </c>
      <c r="L3273" s="1">
        <v>130</v>
      </c>
      <c r="M3273">
        <v>149</v>
      </c>
      <c r="N3273" s="5">
        <v>19370</v>
      </c>
      <c r="O3273">
        <v>130</v>
      </c>
      <c r="P3273">
        <v>149</v>
      </c>
      <c r="Q3273" s="4">
        <v>19370</v>
      </c>
      <c r="R3273">
        <v>0</v>
      </c>
      <c r="V3273">
        <v>0</v>
      </c>
      <c r="W3273">
        <v>0</v>
      </c>
      <c r="X3273">
        <v>0</v>
      </c>
      <c r="Y3273">
        <v>0</v>
      </c>
      <c r="Z3273">
        <v>0</v>
      </c>
      <c r="AA3273">
        <v>0</v>
      </c>
      <c r="AB3273" s="3">
        <v>42562</v>
      </c>
      <c r="AC3273" t="s">
        <v>53</v>
      </c>
      <c r="AD3273" t="s">
        <v>53</v>
      </c>
      <c r="AK3273">
        <v>0</v>
      </c>
      <c r="AU3273" s="3">
        <v>42492</v>
      </c>
      <c r="AV3273" s="3">
        <v>42492</v>
      </c>
      <c r="AW3273" t="s">
        <v>54</v>
      </c>
      <c r="AX3273" t="str">
        <f t="shared" si="381"/>
        <v>FOR</v>
      </c>
      <c r="AY3273" t="s">
        <v>55</v>
      </c>
    </row>
    <row r="3274" spans="1:51">
      <c r="A3274">
        <v>104492</v>
      </c>
      <c r="B3274" t="s">
        <v>398</v>
      </c>
      <c r="C3274" t="str">
        <f t="shared" si="382"/>
        <v>05354730631</v>
      </c>
      <c r="D3274" t="str">
        <f t="shared" si="382"/>
        <v>05354730631</v>
      </c>
      <c r="E3274" t="s">
        <v>52</v>
      </c>
      <c r="F3274">
        <v>2015</v>
      </c>
      <c r="G3274" t="str">
        <f>"               F2636"</f>
        <v xml:space="preserve">               F2636</v>
      </c>
      <c r="H3274" s="3">
        <v>42277</v>
      </c>
      <c r="I3274" s="3">
        <v>42284</v>
      </c>
      <c r="J3274" s="3">
        <v>42283</v>
      </c>
      <c r="K3274" s="3">
        <v>42343</v>
      </c>
      <c r="L3274" s="1">
        <v>100</v>
      </c>
      <c r="M3274">
        <v>149</v>
      </c>
      <c r="N3274" s="5">
        <v>14900</v>
      </c>
      <c r="O3274">
        <v>100</v>
      </c>
      <c r="P3274">
        <v>149</v>
      </c>
      <c r="Q3274" s="4">
        <v>14900</v>
      </c>
      <c r="R3274">
        <v>0</v>
      </c>
      <c r="V3274">
        <v>0</v>
      </c>
      <c r="W3274">
        <v>0</v>
      </c>
      <c r="X3274">
        <v>0</v>
      </c>
      <c r="Y3274">
        <v>0</v>
      </c>
      <c r="Z3274">
        <v>0</v>
      </c>
      <c r="AA3274">
        <v>0</v>
      </c>
      <c r="AB3274" s="3">
        <v>42562</v>
      </c>
      <c r="AC3274" t="s">
        <v>53</v>
      </c>
      <c r="AD3274" t="s">
        <v>53</v>
      </c>
      <c r="AK3274">
        <v>0</v>
      </c>
      <c r="AU3274" s="3">
        <v>42492</v>
      </c>
      <c r="AV3274" s="3">
        <v>42492</v>
      </c>
      <c r="AW3274" t="s">
        <v>54</v>
      </c>
      <c r="AX3274" t="str">
        <f t="shared" si="381"/>
        <v>FOR</v>
      </c>
      <c r="AY3274" t="s">
        <v>55</v>
      </c>
    </row>
    <row r="3275" spans="1:51">
      <c r="A3275">
        <v>104492</v>
      </c>
      <c r="B3275" t="s">
        <v>398</v>
      </c>
      <c r="C3275" t="str">
        <f t="shared" si="382"/>
        <v>05354730631</v>
      </c>
      <c r="D3275" t="str">
        <f t="shared" si="382"/>
        <v>05354730631</v>
      </c>
      <c r="E3275" t="s">
        <v>52</v>
      </c>
      <c r="F3275">
        <v>2015</v>
      </c>
      <c r="G3275" t="str">
        <f>"               F2637"</f>
        <v xml:space="preserve">               F2637</v>
      </c>
      <c r="H3275" s="3">
        <v>42277</v>
      </c>
      <c r="I3275" s="3">
        <v>42284</v>
      </c>
      <c r="J3275" s="3">
        <v>42283</v>
      </c>
      <c r="K3275" s="3">
        <v>42343</v>
      </c>
      <c r="L3275" s="1">
        <v>130</v>
      </c>
      <c r="M3275">
        <v>149</v>
      </c>
      <c r="N3275" s="5">
        <v>19370</v>
      </c>
      <c r="O3275">
        <v>130</v>
      </c>
      <c r="P3275">
        <v>149</v>
      </c>
      <c r="Q3275" s="4">
        <v>19370</v>
      </c>
      <c r="R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 s="3">
        <v>42562</v>
      </c>
      <c r="AC3275" t="s">
        <v>53</v>
      </c>
      <c r="AD3275" t="s">
        <v>53</v>
      </c>
      <c r="AK3275">
        <v>0</v>
      </c>
      <c r="AU3275" s="3">
        <v>42492</v>
      </c>
      <c r="AV3275" s="3">
        <v>42492</v>
      </c>
      <c r="AW3275" t="s">
        <v>54</v>
      </c>
      <c r="AX3275" t="str">
        <f t="shared" si="381"/>
        <v>FOR</v>
      </c>
      <c r="AY3275" t="s">
        <v>55</v>
      </c>
    </row>
    <row r="3276" spans="1:51">
      <c r="A3276">
        <v>104492</v>
      </c>
      <c r="B3276" t="s">
        <v>398</v>
      </c>
      <c r="C3276" t="str">
        <f t="shared" si="382"/>
        <v>05354730631</v>
      </c>
      <c r="D3276" t="str">
        <f t="shared" si="382"/>
        <v>05354730631</v>
      </c>
      <c r="E3276" t="s">
        <v>52</v>
      </c>
      <c r="F3276">
        <v>2015</v>
      </c>
      <c r="G3276" t="str">
        <f>"               F2638"</f>
        <v xml:space="preserve">               F2638</v>
      </c>
      <c r="H3276" s="3">
        <v>42277</v>
      </c>
      <c r="I3276" s="3">
        <v>42283</v>
      </c>
      <c r="J3276" s="3">
        <v>42283</v>
      </c>
      <c r="K3276" s="3">
        <v>42343</v>
      </c>
      <c r="L3276" s="1">
        <v>130</v>
      </c>
      <c r="M3276">
        <v>149</v>
      </c>
      <c r="N3276" s="5">
        <v>19370</v>
      </c>
      <c r="O3276">
        <v>130</v>
      </c>
      <c r="P3276">
        <v>149</v>
      </c>
      <c r="Q3276" s="4">
        <v>19370</v>
      </c>
      <c r="R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 s="3">
        <v>42562</v>
      </c>
      <c r="AC3276" t="s">
        <v>53</v>
      </c>
      <c r="AD3276" t="s">
        <v>53</v>
      </c>
      <c r="AK3276">
        <v>0</v>
      </c>
      <c r="AU3276" s="3">
        <v>42492</v>
      </c>
      <c r="AV3276" s="3">
        <v>42492</v>
      </c>
      <c r="AW3276" t="s">
        <v>54</v>
      </c>
      <c r="AX3276" t="str">
        <f t="shared" si="381"/>
        <v>FOR</v>
      </c>
      <c r="AY3276" t="s">
        <v>55</v>
      </c>
    </row>
    <row r="3277" spans="1:51">
      <c r="A3277">
        <v>104492</v>
      </c>
      <c r="B3277" t="s">
        <v>398</v>
      </c>
      <c r="C3277" t="str">
        <f t="shared" si="382"/>
        <v>05354730631</v>
      </c>
      <c r="D3277" t="str">
        <f t="shared" si="382"/>
        <v>05354730631</v>
      </c>
      <c r="E3277" t="s">
        <v>52</v>
      </c>
      <c r="F3277">
        <v>2015</v>
      </c>
      <c r="G3277" t="str">
        <f>"               F2639"</f>
        <v xml:space="preserve">               F2639</v>
      </c>
      <c r="H3277" s="3">
        <v>42277</v>
      </c>
      <c r="I3277" s="3">
        <v>42284</v>
      </c>
      <c r="J3277" s="3">
        <v>42283</v>
      </c>
      <c r="K3277" s="3">
        <v>42343</v>
      </c>
      <c r="L3277" s="1">
        <v>100</v>
      </c>
      <c r="M3277">
        <v>149</v>
      </c>
      <c r="N3277" s="5">
        <v>14900</v>
      </c>
      <c r="O3277">
        <v>100</v>
      </c>
      <c r="P3277">
        <v>149</v>
      </c>
      <c r="Q3277" s="4">
        <v>14900</v>
      </c>
      <c r="R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 s="3">
        <v>42562</v>
      </c>
      <c r="AC3277" t="s">
        <v>53</v>
      </c>
      <c r="AD3277" t="s">
        <v>53</v>
      </c>
      <c r="AK3277">
        <v>0</v>
      </c>
      <c r="AU3277" s="3">
        <v>42492</v>
      </c>
      <c r="AV3277" s="3">
        <v>42492</v>
      </c>
      <c r="AW3277" t="s">
        <v>54</v>
      </c>
      <c r="AX3277" t="str">
        <f t="shared" si="381"/>
        <v>FOR</v>
      </c>
      <c r="AY3277" t="s">
        <v>55</v>
      </c>
    </row>
    <row r="3278" spans="1:51" hidden="1">
      <c r="A3278">
        <v>104516</v>
      </c>
      <c r="B3278" t="s">
        <v>399</v>
      </c>
      <c r="C3278" t="str">
        <f t="shared" ref="C3278:D3281" si="383">"03519500619"</f>
        <v>03519500619</v>
      </c>
      <c r="D3278" t="str">
        <f t="shared" si="383"/>
        <v>03519500619</v>
      </c>
      <c r="E3278" t="s">
        <v>52</v>
      </c>
      <c r="F3278">
        <v>2015</v>
      </c>
      <c r="G3278" t="str">
        <f>"                 534"</f>
        <v xml:space="preserve">                 534</v>
      </c>
      <c r="H3278" s="3">
        <v>42074</v>
      </c>
      <c r="I3278" s="3">
        <v>42086</v>
      </c>
      <c r="J3278" s="3">
        <v>42086</v>
      </c>
      <c r="K3278" s="3">
        <v>42146</v>
      </c>
      <c r="L3278"/>
      <c r="N3278"/>
      <c r="O3278" s="4">
        <v>4358</v>
      </c>
      <c r="P3278">
        <v>256</v>
      </c>
      <c r="Q3278" s="4">
        <v>1115648</v>
      </c>
      <c r="R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 s="3">
        <v>42562</v>
      </c>
      <c r="AC3278" t="s">
        <v>53</v>
      </c>
      <c r="AD3278" t="s">
        <v>53</v>
      </c>
      <c r="AK3278">
        <v>0</v>
      </c>
      <c r="AU3278" s="3">
        <v>42402</v>
      </c>
      <c r="AV3278" s="3">
        <v>42402</v>
      </c>
      <c r="AW3278" t="s">
        <v>54</v>
      </c>
      <c r="AX3278" t="str">
        <f>"AZ1"</f>
        <v>AZ1</v>
      </c>
      <c r="AY3278" t="s">
        <v>74</v>
      </c>
    </row>
    <row r="3279" spans="1:51">
      <c r="A3279">
        <v>104516</v>
      </c>
      <c r="B3279" t="s">
        <v>399</v>
      </c>
      <c r="C3279" t="str">
        <f t="shared" si="383"/>
        <v>03519500619</v>
      </c>
      <c r="D3279" t="str">
        <f t="shared" si="383"/>
        <v>03519500619</v>
      </c>
      <c r="E3279" t="s">
        <v>52</v>
      </c>
      <c r="F3279">
        <v>2015</v>
      </c>
      <c r="G3279" t="str">
        <f>"            005/1755"</f>
        <v xml:space="preserve">            005/1755</v>
      </c>
      <c r="H3279" s="3">
        <v>42166</v>
      </c>
      <c r="I3279" s="3">
        <v>42171</v>
      </c>
      <c r="J3279" s="3">
        <v>42167</v>
      </c>
      <c r="K3279" s="3">
        <v>42227</v>
      </c>
      <c r="L3279" s="5">
        <v>1982</v>
      </c>
      <c r="M3279">
        <v>265</v>
      </c>
      <c r="N3279" s="5">
        <v>525230</v>
      </c>
      <c r="O3279" s="4">
        <v>1982</v>
      </c>
      <c r="P3279">
        <v>265</v>
      </c>
      <c r="Q3279" s="4">
        <v>525230</v>
      </c>
      <c r="R3279">
        <v>0</v>
      </c>
      <c r="V3279">
        <v>0</v>
      </c>
      <c r="W3279">
        <v>0</v>
      </c>
      <c r="X3279">
        <v>0</v>
      </c>
      <c r="Y3279">
        <v>0</v>
      </c>
      <c r="Z3279">
        <v>0</v>
      </c>
      <c r="AA3279">
        <v>0</v>
      </c>
      <c r="AB3279" s="3">
        <v>42562</v>
      </c>
      <c r="AC3279" t="s">
        <v>53</v>
      </c>
      <c r="AD3279" t="s">
        <v>53</v>
      </c>
      <c r="AK3279">
        <v>0</v>
      </c>
      <c r="AU3279" s="3">
        <v>42492</v>
      </c>
      <c r="AV3279" s="3">
        <v>42492</v>
      </c>
      <c r="AW3279" t="s">
        <v>54</v>
      </c>
      <c r="AX3279" t="str">
        <f>"AZ1"</f>
        <v>AZ1</v>
      </c>
      <c r="AY3279" t="s">
        <v>74</v>
      </c>
    </row>
    <row r="3280" spans="1:51">
      <c r="A3280">
        <v>104516</v>
      </c>
      <c r="B3280" t="s">
        <v>399</v>
      </c>
      <c r="C3280" t="str">
        <f t="shared" si="383"/>
        <v>03519500619</v>
      </c>
      <c r="D3280" t="str">
        <f t="shared" si="383"/>
        <v>03519500619</v>
      </c>
      <c r="E3280" t="s">
        <v>52</v>
      </c>
      <c r="F3280">
        <v>2015</v>
      </c>
      <c r="G3280" t="str">
        <f>"            005/4352"</f>
        <v xml:space="preserve">            005/4352</v>
      </c>
      <c r="H3280" s="3">
        <v>42348</v>
      </c>
      <c r="I3280" s="3">
        <v>42352</v>
      </c>
      <c r="J3280" s="3">
        <v>42349</v>
      </c>
      <c r="K3280" s="3">
        <v>42409</v>
      </c>
      <c r="L3280" s="5">
        <v>3698</v>
      </c>
      <c r="M3280">
        <v>83</v>
      </c>
      <c r="N3280" s="5">
        <v>306934</v>
      </c>
      <c r="O3280" s="4">
        <v>3698</v>
      </c>
      <c r="P3280">
        <v>83</v>
      </c>
      <c r="Q3280" s="4">
        <v>306934</v>
      </c>
      <c r="R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 s="3">
        <v>42562</v>
      </c>
      <c r="AC3280" t="s">
        <v>53</v>
      </c>
      <c r="AD3280" t="s">
        <v>53</v>
      </c>
      <c r="AK3280">
        <v>0</v>
      </c>
      <c r="AU3280" s="3">
        <v>42492</v>
      </c>
      <c r="AV3280" s="3">
        <v>42492</v>
      </c>
      <c r="AW3280" t="s">
        <v>54</v>
      </c>
      <c r="AX3280" t="str">
        <f>"AZ1"</f>
        <v>AZ1</v>
      </c>
      <c r="AY3280" t="s">
        <v>74</v>
      </c>
    </row>
    <row r="3281" spans="1:51">
      <c r="A3281">
        <v>104516</v>
      </c>
      <c r="B3281" t="s">
        <v>399</v>
      </c>
      <c r="C3281" t="str">
        <f t="shared" si="383"/>
        <v>03519500619</v>
      </c>
      <c r="D3281" t="str">
        <f t="shared" si="383"/>
        <v>03519500619</v>
      </c>
      <c r="E3281" t="s">
        <v>52</v>
      </c>
      <c r="F3281">
        <v>2016</v>
      </c>
      <c r="G3281" t="str">
        <f>"             005/677"</f>
        <v xml:space="preserve">             005/677</v>
      </c>
      <c r="H3281" s="3">
        <v>42409</v>
      </c>
      <c r="I3281" s="3">
        <v>42437</v>
      </c>
      <c r="J3281" s="3">
        <v>42437</v>
      </c>
      <c r="K3281" s="3">
        <v>42497</v>
      </c>
      <c r="L3281" s="1">
        <v>926</v>
      </c>
      <c r="M3281">
        <v>-5</v>
      </c>
      <c r="N3281" s="5">
        <v>-4630</v>
      </c>
      <c r="O3281">
        <v>926</v>
      </c>
      <c r="P3281">
        <v>-5</v>
      </c>
      <c r="Q3281" s="4">
        <v>-4630</v>
      </c>
      <c r="R3281">
        <v>0</v>
      </c>
      <c r="V3281">
        <v>0</v>
      </c>
      <c r="W3281">
        <v>0</v>
      </c>
      <c r="X3281">
        <v>0</v>
      </c>
      <c r="Y3281">
        <v>926</v>
      </c>
      <c r="Z3281">
        <v>926</v>
      </c>
      <c r="AA3281">
        <v>926</v>
      </c>
      <c r="AB3281" s="3">
        <v>42562</v>
      </c>
      <c r="AC3281" t="s">
        <v>53</v>
      </c>
      <c r="AD3281" t="s">
        <v>53</v>
      </c>
      <c r="AK3281">
        <v>0</v>
      </c>
      <c r="AU3281" s="3">
        <v>42492</v>
      </c>
      <c r="AV3281" s="3">
        <v>42492</v>
      </c>
      <c r="AW3281" t="s">
        <v>54</v>
      </c>
      <c r="AX3281" t="str">
        <f>"AZ1"</f>
        <v>AZ1</v>
      </c>
      <c r="AY3281" t="s">
        <v>74</v>
      </c>
    </row>
    <row r="3282" spans="1:51" hidden="1">
      <c r="A3282">
        <v>104538</v>
      </c>
      <c r="B3282" t="s">
        <v>400</v>
      </c>
      <c r="C3282" t="str">
        <f>"00660040528"</f>
        <v>00660040528</v>
      </c>
      <c r="D3282" t="str">
        <f>"00660040528"</f>
        <v>00660040528</v>
      </c>
      <c r="E3282" t="s">
        <v>52</v>
      </c>
      <c r="F3282">
        <v>2015</v>
      </c>
      <c r="G3282" t="str">
        <f>"                 351"</f>
        <v xml:space="preserve">                 351</v>
      </c>
      <c r="H3282" s="3">
        <v>42082</v>
      </c>
      <c r="I3282" s="3">
        <v>42095</v>
      </c>
      <c r="J3282" s="3">
        <v>42095</v>
      </c>
      <c r="K3282" s="3">
        <v>42155</v>
      </c>
      <c r="L3282"/>
      <c r="N3282"/>
      <c r="O3282" s="4">
        <v>6900</v>
      </c>
      <c r="P3282">
        <v>298</v>
      </c>
      <c r="Q3282" s="4">
        <v>2056200</v>
      </c>
      <c r="R3282">
        <v>0</v>
      </c>
      <c r="V3282">
        <v>0</v>
      </c>
      <c r="W3282">
        <v>0</v>
      </c>
      <c r="X3282">
        <v>0</v>
      </c>
      <c r="Y3282">
        <v>0</v>
      </c>
      <c r="Z3282">
        <v>0</v>
      </c>
      <c r="AA3282">
        <v>0</v>
      </c>
      <c r="AB3282" s="3">
        <v>42562</v>
      </c>
      <c r="AC3282" t="s">
        <v>53</v>
      </c>
      <c r="AD3282" t="s">
        <v>53</v>
      </c>
      <c r="AK3282">
        <v>0</v>
      </c>
      <c r="AU3282" s="3">
        <v>42453</v>
      </c>
      <c r="AV3282" s="3">
        <v>42453</v>
      </c>
      <c r="AW3282" t="s">
        <v>54</v>
      </c>
      <c r="AX3282" t="str">
        <f t="shared" ref="AX3282:AX3313" si="384">"FOR"</f>
        <v>FOR</v>
      </c>
      <c r="AY3282" t="s">
        <v>55</v>
      </c>
    </row>
    <row r="3283" spans="1:51" hidden="1">
      <c r="A3283">
        <v>104538</v>
      </c>
      <c r="B3283" t="s">
        <v>400</v>
      </c>
      <c r="C3283" t="str">
        <f>"00660040528"</f>
        <v>00660040528</v>
      </c>
      <c r="D3283" t="str">
        <f>"00660040528"</f>
        <v>00660040528</v>
      </c>
      <c r="E3283" t="s">
        <v>52</v>
      </c>
      <c r="F3283">
        <v>2015</v>
      </c>
      <c r="G3283" t="str">
        <f>"                 484"</f>
        <v xml:space="preserve">                 484</v>
      </c>
      <c r="H3283" s="3">
        <v>42093</v>
      </c>
      <c r="I3283" s="3">
        <v>42115</v>
      </c>
      <c r="J3283" s="3">
        <v>42115</v>
      </c>
      <c r="K3283" s="3">
        <v>42175</v>
      </c>
      <c r="L3283"/>
      <c r="N3283"/>
      <c r="O3283" s="4">
        <v>6900</v>
      </c>
      <c r="P3283">
        <v>278</v>
      </c>
      <c r="Q3283" s="4">
        <v>1918200</v>
      </c>
      <c r="R3283">
        <v>0</v>
      </c>
      <c r="V3283">
        <v>0</v>
      </c>
      <c r="W3283">
        <v>0</v>
      </c>
      <c r="X3283">
        <v>0</v>
      </c>
      <c r="Y3283">
        <v>0</v>
      </c>
      <c r="Z3283">
        <v>0</v>
      </c>
      <c r="AA3283">
        <v>0</v>
      </c>
      <c r="AB3283" s="3">
        <v>42562</v>
      </c>
      <c r="AC3283" t="s">
        <v>53</v>
      </c>
      <c r="AD3283" t="s">
        <v>53</v>
      </c>
      <c r="AK3283">
        <v>0</v>
      </c>
      <c r="AU3283" s="3">
        <v>42453</v>
      </c>
      <c r="AV3283" s="3">
        <v>42453</v>
      </c>
      <c r="AW3283" t="s">
        <v>54</v>
      </c>
      <c r="AX3283" t="str">
        <f t="shared" si="384"/>
        <v>FOR</v>
      </c>
      <c r="AY3283" t="s">
        <v>55</v>
      </c>
    </row>
    <row r="3284" spans="1:51" hidden="1">
      <c r="A3284">
        <v>104545</v>
      </c>
      <c r="B3284" t="s">
        <v>401</v>
      </c>
      <c r="C3284" t="str">
        <f>"02615000367"</f>
        <v>02615000367</v>
      </c>
      <c r="D3284" t="str">
        <f>"02615000367"</f>
        <v>02615000367</v>
      </c>
      <c r="E3284" t="s">
        <v>52</v>
      </c>
      <c r="F3284">
        <v>2015</v>
      </c>
      <c r="G3284" t="str">
        <f>"                 442"</f>
        <v xml:space="preserve">                 442</v>
      </c>
      <c r="H3284" s="3">
        <v>42063</v>
      </c>
      <c r="I3284" s="3">
        <v>42109</v>
      </c>
      <c r="J3284" s="3">
        <v>42109</v>
      </c>
      <c r="K3284" s="3">
        <v>42169</v>
      </c>
      <c r="L3284"/>
      <c r="N3284"/>
      <c r="O3284">
        <v>118</v>
      </c>
      <c r="P3284">
        <v>239</v>
      </c>
      <c r="Q3284" s="4">
        <v>28202</v>
      </c>
      <c r="R3284">
        <v>0</v>
      </c>
      <c r="V3284">
        <v>0</v>
      </c>
      <c r="W3284">
        <v>0</v>
      </c>
      <c r="X3284">
        <v>0</v>
      </c>
      <c r="Y3284">
        <v>0</v>
      </c>
      <c r="Z3284">
        <v>0</v>
      </c>
      <c r="AA3284">
        <v>0</v>
      </c>
      <c r="AB3284" s="3">
        <v>42562</v>
      </c>
      <c r="AC3284" t="s">
        <v>53</v>
      </c>
      <c r="AD3284" t="s">
        <v>53</v>
      </c>
      <c r="AK3284">
        <v>0</v>
      </c>
      <c r="AU3284" s="3">
        <v>42408</v>
      </c>
      <c r="AV3284" s="3">
        <v>42408</v>
      </c>
      <c r="AW3284" t="s">
        <v>54</v>
      </c>
      <c r="AX3284" t="str">
        <f t="shared" si="384"/>
        <v>FOR</v>
      </c>
      <c r="AY3284" t="s">
        <v>55</v>
      </c>
    </row>
    <row r="3285" spans="1:51" hidden="1">
      <c r="A3285">
        <v>104545</v>
      </c>
      <c r="B3285" t="s">
        <v>401</v>
      </c>
      <c r="C3285" t="str">
        <f>"02615000367"</f>
        <v>02615000367</v>
      </c>
      <c r="D3285" t="str">
        <f>"02615000367"</f>
        <v>02615000367</v>
      </c>
      <c r="E3285" t="s">
        <v>52</v>
      </c>
      <c r="F3285">
        <v>2015</v>
      </c>
      <c r="G3285" t="str">
        <f>"              E-1383"</f>
        <v xml:space="preserve">              E-1383</v>
      </c>
      <c r="H3285" s="3">
        <v>42264</v>
      </c>
      <c r="I3285" s="3">
        <v>42334</v>
      </c>
      <c r="J3285" s="3">
        <v>42333</v>
      </c>
      <c r="K3285" s="3">
        <v>42393</v>
      </c>
      <c r="L3285"/>
      <c r="N3285"/>
      <c r="O3285">
        <v>236</v>
      </c>
      <c r="P3285">
        <v>15</v>
      </c>
      <c r="Q3285" s="4">
        <v>3540</v>
      </c>
      <c r="R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>
        <v>0</v>
      </c>
      <c r="AB3285" s="3">
        <v>42562</v>
      </c>
      <c r="AC3285" t="s">
        <v>53</v>
      </c>
      <c r="AD3285" t="s">
        <v>53</v>
      </c>
      <c r="AK3285">
        <v>0</v>
      </c>
      <c r="AU3285" s="3">
        <v>42408</v>
      </c>
      <c r="AV3285" s="3">
        <v>42408</v>
      </c>
      <c r="AW3285" t="s">
        <v>54</v>
      </c>
      <c r="AX3285" t="str">
        <f t="shared" si="384"/>
        <v>FOR</v>
      </c>
      <c r="AY3285" t="s">
        <v>55</v>
      </c>
    </row>
    <row r="3286" spans="1:51" hidden="1">
      <c r="A3286">
        <v>104560</v>
      </c>
      <c r="B3286" t="s">
        <v>402</v>
      </c>
      <c r="C3286" t="str">
        <f t="shared" ref="C3286:D3306" si="385">"02504501210"</f>
        <v>02504501210</v>
      </c>
      <c r="D3286" t="str">
        <f t="shared" si="385"/>
        <v>02504501210</v>
      </c>
      <c r="E3286" t="s">
        <v>52</v>
      </c>
      <c r="F3286">
        <v>2015</v>
      </c>
      <c r="G3286" t="str">
        <f>"                 151"</f>
        <v xml:space="preserve">                 151</v>
      </c>
      <c r="H3286" s="3">
        <v>42338</v>
      </c>
      <c r="I3286" s="3">
        <v>42339</v>
      </c>
      <c r="J3286" s="3">
        <v>42338</v>
      </c>
      <c r="K3286" s="3">
        <v>42398</v>
      </c>
      <c r="L3286"/>
      <c r="N3286"/>
      <c r="O3286" s="4">
        <v>1580</v>
      </c>
      <c r="P3286">
        <v>3</v>
      </c>
      <c r="Q3286" s="4">
        <v>4740</v>
      </c>
      <c r="R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 s="3">
        <v>42562</v>
      </c>
      <c r="AC3286" t="s">
        <v>53</v>
      </c>
      <c r="AD3286" t="s">
        <v>53</v>
      </c>
      <c r="AK3286">
        <v>0</v>
      </c>
      <c r="AU3286" s="3">
        <v>42401</v>
      </c>
      <c r="AV3286" s="3">
        <v>42401</v>
      </c>
      <c r="AW3286" t="s">
        <v>54</v>
      </c>
      <c r="AX3286" t="str">
        <f t="shared" si="384"/>
        <v>FOR</v>
      </c>
      <c r="AY3286" t="s">
        <v>55</v>
      </c>
    </row>
    <row r="3287" spans="1:51" hidden="1">
      <c r="A3287">
        <v>104560</v>
      </c>
      <c r="B3287" t="s">
        <v>402</v>
      </c>
      <c r="C3287" t="str">
        <f t="shared" si="385"/>
        <v>02504501210</v>
      </c>
      <c r="D3287" t="str">
        <f t="shared" si="385"/>
        <v>02504501210</v>
      </c>
      <c r="E3287" t="s">
        <v>52</v>
      </c>
      <c r="F3287">
        <v>2015</v>
      </c>
      <c r="G3287" t="str">
        <f>"                 152"</f>
        <v xml:space="preserve">                 152</v>
      </c>
      <c r="H3287" s="3">
        <v>42338</v>
      </c>
      <c r="I3287" s="3">
        <v>42339</v>
      </c>
      <c r="J3287" s="3">
        <v>42339</v>
      </c>
      <c r="K3287" s="3">
        <v>42399</v>
      </c>
      <c r="L3287"/>
      <c r="N3287"/>
      <c r="O3287">
        <v>399</v>
      </c>
      <c r="P3287">
        <v>2</v>
      </c>
      <c r="Q3287">
        <v>798</v>
      </c>
      <c r="R3287">
        <v>0</v>
      </c>
      <c r="V3287">
        <v>0</v>
      </c>
      <c r="W3287">
        <v>0</v>
      </c>
      <c r="X3287">
        <v>0</v>
      </c>
      <c r="Y3287">
        <v>0</v>
      </c>
      <c r="Z3287">
        <v>0</v>
      </c>
      <c r="AA3287">
        <v>0</v>
      </c>
      <c r="AB3287" s="3">
        <v>42562</v>
      </c>
      <c r="AC3287" t="s">
        <v>53</v>
      </c>
      <c r="AD3287" t="s">
        <v>53</v>
      </c>
      <c r="AK3287">
        <v>0</v>
      </c>
      <c r="AU3287" s="3">
        <v>42401</v>
      </c>
      <c r="AV3287" s="3">
        <v>42401</v>
      </c>
      <c r="AW3287" t="s">
        <v>54</v>
      </c>
      <c r="AX3287" t="str">
        <f t="shared" si="384"/>
        <v>FOR</v>
      </c>
      <c r="AY3287" t="s">
        <v>55</v>
      </c>
    </row>
    <row r="3288" spans="1:51" hidden="1">
      <c r="A3288">
        <v>104560</v>
      </c>
      <c r="B3288" t="s">
        <v>402</v>
      </c>
      <c r="C3288" t="str">
        <f t="shared" si="385"/>
        <v>02504501210</v>
      </c>
      <c r="D3288" t="str">
        <f t="shared" si="385"/>
        <v>02504501210</v>
      </c>
      <c r="E3288" t="s">
        <v>52</v>
      </c>
      <c r="F3288">
        <v>2015</v>
      </c>
      <c r="G3288" t="str">
        <f>"                 153"</f>
        <v xml:space="preserve">                 153</v>
      </c>
      <c r="H3288" s="3">
        <v>42338</v>
      </c>
      <c r="I3288" s="3">
        <v>42339</v>
      </c>
      <c r="J3288" s="3">
        <v>42338</v>
      </c>
      <c r="K3288" s="3">
        <v>42398</v>
      </c>
      <c r="L3288"/>
      <c r="N3288"/>
      <c r="O3288" s="4">
        <v>1250</v>
      </c>
      <c r="P3288">
        <v>3</v>
      </c>
      <c r="Q3288" s="4">
        <v>3750</v>
      </c>
      <c r="R3288">
        <v>0</v>
      </c>
      <c r="V3288">
        <v>0</v>
      </c>
      <c r="W3288">
        <v>0</v>
      </c>
      <c r="X3288">
        <v>0</v>
      </c>
      <c r="Y3288">
        <v>0</v>
      </c>
      <c r="Z3288">
        <v>0</v>
      </c>
      <c r="AA3288">
        <v>0</v>
      </c>
      <c r="AB3288" s="3">
        <v>42562</v>
      </c>
      <c r="AC3288" t="s">
        <v>53</v>
      </c>
      <c r="AD3288" t="s">
        <v>53</v>
      </c>
      <c r="AK3288">
        <v>0</v>
      </c>
      <c r="AU3288" s="3">
        <v>42401</v>
      </c>
      <c r="AV3288" s="3">
        <v>42401</v>
      </c>
      <c r="AW3288" t="s">
        <v>54</v>
      </c>
      <c r="AX3288" t="str">
        <f t="shared" si="384"/>
        <v>FOR</v>
      </c>
      <c r="AY3288" t="s">
        <v>55</v>
      </c>
    </row>
    <row r="3289" spans="1:51" hidden="1">
      <c r="A3289">
        <v>104560</v>
      </c>
      <c r="B3289" t="s">
        <v>402</v>
      </c>
      <c r="C3289" t="str">
        <f t="shared" si="385"/>
        <v>02504501210</v>
      </c>
      <c r="D3289" t="str">
        <f t="shared" si="385"/>
        <v>02504501210</v>
      </c>
      <c r="E3289" t="s">
        <v>52</v>
      </c>
      <c r="F3289">
        <v>2015</v>
      </c>
      <c r="G3289" t="str">
        <f>"                 154"</f>
        <v xml:space="preserve">                 154</v>
      </c>
      <c r="H3289" s="3">
        <v>42338</v>
      </c>
      <c r="I3289" s="3">
        <v>42339</v>
      </c>
      <c r="J3289" s="3">
        <v>42338</v>
      </c>
      <c r="K3289" s="3">
        <v>42398</v>
      </c>
      <c r="L3289"/>
      <c r="N3289"/>
      <c r="O3289">
        <v>145</v>
      </c>
      <c r="P3289">
        <v>3</v>
      </c>
      <c r="Q3289">
        <v>435</v>
      </c>
      <c r="R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 s="3">
        <v>42562</v>
      </c>
      <c r="AC3289" t="s">
        <v>53</v>
      </c>
      <c r="AD3289" t="s">
        <v>53</v>
      </c>
      <c r="AK3289">
        <v>0</v>
      </c>
      <c r="AU3289" s="3">
        <v>42401</v>
      </c>
      <c r="AV3289" s="3">
        <v>42401</v>
      </c>
      <c r="AW3289" t="s">
        <v>54</v>
      </c>
      <c r="AX3289" t="str">
        <f t="shared" si="384"/>
        <v>FOR</v>
      </c>
      <c r="AY3289" t="s">
        <v>55</v>
      </c>
    </row>
    <row r="3290" spans="1:51" hidden="1">
      <c r="A3290">
        <v>104560</v>
      </c>
      <c r="B3290" t="s">
        <v>402</v>
      </c>
      <c r="C3290" t="str">
        <f t="shared" si="385"/>
        <v>02504501210</v>
      </c>
      <c r="D3290" t="str">
        <f t="shared" si="385"/>
        <v>02504501210</v>
      </c>
      <c r="E3290" t="s">
        <v>52</v>
      </c>
      <c r="F3290">
        <v>2015</v>
      </c>
      <c r="G3290" t="str">
        <f>"                 159"</f>
        <v xml:space="preserve">                 159</v>
      </c>
      <c r="H3290" s="3">
        <v>42366</v>
      </c>
      <c r="I3290" s="3">
        <v>42368</v>
      </c>
      <c r="J3290" s="3">
        <v>42366</v>
      </c>
      <c r="K3290" s="3">
        <v>42426</v>
      </c>
      <c r="L3290"/>
      <c r="N3290"/>
      <c r="O3290">
        <v>950</v>
      </c>
      <c r="P3290">
        <v>-10</v>
      </c>
      <c r="Q3290" s="4">
        <v>-9500</v>
      </c>
      <c r="R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 s="3">
        <v>42562</v>
      </c>
      <c r="AC3290" t="s">
        <v>53</v>
      </c>
      <c r="AD3290" t="s">
        <v>53</v>
      </c>
      <c r="AK3290">
        <v>0</v>
      </c>
      <c r="AU3290" s="3">
        <v>42416</v>
      </c>
      <c r="AV3290" s="3">
        <v>42416</v>
      </c>
      <c r="AW3290" t="s">
        <v>54</v>
      </c>
      <c r="AX3290" t="str">
        <f t="shared" si="384"/>
        <v>FOR</v>
      </c>
      <c r="AY3290" t="s">
        <v>55</v>
      </c>
    </row>
    <row r="3291" spans="1:51" hidden="1">
      <c r="A3291">
        <v>104560</v>
      </c>
      <c r="B3291" t="s">
        <v>402</v>
      </c>
      <c r="C3291" t="str">
        <f t="shared" si="385"/>
        <v>02504501210</v>
      </c>
      <c r="D3291" t="str">
        <f t="shared" si="385"/>
        <v>02504501210</v>
      </c>
      <c r="E3291" t="s">
        <v>52</v>
      </c>
      <c r="F3291">
        <v>2015</v>
      </c>
      <c r="G3291" t="str">
        <f>"                 160"</f>
        <v xml:space="preserve">                 160</v>
      </c>
      <c r="H3291" s="3">
        <v>42366</v>
      </c>
      <c r="I3291" s="3">
        <v>42368</v>
      </c>
      <c r="J3291" s="3">
        <v>42366</v>
      </c>
      <c r="K3291" s="3">
        <v>42426</v>
      </c>
      <c r="L3291"/>
      <c r="N3291"/>
      <c r="O3291" s="4">
        <v>3300</v>
      </c>
      <c r="P3291">
        <v>-10</v>
      </c>
      <c r="Q3291" s="4">
        <v>-33000</v>
      </c>
      <c r="R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 s="3">
        <v>42562</v>
      </c>
      <c r="AC3291" t="s">
        <v>53</v>
      </c>
      <c r="AD3291" t="s">
        <v>53</v>
      </c>
      <c r="AK3291">
        <v>0</v>
      </c>
      <c r="AU3291" s="3">
        <v>42416</v>
      </c>
      <c r="AV3291" s="3">
        <v>42416</v>
      </c>
      <c r="AW3291" t="s">
        <v>54</v>
      </c>
      <c r="AX3291" t="str">
        <f t="shared" si="384"/>
        <v>FOR</v>
      </c>
      <c r="AY3291" t="s">
        <v>55</v>
      </c>
    </row>
    <row r="3292" spans="1:51" hidden="1">
      <c r="A3292">
        <v>104560</v>
      </c>
      <c r="B3292" t="s">
        <v>402</v>
      </c>
      <c r="C3292" t="str">
        <f t="shared" si="385"/>
        <v>02504501210</v>
      </c>
      <c r="D3292" t="str">
        <f t="shared" si="385"/>
        <v>02504501210</v>
      </c>
      <c r="E3292" t="s">
        <v>52</v>
      </c>
      <c r="F3292">
        <v>2015</v>
      </c>
      <c r="G3292" t="str">
        <f>"                 163"</f>
        <v xml:space="preserve">                 163</v>
      </c>
      <c r="H3292" s="3">
        <v>42369</v>
      </c>
      <c r="I3292" s="3">
        <v>42369</v>
      </c>
      <c r="J3292" s="3">
        <v>42369</v>
      </c>
      <c r="K3292" s="3">
        <v>42429</v>
      </c>
      <c r="L3292"/>
      <c r="N3292"/>
      <c r="O3292" s="4">
        <v>1580</v>
      </c>
      <c r="P3292">
        <v>-13</v>
      </c>
      <c r="Q3292" s="4">
        <v>-20540</v>
      </c>
      <c r="R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 s="3">
        <v>42562</v>
      </c>
      <c r="AC3292" t="s">
        <v>53</v>
      </c>
      <c r="AD3292" t="s">
        <v>53</v>
      </c>
      <c r="AK3292">
        <v>0</v>
      </c>
      <c r="AU3292" s="3">
        <v>42416</v>
      </c>
      <c r="AV3292" s="3">
        <v>42416</v>
      </c>
      <c r="AW3292" t="s">
        <v>54</v>
      </c>
      <c r="AX3292" t="str">
        <f t="shared" si="384"/>
        <v>FOR</v>
      </c>
      <c r="AY3292" t="s">
        <v>55</v>
      </c>
    </row>
    <row r="3293" spans="1:51" hidden="1">
      <c r="A3293">
        <v>104560</v>
      </c>
      <c r="B3293" t="s">
        <v>402</v>
      </c>
      <c r="C3293" t="str">
        <f t="shared" si="385"/>
        <v>02504501210</v>
      </c>
      <c r="D3293" t="str">
        <f t="shared" si="385"/>
        <v>02504501210</v>
      </c>
      <c r="E3293" t="s">
        <v>52</v>
      </c>
      <c r="F3293">
        <v>2015</v>
      </c>
      <c r="G3293" t="str">
        <f>"                 164"</f>
        <v xml:space="preserve">                 164</v>
      </c>
      <c r="H3293" s="3">
        <v>42369</v>
      </c>
      <c r="I3293" s="3">
        <v>42369</v>
      </c>
      <c r="J3293" s="3">
        <v>42369</v>
      </c>
      <c r="K3293" s="3">
        <v>42429</v>
      </c>
      <c r="L3293"/>
      <c r="N3293"/>
      <c r="O3293">
        <v>399</v>
      </c>
      <c r="P3293">
        <v>-13</v>
      </c>
      <c r="Q3293" s="4">
        <v>-5187</v>
      </c>
      <c r="R3293">
        <v>0</v>
      </c>
      <c r="V3293">
        <v>0</v>
      </c>
      <c r="W3293">
        <v>0</v>
      </c>
      <c r="X3293">
        <v>0</v>
      </c>
      <c r="Y3293">
        <v>0</v>
      </c>
      <c r="Z3293">
        <v>0</v>
      </c>
      <c r="AA3293">
        <v>0</v>
      </c>
      <c r="AB3293" s="3">
        <v>42562</v>
      </c>
      <c r="AC3293" t="s">
        <v>53</v>
      </c>
      <c r="AD3293" t="s">
        <v>53</v>
      </c>
      <c r="AK3293">
        <v>0</v>
      </c>
      <c r="AU3293" s="3">
        <v>42416</v>
      </c>
      <c r="AV3293" s="3">
        <v>42416</v>
      </c>
      <c r="AW3293" t="s">
        <v>54</v>
      </c>
      <c r="AX3293" t="str">
        <f t="shared" si="384"/>
        <v>FOR</v>
      </c>
      <c r="AY3293" t="s">
        <v>55</v>
      </c>
    </row>
    <row r="3294" spans="1:51" hidden="1">
      <c r="A3294">
        <v>104560</v>
      </c>
      <c r="B3294" t="s">
        <v>402</v>
      </c>
      <c r="C3294" t="str">
        <f t="shared" si="385"/>
        <v>02504501210</v>
      </c>
      <c r="D3294" t="str">
        <f t="shared" si="385"/>
        <v>02504501210</v>
      </c>
      <c r="E3294" t="s">
        <v>52</v>
      </c>
      <c r="F3294">
        <v>2015</v>
      </c>
      <c r="G3294" t="str">
        <f>"                 165"</f>
        <v xml:space="preserve">                 165</v>
      </c>
      <c r="H3294" s="3">
        <v>42369</v>
      </c>
      <c r="I3294" s="3">
        <v>42369</v>
      </c>
      <c r="J3294" s="3">
        <v>42369</v>
      </c>
      <c r="K3294" s="3">
        <v>42429</v>
      </c>
      <c r="L3294"/>
      <c r="N3294"/>
      <c r="O3294" s="4">
        <v>1250</v>
      </c>
      <c r="P3294">
        <v>-13</v>
      </c>
      <c r="Q3294" s="4">
        <v>-16250</v>
      </c>
      <c r="R3294">
        <v>0</v>
      </c>
      <c r="V3294">
        <v>0</v>
      </c>
      <c r="W3294">
        <v>0</v>
      </c>
      <c r="X3294">
        <v>0</v>
      </c>
      <c r="Y3294">
        <v>0</v>
      </c>
      <c r="Z3294">
        <v>0</v>
      </c>
      <c r="AA3294">
        <v>0</v>
      </c>
      <c r="AB3294" s="3">
        <v>42562</v>
      </c>
      <c r="AC3294" t="s">
        <v>53</v>
      </c>
      <c r="AD3294" t="s">
        <v>53</v>
      </c>
      <c r="AK3294">
        <v>0</v>
      </c>
      <c r="AU3294" s="3">
        <v>42416</v>
      </c>
      <c r="AV3294" s="3">
        <v>42416</v>
      </c>
      <c r="AW3294" t="s">
        <v>54</v>
      </c>
      <c r="AX3294" t="str">
        <f t="shared" si="384"/>
        <v>FOR</v>
      </c>
      <c r="AY3294" t="s">
        <v>55</v>
      </c>
    </row>
    <row r="3295" spans="1:51" hidden="1">
      <c r="A3295">
        <v>104560</v>
      </c>
      <c r="B3295" t="s">
        <v>402</v>
      </c>
      <c r="C3295" t="str">
        <f t="shared" si="385"/>
        <v>02504501210</v>
      </c>
      <c r="D3295" t="str">
        <f t="shared" si="385"/>
        <v>02504501210</v>
      </c>
      <c r="E3295" t="s">
        <v>52</v>
      </c>
      <c r="F3295">
        <v>2016</v>
      </c>
      <c r="G3295" t="str">
        <f>"                   7"</f>
        <v xml:space="preserve">                   7</v>
      </c>
      <c r="H3295" s="3">
        <v>42399</v>
      </c>
      <c r="I3295" s="3">
        <v>42402</v>
      </c>
      <c r="J3295" s="3">
        <v>42401</v>
      </c>
      <c r="K3295" s="3">
        <v>42461</v>
      </c>
      <c r="L3295"/>
      <c r="N3295"/>
      <c r="O3295" s="4">
        <v>21400</v>
      </c>
      <c r="P3295">
        <v>-8</v>
      </c>
      <c r="Q3295" s="4">
        <v>-171200</v>
      </c>
      <c r="R3295">
        <v>0</v>
      </c>
      <c r="V3295">
        <v>0</v>
      </c>
      <c r="W3295">
        <v>0</v>
      </c>
      <c r="X3295">
        <v>0</v>
      </c>
      <c r="Y3295" s="4">
        <v>26108</v>
      </c>
      <c r="Z3295" s="4">
        <v>26108</v>
      </c>
      <c r="AA3295" s="4">
        <v>26108</v>
      </c>
      <c r="AB3295" s="3">
        <v>42562</v>
      </c>
      <c r="AC3295" t="s">
        <v>53</v>
      </c>
      <c r="AD3295" t="s">
        <v>53</v>
      </c>
      <c r="AK3295">
        <v>0</v>
      </c>
      <c r="AU3295" s="3">
        <v>42453</v>
      </c>
      <c r="AV3295" s="3">
        <v>42453</v>
      </c>
      <c r="AW3295" t="s">
        <v>54</v>
      </c>
      <c r="AX3295" t="str">
        <f t="shared" si="384"/>
        <v>FOR</v>
      </c>
      <c r="AY3295" t="s">
        <v>55</v>
      </c>
    </row>
    <row r="3296" spans="1:51" hidden="1">
      <c r="A3296">
        <v>104560</v>
      </c>
      <c r="B3296" t="s">
        <v>402</v>
      </c>
      <c r="C3296" t="str">
        <f t="shared" si="385"/>
        <v>02504501210</v>
      </c>
      <c r="D3296" t="str">
        <f t="shared" si="385"/>
        <v>02504501210</v>
      </c>
      <c r="E3296" t="s">
        <v>52</v>
      </c>
      <c r="F3296">
        <v>2016</v>
      </c>
      <c r="G3296" t="str">
        <f>"                   8"</f>
        <v xml:space="preserve">                   8</v>
      </c>
      <c r="H3296" s="3">
        <v>42399</v>
      </c>
      <c r="I3296" s="3">
        <v>42402</v>
      </c>
      <c r="J3296" s="3">
        <v>42402</v>
      </c>
      <c r="K3296" s="3">
        <v>42462</v>
      </c>
      <c r="L3296"/>
      <c r="N3296"/>
      <c r="O3296" s="4">
        <v>25484</v>
      </c>
      <c r="P3296">
        <v>-9</v>
      </c>
      <c r="Q3296" s="4">
        <v>-229356</v>
      </c>
      <c r="R3296">
        <v>0</v>
      </c>
      <c r="V3296">
        <v>0</v>
      </c>
      <c r="W3296">
        <v>0</v>
      </c>
      <c r="X3296">
        <v>0</v>
      </c>
      <c r="Y3296" s="4">
        <v>31090.48</v>
      </c>
      <c r="Z3296" s="4">
        <v>31090.48</v>
      </c>
      <c r="AA3296" s="4">
        <v>31090.48</v>
      </c>
      <c r="AB3296" s="3">
        <v>42562</v>
      </c>
      <c r="AC3296" t="s">
        <v>53</v>
      </c>
      <c r="AD3296" t="s">
        <v>53</v>
      </c>
      <c r="AK3296">
        <v>0</v>
      </c>
      <c r="AU3296" s="3">
        <v>42453</v>
      </c>
      <c r="AV3296" s="3">
        <v>42453</v>
      </c>
      <c r="AW3296" t="s">
        <v>54</v>
      </c>
      <c r="AX3296" t="str">
        <f t="shared" si="384"/>
        <v>FOR</v>
      </c>
      <c r="AY3296" t="s">
        <v>55</v>
      </c>
    </row>
    <row r="3297" spans="1:51" hidden="1">
      <c r="A3297">
        <v>104560</v>
      </c>
      <c r="B3297" t="s">
        <v>402</v>
      </c>
      <c r="C3297" t="str">
        <f t="shared" si="385"/>
        <v>02504501210</v>
      </c>
      <c r="D3297" t="str">
        <f t="shared" si="385"/>
        <v>02504501210</v>
      </c>
      <c r="E3297" t="s">
        <v>52</v>
      </c>
      <c r="F3297">
        <v>2016</v>
      </c>
      <c r="G3297" t="str">
        <f>"                   9"</f>
        <v xml:space="preserve">                   9</v>
      </c>
      <c r="H3297" s="3">
        <v>42399</v>
      </c>
      <c r="I3297" s="3">
        <v>42404</v>
      </c>
      <c r="J3297" s="3">
        <v>42401</v>
      </c>
      <c r="K3297" s="3">
        <v>42461</v>
      </c>
      <c r="L3297"/>
      <c r="N3297"/>
      <c r="O3297">
        <v>399</v>
      </c>
      <c r="P3297">
        <v>-8</v>
      </c>
      <c r="Q3297" s="4">
        <v>-3192</v>
      </c>
      <c r="R3297">
        <v>0</v>
      </c>
      <c r="V3297">
        <v>0</v>
      </c>
      <c r="W3297">
        <v>0</v>
      </c>
      <c r="X3297">
        <v>0</v>
      </c>
      <c r="Y3297">
        <v>486.78</v>
      </c>
      <c r="Z3297">
        <v>486.78</v>
      </c>
      <c r="AA3297">
        <v>486.78</v>
      </c>
      <c r="AB3297" s="3">
        <v>42562</v>
      </c>
      <c r="AC3297" t="s">
        <v>53</v>
      </c>
      <c r="AD3297" t="s">
        <v>53</v>
      </c>
      <c r="AK3297">
        <v>0</v>
      </c>
      <c r="AU3297" s="3">
        <v>42453</v>
      </c>
      <c r="AV3297" s="3">
        <v>42453</v>
      </c>
      <c r="AW3297" t="s">
        <v>54</v>
      </c>
      <c r="AX3297" t="str">
        <f t="shared" si="384"/>
        <v>FOR</v>
      </c>
      <c r="AY3297" t="s">
        <v>55</v>
      </c>
    </row>
    <row r="3298" spans="1:51" hidden="1">
      <c r="A3298">
        <v>104560</v>
      </c>
      <c r="B3298" t="s">
        <v>402</v>
      </c>
      <c r="C3298" t="str">
        <f t="shared" si="385"/>
        <v>02504501210</v>
      </c>
      <c r="D3298" t="str">
        <f t="shared" si="385"/>
        <v>02504501210</v>
      </c>
      <c r="E3298" t="s">
        <v>52</v>
      </c>
      <c r="F3298">
        <v>2016</v>
      </c>
      <c r="G3298" t="str">
        <f>"                  10"</f>
        <v xml:space="preserve">                  10</v>
      </c>
      <c r="H3298" s="3">
        <v>42399</v>
      </c>
      <c r="I3298" s="3">
        <v>42404</v>
      </c>
      <c r="J3298" s="3">
        <v>42401</v>
      </c>
      <c r="K3298" s="3">
        <v>42461</v>
      </c>
      <c r="L3298"/>
      <c r="N3298"/>
      <c r="O3298">
        <v>776</v>
      </c>
      <c r="P3298">
        <v>-8</v>
      </c>
      <c r="Q3298" s="4">
        <v>-6208</v>
      </c>
      <c r="R3298">
        <v>0</v>
      </c>
      <c r="V3298">
        <v>0</v>
      </c>
      <c r="W3298">
        <v>0</v>
      </c>
      <c r="X3298">
        <v>0</v>
      </c>
      <c r="Y3298">
        <v>946.72</v>
      </c>
      <c r="Z3298">
        <v>946.72</v>
      </c>
      <c r="AA3298">
        <v>946.72</v>
      </c>
      <c r="AB3298" s="3">
        <v>42562</v>
      </c>
      <c r="AC3298" t="s">
        <v>53</v>
      </c>
      <c r="AD3298" t="s">
        <v>53</v>
      </c>
      <c r="AK3298">
        <v>0</v>
      </c>
      <c r="AU3298" s="3">
        <v>42453</v>
      </c>
      <c r="AV3298" s="3">
        <v>42453</v>
      </c>
      <c r="AW3298" t="s">
        <v>54</v>
      </c>
      <c r="AX3298" t="str">
        <f t="shared" si="384"/>
        <v>FOR</v>
      </c>
      <c r="AY3298" t="s">
        <v>55</v>
      </c>
    </row>
    <row r="3299" spans="1:51" hidden="1">
      <c r="A3299">
        <v>104560</v>
      </c>
      <c r="B3299" t="s">
        <v>402</v>
      </c>
      <c r="C3299" t="str">
        <f t="shared" si="385"/>
        <v>02504501210</v>
      </c>
      <c r="D3299" t="str">
        <f t="shared" si="385"/>
        <v>02504501210</v>
      </c>
      <c r="E3299" t="s">
        <v>52</v>
      </c>
      <c r="F3299">
        <v>2016</v>
      </c>
      <c r="G3299" t="str">
        <f>"                  11"</f>
        <v xml:space="preserve">                  11</v>
      </c>
      <c r="H3299" s="3">
        <v>42399</v>
      </c>
      <c r="I3299" s="3">
        <v>42404</v>
      </c>
      <c r="J3299" s="3">
        <v>42401</v>
      </c>
      <c r="K3299" s="3">
        <v>42461</v>
      </c>
      <c r="L3299"/>
      <c r="N3299"/>
      <c r="O3299">
        <v>873</v>
      </c>
      <c r="P3299">
        <v>-8</v>
      </c>
      <c r="Q3299" s="4">
        <v>-6984</v>
      </c>
      <c r="R3299">
        <v>0</v>
      </c>
      <c r="V3299">
        <v>0</v>
      </c>
      <c r="W3299">
        <v>0</v>
      </c>
      <c r="X3299">
        <v>0</v>
      </c>
      <c r="Y3299" s="4">
        <v>1065.06</v>
      </c>
      <c r="Z3299" s="4">
        <v>1065.06</v>
      </c>
      <c r="AA3299" s="4">
        <v>1065.06</v>
      </c>
      <c r="AB3299" s="3">
        <v>42562</v>
      </c>
      <c r="AC3299" t="s">
        <v>53</v>
      </c>
      <c r="AD3299" t="s">
        <v>53</v>
      </c>
      <c r="AK3299">
        <v>0</v>
      </c>
      <c r="AU3299" s="3">
        <v>42453</v>
      </c>
      <c r="AV3299" s="3">
        <v>42453</v>
      </c>
      <c r="AW3299" t="s">
        <v>54</v>
      </c>
      <c r="AX3299" t="str">
        <f t="shared" si="384"/>
        <v>FOR</v>
      </c>
      <c r="AY3299" t="s">
        <v>55</v>
      </c>
    </row>
    <row r="3300" spans="1:51" hidden="1">
      <c r="A3300">
        <v>104560</v>
      </c>
      <c r="B3300" t="s">
        <v>402</v>
      </c>
      <c r="C3300" t="str">
        <f t="shared" si="385"/>
        <v>02504501210</v>
      </c>
      <c r="D3300" t="str">
        <f t="shared" si="385"/>
        <v>02504501210</v>
      </c>
      <c r="E3300" t="s">
        <v>52</v>
      </c>
      <c r="F3300">
        <v>2016</v>
      </c>
      <c r="G3300" t="str">
        <f>"                  12"</f>
        <v xml:space="preserve">                  12</v>
      </c>
      <c r="H3300" s="3">
        <v>42399</v>
      </c>
      <c r="I3300" s="3">
        <v>42404</v>
      </c>
      <c r="J3300" s="3">
        <v>42403</v>
      </c>
      <c r="K3300" s="3">
        <v>42463</v>
      </c>
      <c r="L3300"/>
      <c r="N3300"/>
      <c r="O3300">
        <v>733.34</v>
      </c>
      <c r="P3300">
        <v>-10</v>
      </c>
      <c r="Q3300" s="4">
        <v>-7333.4</v>
      </c>
      <c r="R3300">
        <v>0</v>
      </c>
      <c r="V3300">
        <v>0</v>
      </c>
      <c r="W3300">
        <v>0</v>
      </c>
      <c r="X3300">
        <v>0</v>
      </c>
      <c r="Y3300">
        <v>894.67</v>
      </c>
      <c r="Z3300">
        <v>894.67</v>
      </c>
      <c r="AA3300">
        <v>894.67</v>
      </c>
      <c r="AB3300" s="3">
        <v>42562</v>
      </c>
      <c r="AC3300" t="s">
        <v>53</v>
      </c>
      <c r="AD3300" t="s">
        <v>53</v>
      </c>
      <c r="AK3300">
        <v>0</v>
      </c>
      <c r="AU3300" s="3">
        <v>42453</v>
      </c>
      <c r="AV3300" s="3">
        <v>42453</v>
      </c>
      <c r="AW3300" t="s">
        <v>54</v>
      </c>
      <c r="AX3300" t="str">
        <f t="shared" si="384"/>
        <v>FOR</v>
      </c>
      <c r="AY3300" t="s">
        <v>55</v>
      </c>
    </row>
    <row r="3301" spans="1:51" hidden="1">
      <c r="A3301">
        <v>104560</v>
      </c>
      <c r="B3301" t="s">
        <v>402</v>
      </c>
      <c r="C3301" t="str">
        <f t="shared" si="385"/>
        <v>02504501210</v>
      </c>
      <c r="D3301" t="str">
        <f t="shared" si="385"/>
        <v>02504501210</v>
      </c>
      <c r="E3301" t="s">
        <v>52</v>
      </c>
      <c r="F3301">
        <v>2016</v>
      </c>
      <c r="G3301" t="str">
        <f>"                  13"</f>
        <v xml:space="preserve">                  13</v>
      </c>
      <c r="H3301" s="3">
        <v>42399</v>
      </c>
      <c r="I3301" s="3">
        <v>42402</v>
      </c>
      <c r="J3301" s="3">
        <v>42401</v>
      </c>
      <c r="K3301" s="3">
        <v>42461</v>
      </c>
      <c r="L3301"/>
      <c r="N3301"/>
      <c r="O3301">
        <v>375</v>
      </c>
      <c r="P3301">
        <v>-8</v>
      </c>
      <c r="Q3301" s="4">
        <v>-3000</v>
      </c>
      <c r="R3301">
        <v>0</v>
      </c>
      <c r="V3301">
        <v>0</v>
      </c>
      <c r="W3301">
        <v>0</v>
      </c>
      <c r="X3301">
        <v>0</v>
      </c>
      <c r="Y3301">
        <v>457.5</v>
      </c>
      <c r="Z3301">
        <v>457.5</v>
      </c>
      <c r="AA3301">
        <v>457.5</v>
      </c>
      <c r="AB3301" s="3">
        <v>42562</v>
      </c>
      <c r="AC3301" t="s">
        <v>53</v>
      </c>
      <c r="AD3301" t="s">
        <v>53</v>
      </c>
      <c r="AK3301">
        <v>0</v>
      </c>
      <c r="AU3301" s="3">
        <v>42453</v>
      </c>
      <c r="AV3301" s="3">
        <v>42453</v>
      </c>
      <c r="AW3301" t="s">
        <v>54</v>
      </c>
      <c r="AX3301" t="str">
        <f t="shared" si="384"/>
        <v>FOR</v>
      </c>
      <c r="AY3301" t="s">
        <v>55</v>
      </c>
    </row>
    <row r="3302" spans="1:51">
      <c r="A3302">
        <v>104560</v>
      </c>
      <c r="B3302" t="s">
        <v>402</v>
      </c>
      <c r="C3302" t="str">
        <f t="shared" si="385"/>
        <v>02504501210</v>
      </c>
      <c r="D3302" t="str">
        <f t="shared" si="385"/>
        <v>02504501210</v>
      </c>
      <c r="E3302" t="s">
        <v>52</v>
      </c>
      <c r="F3302">
        <v>2016</v>
      </c>
      <c r="G3302" t="str">
        <f>"                  14"</f>
        <v xml:space="preserve">                  14</v>
      </c>
      <c r="H3302" s="3">
        <v>42399</v>
      </c>
      <c r="I3302" s="3">
        <v>42404</v>
      </c>
      <c r="J3302" s="3">
        <v>42401</v>
      </c>
      <c r="K3302" s="3">
        <v>42461</v>
      </c>
      <c r="L3302" s="5">
        <v>2690</v>
      </c>
      <c r="M3302">
        <v>68</v>
      </c>
      <c r="N3302" s="5">
        <v>182920</v>
      </c>
      <c r="O3302" s="4">
        <v>2690</v>
      </c>
      <c r="P3302">
        <v>68</v>
      </c>
      <c r="Q3302" s="4">
        <v>182920</v>
      </c>
      <c r="R3302">
        <v>591.79999999999995</v>
      </c>
      <c r="V3302">
        <v>0</v>
      </c>
      <c r="W3302">
        <v>0</v>
      </c>
      <c r="X3302">
        <v>0</v>
      </c>
      <c r="Y3302" s="4">
        <v>3281.8</v>
      </c>
      <c r="Z3302" s="4">
        <v>3281.8</v>
      </c>
      <c r="AA3302" s="4">
        <v>3281.8</v>
      </c>
      <c r="AB3302" s="3">
        <v>42562</v>
      </c>
      <c r="AC3302" t="s">
        <v>53</v>
      </c>
      <c r="AD3302" t="s">
        <v>53</v>
      </c>
      <c r="AG3302">
        <v>591.79999999999995</v>
      </c>
      <c r="AK3302">
        <v>0</v>
      </c>
      <c r="AU3302" s="3">
        <v>42529</v>
      </c>
      <c r="AV3302" s="3">
        <v>42529</v>
      </c>
      <c r="AW3302" t="s">
        <v>54</v>
      </c>
      <c r="AX3302" t="str">
        <f t="shared" si="384"/>
        <v>FOR</v>
      </c>
      <c r="AY3302" t="s">
        <v>55</v>
      </c>
    </row>
    <row r="3303" spans="1:51">
      <c r="A3303">
        <v>104560</v>
      </c>
      <c r="B3303" t="s">
        <v>402</v>
      </c>
      <c r="C3303" t="str">
        <f t="shared" si="385"/>
        <v>02504501210</v>
      </c>
      <c r="D3303" t="str">
        <f t="shared" si="385"/>
        <v>02504501210</v>
      </c>
      <c r="E3303" t="s">
        <v>52</v>
      </c>
      <c r="F3303">
        <v>2016</v>
      </c>
      <c r="G3303" t="str">
        <f>"                  30"</f>
        <v xml:space="preserve">                  30</v>
      </c>
      <c r="H3303" s="3">
        <v>42429</v>
      </c>
      <c r="I3303" s="3">
        <v>42433</v>
      </c>
      <c r="J3303" s="3">
        <v>42429</v>
      </c>
      <c r="K3303" s="3">
        <v>42489</v>
      </c>
      <c r="L3303" s="5">
        <v>1532.6</v>
      </c>
      <c r="M3303">
        <v>40</v>
      </c>
      <c r="N3303" s="5">
        <v>61304</v>
      </c>
      <c r="O3303" s="4">
        <v>1532.6</v>
      </c>
      <c r="P3303">
        <v>40</v>
      </c>
      <c r="Q3303" s="4">
        <v>61304</v>
      </c>
      <c r="R3303">
        <v>337.17</v>
      </c>
      <c r="V3303">
        <v>0</v>
      </c>
      <c r="W3303">
        <v>0</v>
      </c>
      <c r="X3303">
        <v>0</v>
      </c>
      <c r="Y3303" s="4">
        <v>1869.77</v>
      </c>
      <c r="Z3303" s="4">
        <v>1869.77</v>
      </c>
      <c r="AA3303" s="4">
        <v>1869.77</v>
      </c>
      <c r="AB3303" s="3">
        <v>42562</v>
      </c>
      <c r="AC3303" t="s">
        <v>53</v>
      </c>
      <c r="AD3303" t="s">
        <v>53</v>
      </c>
      <c r="AG3303">
        <v>337.17</v>
      </c>
      <c r="AK3303">
        <v>0</v>
      </c>
      <c r="AU3303" s="3">
        <v>42529</v>
      </c>
      <c r="AV3303" s="3">
        <v>42529</v>
      </c>
      <c r="AW3303" t="s">
        <v>54</v>
      </c>
      <c r="AX3303" t="str">
        <f t="shared" si="384"/>
        <v>FOR</v>
      </c>
      <c r="AY3303" t="s">
        <v>55</v>
      </c>
    </row>
    <row r="3304" spans="1:51">
      <c r="A3304">
        <v>104560</v>
      </c>
      <c r="B3304" t="s">
        <v>402</v>
      </c>
      <c r="C3304" t="str">
        <f t="shared" si="385"/>
        <v>02504501210</v>
      </c>
      <c r="D3304" t="str">
        <f t="shared" si="385"/>
        <v>02504501210</v>
      </c>
      <c r="E3304" t="s">
        <v>52</v>
      </c>
      <c r="F3304">
        <v>2016</v>
      </c>
      <c r="G3304" t="str">
        <f>"                  31"</f>
        <v xml:space="preserve">                  31</v>
      </c>
      <c r="H3304" s="3">
        <v>42429</v>
      </c>
      <c r="I3304" s="3">
        <v>42433</v>
      </c>
      <c r="J3304" s="3">
        <v>42429</v>
      </c>
      <c r="K3304" s="3">
        <v>42489</v>
      </c>
      <c r="L3304" s="1">
        <v>399</v>
      </c>
      <c r="M3304">
        <v>40</v>
      </c>
      <c r="N3304" s="5">
        <v>15960</v>
      </c>
      <c r="O3304">
        <v>399</v>
      </c>
      <c r="P3304">
        <v>40</v>
      </c>
      <c r="Q3304" s="4">
        <v>15960</v>
      </c>
      <c r="R3304">
        <v>87.78</v>
      </c>
      <c r="V3304">
        <v>0</v>
      </c>
      <c r="W3304">
        <v>0</v>
      </c>
      <c r="X3304">
        <v>0</v>
      </c>
      <c r="Y3304">
        <v>486.78</v>
      </c>
      <c r="Z3304">
        <v>486.78</v>
      </c>
      <c r="AA3304">
        <v>486.78</v>
      </c>
      <c r="AB3304" s="3">
        <v>42562</v>
      </c>
      <c r="AC3304" t="s">
        <v>53</v>
      </c>
      <c r="AD3304" t="s">
        <v>53</v>
      </c>
      <c r="AG3304">
        <v>87.78</v>
      </c>
      <c r="AK3304">
        <v>0</v>
      </c>
      <c r="AU3304" s="3">
        <v>42529</v>
      </c>
      <c r="AV3304" s="3">
        <v>42529</v>
      </c>
      <c r="AW3304" t="s">
        <v>54</v>
      </c>
      <c r="AX3304" t="str">
        <f t="shared" si="384"/>
        <v>FOR</v>
      </c>
      <c r="AY3304" t="s">
        <v>55</v>
      </c>
    </row>
    <row r="3305" spans="1:51">
      <c r="A3305">
        <v>104560</v>
      </c>
      <c r="B3305" t="s">
        <v>402</v>
      </c>
      <c r="C3305" t="str">
        <f t="shared" si="385"/>
        <v>02504501210</v>
      </c>
      <c r="D3305" t="str">
        <f t="shared" si="385"/>
        <v>02504501210</v>
      </c>
      <c r="E3305" t="s">
        <v>52</v>
      </c>
      <c r="F3305">
        <v>2016</v>
      </c>
      <c r="G3305" t="str">
        <f>"                  32"</f>
        <v xml:space="preserve">                  32</v>
      </c>
      <c r="H3305" s="3">
        <v>42429</v>
      </c>
      <c r="I3305" s="3">
        <v>42433</v>
      </c>
      <c r="J3305" s="3">
        <v>42429</v>
      </c>
      <c r="K3305" s="3">
        <v>42489</v>
      </c>
      <c r="L3305" s="1">
        <v>400</v>
      </c>
      <c r="M3305">
        <v>40</v>
      </c>
      <c r="N3305" s="5">
        <v>16000</v>
      </c>
      <c r="O3305">
        <v>400</v>
      </c>
      <c r="P3305">
        <v>40</v>
      </c>
      <c r="Q3305" s="4">
        <v>16000</v>
      </c>
      <c r="R3305">
        <v>88</v>
      </c>
      <c r="V3305">
        <v>0</v>
      </c>
      <c r="W3305">
        <v>0</v>
      </c>
      <c r="X3305">
        <v>0</v>
      </c>
      <c r="Y3305">
        <v>488</v>
      </c>
      <c r="Z3305">
        <v>488</v>
      </c>
      <c r="AA3305">
        <v>488</v>
      </c>
      <c r="AB3305" s="3">
        <v>42562</v>
      </c>
      <c r="AC3305" t="s">
        <v>53</v>
      </c>
      <c r="AD3305" t="s">
        <v>53</v>
      </c>
      <c r="AG3305">
        <v>88</v>
      </c>
      <c r="AK3305">
        <v>0</v>
      </c>
      <c r="AU3305" s="3">
        <v>42529</v>
      </c>
      <c r="AV3305" s="3">
        <v>42529</v>
      </c>
      <c r="AW3305" t="s">
        <v>54</v>
      </c>
      <c r="AX3305" t="str">
        <f t="shared" si="384"/>
        <v>FOR</v>
      </c>
      <c r="AY3305" t="s">
        <v>55</v>
      </c>
    </row>
    <row r="3306" spans="1:51">
      <c r="A3306">
        <v>104560</v>
      </c>
      <c r="B3306" t="s">
        <v>402</v>
      </c>
      <c r="C3306" t="str">
        <f t="shared" si="385"/>
        <v>02504501210</v>
      </c>
      <c r="D3306" t="str">
        <f t="shared" si="385"/>
        <v>02504501210</v>
      </c>
      <c r="E3306" t="s">
        <v>52</v>
      </c>
      <c r="F3306">
        <v>2016</v>
      </c>
      <c r="G3306" t="str">
        <f>"                  33"</f>
        <v xml:space="preserve">                  33</v>
      </c>
      <c r="H3306" s="3">
        <v>42429</v>
      </c>
      <c r="I3306" s="3">
        <v>42433</v>
      </c>
      <c r="J3306" s="3">
        <v>42429</v>
      </c>
      <c r="K3306" s="3">
        <v>42489</v>
      </c>
      <c r="L3306" s="5">
        <v>2950</v>
      </c>
      <c r="M3306">
        <v>40</v>
      </c>
      <c r="N3306" s="5">
        <v>118000</v>
      </c>
      <c r="O3306" s="4">
        <v>2950</v>
      </c>
      <c r="P3306">
        <v>40</v>
      </c>
      <c r="Q3306" s="4">
        <v>118000</v>
      </c>
      <c r="R3306">
        <v>649</v>
      </c>
      <c r="V3306">
        <v>0</v>
      </c>
      <c r="W3306">
        <v>0</v>
      </c>
      <c r="X3306">
        <v>0</v>
      </c>
      <c r="Y3306" s="4">
        <v>3599</v>
      </c>
      <c r="Z3306" s="4">
        <v>3599</v>
      </c>
      <c r="AA3306" s="4">
        <v>3599</v>
      </c>
      <c r="AB3306" s="3">
        <v>42562</v>
      </c>
      <c r="AC3306" t="s">
        <v>53</v>
      </c>
      <c r="AD3306" t="s">
        <v>53</v>
      </c>
      <c r="AG3306">
        <v>649</v>
      </c>
      <c r="AK3306">
        <v>0</v>
      </c>
      <c r="AU3306" s="3">
        <v>42529</v>
      </c>
      <c r="AV3306" s="3">
        <v>42529</v>
      </c>
      <c r="AW3306" t="s">
        <v>54</v>
      </c>
      <c r="AX3306" t="str">
        <f t="shared" si="384"/>
        <v>FOR</v>
      </c>
      <c r="AY3306" t="s">
        <v>55</v>
      </c>
    </row>
    <row r="3307" spans="1:51" hidden="1">
      <c r="A3307">
        <v>104563</v>
      </c>
      <c r="B3307" t="s">
        <v>403</v>
      </c>
      <c r="C3307" t="str">
        <f t="shared" ref="C3307:D3326" si="386">"02298700010"</f>
        <v>02298700010</v>
      </c>
      <c r="D3307" t="str">
        <f t="shared" si="386"/>
        <v>02298700010</v>
      </c>
      <c r="E3307" t="s">
        <v>52</v>
      </c>
      <c r="F3307">
        <v>2015</v>
      </c>
      <c r="G3307" t="str">
        <f>"          1135660060"</f>
        <v xml:space="preserve">          1135660060</v>
      </c>
      <c r="H3307" s="3">
        <v>42073</v>
      </c>
      <c r="I3307" s="3">
        <v>42095</v>
      </c>
      <c r="J3307" s="3">
        <v>42095</v>
      </c>
      <c r="K3307" s="3">
        <v>42155</v>
      </c>
      <c r="L3307"/>
      <c r="N3307"/>
      <c r="O3307">
        <v>207.4</v>
      </c>
      <c r="P3307">
        <v>249</v>
      </c>
      <c r="Q3307" s="4">
        <v>51642.6</v>
      </c>
      <c r="R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 s="3">
        <v>42562</v>
      </c>
      <c r="AC3307" t="s">
        <v>53</v>
      </c>
      <c r="AD3307" t="s">
        <v>53</v>
      </c>
      <c r="AK3307">
        <v>0</v>
      </c>
      <c r="AU3307" s="3">
        <v>42404</v>
      </c>
      <c r="AV3307" s="3">
        <v>42404</v>
      </c>
      <c r="AW3307" t="s">
        <v>54</v>
      </c>
      <c r="AX3307" t="str">
        <f t="shared" si="384"/>
        <v>FOR</v>
      </c>
      <c r="AY3307" t="s">
        <v>55</v>
      </c>
    </row>
    <row r="3308" spans="1:51" hidden="1">
      <c r="A3308">
        <v>104563</v>
      </c>
      <c r="B3308" t="s">
        <v>403</v>
      </c>
      <c r="C3308" t="str">
        <f t="shared" si="386"/>
        <v>02298700010</v>
      </c>
      <c r="D3308" t="str">
        <f t="shared" si="386"/>
        <v>02298700010</v>
      </c>
      <c r="E3308" t="s">
        <v>52</v>
      </c>
      <c r="F3308">
        <v>2015</v>
      </c>
      <c r="G3308" t="str">
        <f>"          1135660097"</f>
        <v xml:space="preserve">          1135660097</v>
      </c>
      <c r="H3308" s="3">
        <v>42073</v>
      </c>
      <c r="I3308" s="3">
        <v>42089</v>
      </c>
      <c r="J3308" s="3">
        <v>42089</v>
      </c>
      <c r="K3308" s="3">
        <v>42149</v>
      </c>
      <c r="L3308"/>
      <c r="N3308"/>
      <c r="O3308">
        <v>306</v>
      </c>
      <c r="P3308">
        <v>255</v>
      </c>
      <c r="Q3308" s="4">
        <v>78030</v>
      </c>
      <c r="R3308">
        <v>0</v>
      </c>
      <c r="V3308">
        <v>0</v>
      </c>
      <c r="W3308">
        <v>0</v>
      </c>
      <c r="X3308">
        <v>0</v>
      </c>
      <c r="Y3308">
        <v>0</v>
      </c>
      <c r="Z3308">
        <v>0</v>
      </c>
      <c r="AA3308">
        <v>0</v>
      </c>
      <c r="AB3308" s="3">
        <v>42562</v>
      </c>
      <c r="AC3308" t="s">
        <v>53</v>
      </c>
      <c r="AD3308" t="s">
        <v>53</v>
      </c>
      <c r="AK3308">
        <v>0</v>
      </c>
      <c r="AU3308" s="3">
        <v>42404</v>
      </c>
      <c r="AV3308" s="3">
        <v>42404</v>
      </c>
      <c r="AW3308" t="s">
        <v>54</v>
      </c>
      <c r="AX3308" t="str">
        <f t="shared" si="384"/>
        <v>FOR</v>
      </c>
      <c r="AY3308" t="s">
        <v>55</v>
      </c>
    </row>
    <row r="3309" spans="1:51" hidden="1">
      <c r="A3309">
        <v>104563</v>
      </c>
      <c r="B3309" t="s">
        <v>403</v>
      </c>
      <c r="C3309" t="str">
        <f t="shared" si="386"/>
        <v>02298700010</v>
      </c>
      <c r="D3309" t="str">
        <f t="shared" si="386"/>
        <v>02298700010</v>
      </c>
      <c r="E3309" t="s">
        <v>52</v>
      </c>
      <c r="F3309">
        <v>2015</v>
      </c>
      <c r="G3309" t="str">
        <f>"          1135660162"</f>
        <v xml:space="preserve">          1135660162</v>
      </c>
      <c r="H3309" s="3">
        <v>42073</v>
      </c>
      <c r="I3309" s="3">
        <v>42089</v>
      </c>
      <c r="J3309" s="3">
        <v>42089</v>
      </c>
      <c r="K3309" s="3">
        <v>42149</v>
      </c>
      <c r="L3309"/>
      <c r="N3309"/>
      <c r="O3309">
        <v>306</v>
      </c>
      <c r="P3309">
        <v>255</v>
      </c>
      <c r="Q3309" s="4">
        <v>78030</v>
      </c>
      <c r="R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 s="3">
        <v>42562</v>
      </c>
      <c r="AC3309" t="s">
        <v>53</v>
      </c>
      <c r="AD3309" t="s">
        <v>53</v>
      </c>
      <c r="AK3309">
        <v>0</v>
      </c>
      <c r="AU3309" s="3">
        <v>42404</v>
      </c>
      <c r="AV3309" s="3">
        <v>42404</v>
      </c>
      <c r="AW3309" t="s">
        <v>54</v>
      </c>
      <c r="AX3309" t="str">
        <f t="shared" si="384"/>
        <v>FOR</v>
      </c>
      <c r="AY3309" t="s">
        <v>55</v>
      </c>
    </row>
    <row r="3310" spans="1:51" hidden="1">
      <c r="A3310">
        <v>104563</v>
      </c>
      <c r="B3310" t="s">
        <v>403</v>
      </c>
      <c r="C3310" t="str">
        <f t="shared" si="386"/>
        <v>02298700010</v>
      </c>
      <c r="D3310" t="str">
        <f t="shared" si="386"/>
        <v>02298700010</v>
      </c>
      <c r="E3310" t="s">
        <v>52</v>
      </c>
      <c r="F3310">
        <v>2015</v>
      </c>
      <c r="G3310" t="str">
        <f>"          1135900093"</f>
        <v xml:space="preserve">          1135900093</v>
      </c>
      <c r="H3310" s="3">
        <v>42073</v>
      </c>
      <c r="I3310" s="3">
        <v>42095</v>
      </c>
      <c r="J3310" s="3">
        <v>42095</v>
      </c>
      <c r="K3310" s="3">
        <v>42155</v>
      </c>
      <c r="L3310"/>
      <c r="N3310"/>
      <c r="O3310">
        <v>207.4</v>
      </c>
      <c r="P3310">
        <v>249</v>
      </c>
      <c r="Q3310" s="4">
        <v>51642.6</v>
      </c>
      <c r="R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 s="3">
        <v>42562</v>
      </c>
      <c r="AC3310" t="s">
        <v>53</v>
      </c>
      <c r="AD3310" t="s">
        <v>53</v>
      </c>
      <c r="AK3310">
        <v>0</v>
      </c>
      <c r="AU3310" s="3">
        <v>42404</v>
      </c>
      <c r="AV3310" s="3">
        <v>42404</v>
      </c>
      <c r="AW3310" t="s">
        <v>54</v>
      </c>
      <c r="AX3310" t="str">
        <f t="shared" si="384"/>
        <v>FOR</v>
      </c>
      <c r="AY3310" t="s">
        <v>55</v>
      </c>
    </row>
    <row r="3311" spans="1:51" hidden="1">
      <c r="A3311">
        <v>104563</v>
      </c>
      <c r="B3311" t="s">
        <v>403</v>
      </c>
      <c r="C3311" t="str">
        <f t="shared" si="386"/>
        <v>02298700010</v>
      </c>
      <c r="D3311" t="str">
        <f t="shared" si="386"/>
        <v>02298700010</v>
      </c>
      <c r="E3311" t="s">
        <v>52</v>
      </c>
      <c r="F3311">
        <v>2015</v>
      </c>
      <c r="G3311" t="str">
        <f>"          1135900125"</f>
        <v xml:space="preserve">          1135900125</v>
      </c>
      <c r="H3311" s="3">
        <v>42073</v>
      </c>
      <c r="I3311" s="3">
        <v>42095</v>
      </c>
      <c r="J3311" s="3">
        <v>42095</v>
      </c>
      <c r="K3311" s="3">
        <v>42155</v>
      </c>
      <c r="L3311"/>
      <c r="N3311"/>
      <c r="O3311">
        <v>306</v>
      </c>
      <c r="P3311">
        <v>249</v>
      </c>
      <c r="Q3311" s="4">
        <v>76194</v>
      </c>
      <c r="R3311">
        <v>0</v>
      </c>
      <c r="V3311">
        <v>0</v>
      </c>
      <c r="W3311">
        <v>0</v>
      </c>
      <c r="X3311">
        <v>0</v>
      </c>
      <c r="Y3311">
        <v>0</v>
      </c>
      <c r="Z3311">
        <v>0</v>
      </c>
      <c r="AA3311">
        <v>0</v>
      </c>
      <c r="AB3311" s="3">
        <v>42562</v>
      </c>
      <c r="AC3311" t="s">
        <v>53</v>
      </c>
      <c r="AD3311" t="s">
        <v>53</v>
      </c>
      <c r="AK3311">
        <v>0</v>
      </c>
      <c r="AU3311" s="3">
        <v>42404</v>
      </c>
      <c r="AV3311" s="3">
        <v>42404</v>
      </c>
      <c r="AW3311" t="s">
        <v>54</v>
      </c>
      <c r="AX3311" t="str">
        <f t="shared" si="384"/>
        <v>FOR</v>
      </c>
      <c r="AY3311" t="s">
        <v>55</v>
      </c>
    </row>
    <row r="3312" spans="1:51" hidden="1">
      <c r="A3312">
        <v>104563</v>
      </c>
      <c r="B3312" t="s">
        <v>403</v>
      </c>
      <c r="C3312" t="str">
        <f t="shared" si="386"/>
        <v>02298700010</v>
      </c>
      <c r="D3312" t="str">
        <f t="shared" si="386"/>
        <v>02298700010</v>
      </c>
      <c r="E3312" t="s">
        <v>52</v>
      </c>
      <c r="F3312">
        <v>2015</v>
      </c>
      <c r="G3312" t="str">
        <f>"          1135900190"</f>
        <v xml:space="preserve">          1135900190</v>
      </c>
      <c r="H3312" s="3">
        <v>42073</v>
      </c>
      <c r="I3312" s="3">
        <v>42089</v>
      </c>
      <c r="J3312" s="3">
        <v>42089</v>
      </c>
      <c r="K3312" s="3">
        <v>42149</v>
      </c>
      <c r="L3312"/>
      <c r="N3312"/>
      <c r="O3312">
        <v>306</v>
      </c>
      <c r="P3312">
        <v>255</v>
      </c>
      <c r="Q3312" s="4">
        <v>78030</v>
      </c>
      <c r="R3312">
        <v>0</v>
      </c>
      <c r="V3312">
        <v>0</v>
      </c>
      <c r="W3312">
        <v>0</v>
      </c>
      <c r="X3312">
        <v>0</v>
      </c>
      <c r="Y3312">
        <v>0</v>
      </c>
      <c r="Z3312">
        <v>0</v>
      </c>
      <c r="AA3312">
        <v>0</v>
      </c>
      <c r="AB3312" s="3">
        <v>42562</v>
      </c>
      <c r="AC3312" t="s">
        <v>53</v>
      </c>
      <c r="AD3312" t="s">
        <v>53</v>
      </c>
      <c r="AK3312">
        <v>0</v>
      </c>
      <c r="AU3312" s="3">
        <v>42404</v>
      </c>
      <c r="AV3312" s="3">
        <v>42404</v>
      </c>
      <c r="AW3312" t="s">
        <v>54</v>
      </c>
      <c r="AX3312" t="str">
        <f t="shared" si="384"/>
        <v>FOR</v>
      </c>
      <c r="AY3312" t="s">
        <v>55</v>
      </c>
    </row>
    <row r="3313" spans="1:51" hidden="1">
      <c r="A3313">
        <v>104563</v>
      </c>
      <c r="B3313" t="s">
        <v>403</v>
      </c>
      <c r="C3313" t="str">
        <f t="shared" si="386"/>
        <v>02298700010</v>
      </c>
      <c r="D3313" t="str">
        <f t="shared" si="386"/>
        <v>02298700010</v>
      </c>
      <c r="E3313" t="s">
        <v>52</v>
      </c>
      <c r="F3313">
        <v>2015</v>
      </c>
      <c r="G3313" t="str">
        <f>"          1135900737"</f>
        <v xml:space="preserve">          1135900737</v>
      </c>
      <c r="H3313" s="3">
        <v>42094</v>
      </c>
      <c r="I3313" s="3">
        <v>42286</v>
      </c>
      <c r="J3313" s="3">
        <v>42285</v>
      </c>
      <c r="K3313" s="3">
        <v>42345</v>
      </c>
      <c r="L3313"/>
      <c r="N3313"/>
      <c r="O3313">
        <v>88</v>
      </c>
      <c r="P3313">
        <v>59</v>
      </c>
      <c r="Q3313" s="4">
        <v>5192</v>
      </c>
      <c r="R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 s="3">
        <v>42562</v>
      </c>
      <c r="AC3313" t="s">
        <v>53</v>
      </c>
      <c r="AD3313" t="s">
        <v>53</v>
      </c>
      <c r="AK3313">
        <v>0</v>
      </c>
      <c r="AU3313" s="3">
        <v>42404</v>
      </c>
      <c r="AV3313" s="3">
        <v>42404</v>
      </c>
      <c r="AW3313" t="s">
        <v>54</v>
      </c>
      <c r="AX3313" t="str">
        <f t="shared" si="384"/>
        <v>FOR</v>
      </c>
      <c r="AY3313" t="s">
        <v>55</v>
      </c>
    </row>
    <row r="3314" spans="1:51" hidden="1">
      <c r="A3314">
        <v>104563</v>
      </c>
      <c r="B3314" t="s">
        <v>403</v>
      </c>
      <c r="C3314" t="str">
        <f t="shared" si="386"/>
        <v>02298700010</v>
      </c>
      <c r="D3314" t="str">
        <f t="shared" si="386"/>
        <v>02298700010</v>
      </c>
      <c r="E3314" t="s">
        <v>52</v>
      </c>
      <c r="F3314">
        <v>2015</v>
      </c>
      <c r="G3314" t="str">
        <f>"          1135900738"</f>
        <v xml:space="preserve">          1135900738</v>
      </c>
      <c r="H3314" s="3">
        <v>42094</v>
      </c>
      <c r="I3314" s="3">
        <v>42286</v>
      </c>
      <c r="J3314" s="3">
        <v>42285</v>
      </c>
      <c r="K3314" s="3">
        <v>42345</v>
      </c>
      <c r="L3314"/>
      <c r="N3314"/>
      <c r="O3314">
        <v>88</v>
      </c>
      <c r="P3314">
        <v>59</v>
      </c>
      <c r="Q3314" s="4">
        <v>5192</v>
      </c>
      <c r="R3314">
        <v>0</v>
      </c>
      <c r="V3314">
        <v>0</v>
      </c>
      <c r="W3314">
        <v>0</v>
      </c>
      <c r="X3314">
        <v>0</v>
      </c>
      <c r="Y3314">
        <v>0</v>
      </c>
      <c r="Z3314">
        <v>0</v>
      </c>
      <c r="AA3314">
        <v>0</v>
      </c>
      <c r="AB3314" s="3">
        <v>42562</v>
      </c>
      <c r="AC3314" t="s">
        <v>53</v>
      </c>
      <c r="AD3314" t="s">
        <v>53</v>
      </c>
      <c r="AK3314">
        <v>0</v>
      </c>
      <c r="AU3314" s="3">
        <v>42404</v>
      </c>
      <c r="AV3314" s="3">
        <v>42404</v>
      </c>
      <c r="AW3314" t="s">
        <v>54</v>
      </c>
      <c r="AX3314" t="str">
        <f t="shared" ref="AX3314:AX3341" si="387">"FOR"</f>
        <v>FOR</v>
      </c>
      <c r="AY3314" t="s">
        <v>55</v>
      </c>
    </row>
    <row r="3315" spans="1:51" hidden="1">
      <c r="A3315">
        <v>104563</v>
      </c>
      <c r="B3315" t="s">
        <v>403</v>
      </c>
      <c r="C3315" t="str">
        <f t="shared" si="386"/>
        <v>02298700010</v>
      </c>
      <c r="D3315" t="str">
        <f t="shared" si="386"/>
        <v>02298700010</v>
      </c>
      <c r="E3315" t="s">
        <v>52</v>
      </c>
      <c r="F3315">
        <v>2015</v>
      </c>
      <c r="G3315" t="str">
        <f>"          1135900739"</f>
        <v xml:space="preserve">          1135900739</v>
      </c>
      <c r="H3315" s="3">
        <v>42094</v>
      </c>
      <c r="I3315" s="3">
        <v>42286</v>
      </c>
      <c r="J3315" s="3">
        <v>42285</v>
      </c>
      <c r="K3315" s="3">
        <v>42345</v>
      </c>
      <c r="L3315"/>
      <c r="N3315"/>
      <c r="O3315">
        <v>264</v>
      </c>
      <c r="P3315">
        <v>59</v>
      </c>
      <c r="Q3315" s="4">
        <v>15576</v>
      </c>
      <c r="R3315">
        <v>0</v>
      </c>
      <c r="V3315">
        <v>0</v>
      </c>
      <c r="W3315">
        <v>0</v>
      </c>
      <c r="X3315">
        <v>0</v>
      </c>
      <c r="Y3315">
        <v>0</v>
      </c>
      <c r="Z3315">
        <v>0</v>
      </c>
      <c r="AA3315">
        <v>0</v>
      </c>
      <c r="AB3315" s="3">
        <v>42562</v>
      </c>
      <c r="AC3315" t="s">
        <v>53</v>
      </c>
      <c r="AD3315" t="s">
        <v>53</v>
      </c>
      <c r="AK3315">
        <v>0</v>
      </c>
      <c r="AU3315" s="3">
        <v>42404</v>
      </c>
      <c r="AV3315" s="3">
        <v>42404</v>
      </c>
      <c r="AW3315" t="s">
        <v>54</v>
      </c>
      <c r="AX3315" t="str">
        <f t="shared" si="387"/>
        <v>FOR</v>
      </c>
      <c r="AY3315" t="s">
        <v>55</v>
      </c>
    </row>
    <row r="3316" spans="1:51" hidden="1">
      <c r="A3316">
        <v>104563</v>
      </c>
      <c r="B3316" t="s">
        <v>403</v>
      </c>
      <c r="C3316" t="str">
        <f t="shared" si="386"/>
        <v>02298700010</v>
      </c>
      <c r="D3316" t="str">
        <f t="shared" si="386"/>
        <v>02298700010</v>
      </c>
      <c r="E3316" t="s">
        <v>52</v>
      </c>
      <c r="F3316">
        <v>2015</v>
      </c>
      <c r="G3316" t="str">
        <f>"          1135900740"</f>
        <v xml:space="preserve">          1135900740</v>
      </c>
      <c r="H3316" s="3">
        <v>42094</v>
      </c>
      <c r="I3316" s="3">
        <v>42286</v>
      </c>
      <c r="J3316" s="3">
        <v>42285</v>
      </c>
      <c r="K3316" s="3">
        <v>42345</v>
      </c>
      <c r="L3316"/>
      <c r="N3316"/>
      <c r="O3316">
        <v>306</v>
      </c>
      <c r="P3316">
        <v>59</v>
      </c>
      <c r="Q3316" s="4">
        <v>18054</v>
      </c>
      <c r="R3316">
        <v>0</v>
      </c>
      <c r="V3316">
        <v>0</v>
      </c>
      <c r="W3316">
        <v>0</v>
      </c>
      <c r="X3316">
        <v>0</v>
      </c>
      <c r="Y3316">
        <v>0</v>
      </c>
      <c r="Z3316">
        <v>0</v>
      </c>
      <c r="AA3316">
        <v>0</v>
      </c>
      <c r="AB3316" s="3">
        <v>42562</v>
      </c>
      <c r="AC3316" t="s">
        <v>53</v>
      </c>
      <c r="AD3316" t="s">
        <v>53</v>
      </c>
      <c r="AK3316">
        <v>0</v>
      </c>
      <c r="AU3316" s="3">
        <v>42404</v>
      </c>
      <c r="AV3316" s="3">
        <v>42404</v>
      </c>
      <c r="AW3316" t="s">
        <v>54</v>
      </c>
      <c r="AX3316" t="str">
        <f t="shared" si="387"/>
        <v>FOR</v>
      </c>
      <c r="AY3316" t="s">
        <v>55</v>
      </c>
    </row>
    <row r="3317" spans="1:51" hidden="1">
      <c r="A3317">
        <v>104563</v>
      </c>
      <c r="B3317" t="s">
        <v>403</v>
      </c>
      <c r="C3317" t="str">
        <f t="shared" si="386"/>
        <v>02298700010</v>
      </c>
      <c r="D3317" t="str">
        <f t="shared" si="386"/>
        <v>02298700010</v>
      </c>
      <c r="E3317" t="s">
        <v>52</v>
      </c>
      <c r="F3317">
        <v>2015</v>
      </c>
      <c r="G3317" t="str">
        <f>"          1135900741"</f>
        <v xml:space="preserve">          1135900741</v>
      </c>
      <c r="H3317" s="3">
        <v>42094</v>
      </c>
      <c r="I3317" s="3">
        <v>42286</v>
      </c>
      <c r="J3317" s="3">
        <v>42285</v>
      </c>
      <c r="K3317" s="3">
        <v>42345</v>
      </c>
      <c r="L3317"/>
      <c r="N3317"/>
      <c r="O3317">
        <v>95.21</v>
      </c>
      <c r="P3317">
        <v>59</v>
      </c>
      <c r="Q3317" s="4">
        <v>5617.39</v>
      </c>
      <c r="R3317">
        <v>0</v>
      </c>
      <c r="V3317">
        <v>0</v>
      </c>
      <c r="W3317">
        <v>0</v>
      </c>
      <c r="X3317">
        <v>0</v>
      </c>
      <c r="Y3317">
        <v>0</v>
      </c>
      <c r="Z3317">
        <v>0</v>
      </c>
      <c r="AA3317">
        <v>0</v>
      </c>
      <c r="AB3317" s="3">
        <v>42562</v>
      </c>
      <c r="AC3317" t="s">
        <v>53</v>
      </c>
      <c r="AD3317" t="s">
        <v>53</v>
      </c>
      <c r="AK3317">
        <v>0</v>
      </c>
      <c r="AU3317" s="3">
        <v>42404</v>
      </c>
      <c r="AV3317" s="3">
        <v>42404</v>
      </c>
      <c r="AW3317" t="s">
        <v>54</v>
      </c>
      <c r="AX3317" t="str">
        <f t="shared" si="387"/>
        <v>FOR</v>
      </c>
      <c r="AY3317" t="s">
        <v>55</v>
      </c>
    </row>
    <row r="3318" spans="1:51">
      <c r="A3318">
        <v>104563</v>
      </c>
      <c r="B3318" t="s">
        <v>403</v>
      </c>
      <c r="C3318" t="str">
        <f t="shared" si="386"/>
        <v>02298700010</v>
      </c>
      <c r="D3318" t="str">
        <f t="shared" si="386"/>
        <v>02298700010</v>
      </c>
      <c r="E3318" t="s">
        <v>52</v>
      </c>
      <c r="F3318">
        <v>2015</v>
      </c>
      <c r="G3318" t="str">
        <f>"          1135903456"</f>
        <v xml:space="preserve">          1135903456</v>
      </c>
      <c r="H3318" s="3">
        <v>42185</v>
      </c>
      <c r="I3318" s="3">
        <v>42192</v>
      </c>
      <c r="J3318" s="3">
        <v>42191</v>
      </c>
      <c r="K3318" s="3">
        <v>42251</v>
      </c>
      <c r="L3318" s="1">
        <v>88</v>
      </c>
      <c r="M3318">
        <v>276</v>
      </c>
      <c r="N3318" s="5">
        <v>24288</v>
      </c>
      <c r="O3318">
        <v>88</v>
      </c>
      <c r="P3318">
        <v>276</v>
      </c>
      <c r="Q3318" s="4">
        <v>24288</v>
      </c>
      <c r="R3318">
        <v>19.36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 s="3">
        <v>42562</v>
      </c>
      <c r="AC3318" t="s">
        <v>53</v>
      </c>
      <c r="AD3318" t="s">
        <v>53</v>
      </c>
      <c r="AK3318">
        <v>19.36</v>
      </c>
      <c r="AU3318" s="3">
        <v>42527</v>
      </c>
      <c r="AV3318" s="3">
        <v>42527</v>
      </c>
      <c r="AW3318" t="s">
        <v>54</v>
      </c>
      <c r="AX3318" t="str">
        <f t="shared" si="387"/>
        <v>FOR</v>
      </c>
      <c r="AY3318" t="s">
        <v>55</v>
      </c>
    </row>
    <row r="3319" spans="1:51">
      <c r="A3319">
        <v>104563</v>
      </c>
      <c r="B3319" t="s">
        <v>403</v>
      </c>
      <c r="C3319" t="str">
        <f t="shared" si="386"/>
        <v>02298700010</v>
      </c>
      <c r="D3319" t="str">
        <f t="shared" si="386"/>
        <v>02298700010</v>
      </c>
      <c r="E3319" t="s">
        <v>52</v>
      </c>
      <c r="F3319">
        <v>2015</v>
      </c>
      <c r="G3319" t="str">
        <f>"          1135903457"</f>
        <v xml:space="preserve">          1135903457</v>
      </c>
      <c r="H3319" s="3">
        <v>42185</v>
      </c>
      <c r="I3319" s="3">
        <v>42192</v>
      </c>
      <c r="J3319" s="3">
        <v>42191</v>
      </c>
      <c r="K3319" s="3">
        <v>42251</v>
      </c>
      <c r="L3319" s="1">
        <v>88</v>
      </c>
      <c r="M3319">
        <v>276</v>
      </c>
      <c r="N3319" s="5">
        <v>24288</v>
      </c>
      <c r="O3319">
        <v>88</v>
      </c>
      <c r="P3319">
        <v>276</v>
      </c>
      <c r="Q3319" s="4">
        <v>24288</v>
      </c>
      <c r="R3319">
        <v>19.36</v>
      </c>
      <c r="V3319">
        <v>0</v>
      </c>
      <c r="W3319">
        <v>0</v>
      </c>
      <c r="X3319">
        <v>0</v>
      </c>
      <c r="Y3319">
        <v>0</v>
      </c>
      <c r="Z3319">
        <v>0</v>
      </c>
      <c r="AA3319">
        <v>0</v>
      </c>
      <c r="AB3319" s="3">
        <v>42562</v>
      </c>
      <c r="AC3319" t="s">
        <v>53</v>
      </c>
      <c r="AD3319" t="s">
        <v>53</v>
      </c>
      <c r="AK3319">
        <v>19.36</v>
      </c>
      <c r="AU3319" s="3">
        <v>42527</v>
      </c>
      <c r="AV3319" s="3">
        <v>42527</v>
      </c>
      <c r="AW3319" t="s">
        <v>54</v>
      </c>
      <c r="AX3319" t="str">
        <f t="shared" si="387"/>
        <v>FOR</v>
      </c>
      <c r="AY3319" t="s">
        <v>55</v>
      </c>
    </row>
    <row r="3320" spans="1:51">
      <c r="A3320">
        <v>104563</v>
      </c>
      <c r="B3320" t="s">
        <v>403</v>
      </c>
      <c r="C3320" t="str">
        <f t="shared" si="386"/>
        <v>02298700010</v>
      </c>
      <c r="D3320" t="str">
        <f t="shared" si="386"/>
        <v>02298700010</v>
      </c>
      <c r="E3320" t="s">
        <v>52</v>
      </c>
      <c r="F3320">
        <v>2015</v>
      </c>
      <c r="G3320" t="str">
        <f>"          1135903458"</f>
        <v xml:space="preserve">          1135903458</v>
      </c>
      <c r="H3320" s="3">
        <v>42185</v>
      </c>
      <c r="I3320" s="3">
        <v>42192</v>
      </c>
      <c r="J3320" s="3">
        <v>42191</v>
      </c>
      <c r="K3320" s="3">
        <v>42251</v>
      </c>
      <c r="L3320" s="1">
        <v>264</v>
      </c>
      <c r="M3320">
        <v>276</v>
      </c>
      <c r="N3320" s="5">
        <v>72864</v>
      </c>
      <c r="O3320">
        <v>264</v>
      </c>
      <c r="P3320">
        <v>276</v>
      </c>
      <c r="Q3320" s="4">
        <v>72864</v>
      </c>
      <c r="R3320">
        <v>58.08</v>
      </c>
      <c r="V3320">
        <v>0</v>
      </c>
      <c r="W3320">
        <v>0</v>
      </c>
      <c r="X3320">
        <v>0</v>
      </c>
      <c r="Y3320">
        <v>0</v>
      </c>
      <c r="Z3320">
        <v>0</v>
      </c>
      <c r="AA3320">
        <v>0</v>
      </c>
      <c r="AB3320" s="3">
        <v>42562</v>
      </c>
      <c r="AC3320" t="s">
        <v>53</v>
      </c>
      <c r="AD3320" t="s">
        <v>53</v>
      </c>
      <c r="AK3320">
        <v>58.08</v>
      </c>
      <c r="AU3320" s="3">
        <v>42527</v>
      </c>
      <c r="AV3320" s="3">
        <v>42527</v>
      </c>
      <c r="AW3320" t="s">
        <v>54</v>
      </c>
      <c r="AX3320" t="str">
        <f t="shared" si="387"/>
        <v>FOR</v>
      </c>
      <c r="AY3320" t="s">
        <v>55</v>
      </c>
    </row>
    <row r="3321" spans="1:51">
      <c r="A3321">
        <v>104563</v>
      </c>
      <c r="B3321" t="s">
        <v>403</v>
      </c>
      <c r="C3321" t="str">
        <f t="shared" si="386"/>
        <v>02298700010</v>
      </c>
      <c r="D3321" t="str">
        <f t="shared" si="386"/>
        <v>02298700010</v>
      </c>
      <c r="E3321" t="s">
        <v>52</v>
      </c>
      <c r="F3321">
        <v>2015</v>
      </c>
      <c r="G3321" t="str">
        <f>"          1135903459"</f>
        <v xml:space="preserve">          1135903459</v>
      </c>
      <c r="H3321" s="3">
        <v>42185</v>
      </c>
      <c r="I3321" s="3">
        <v>42192</v>
      </c>
      <c r="J3321" s="3">
        <v>42191</v>
      </c>
      <c r="K3321" s="3">
        <v>42251</v>
      </c>
      <c r="L3321" s="1">
        <v>306</v>
      </c>
      <c r="M3321">
        <v>276</v>
      </c>
      <c r="N3321" s="5">
        <v>84456</v>
      </c>
      <c r="O3321">
        <v>306</v>
      </c>
      <c r="P3321">
        <v>276</v>
      </c>
      <c r="Q3321" s="4">
        <v>84456</v>
      </c>
      <c r="R3321">
        <v>67.319999999999993</v>
      </c>
      <c r="V3321">
        <v>0</v>
      </c>
      <c r="W3321">
        <v>0</v>
      </c>
      <c r="X3321">
        <v>0</v>
      </c>
      <c r="Y3321">
        <v>0</v>
      </c>
      <c r="Z3321">
        <v>0</v>
      </c>
      <c r="AA3321">
        <v>0</v>
      </c>
      <c r="AB3321" s="3">
        <v>42562</v>
      </c>
      <c r="AC3321" t="s">
        <v>53</v>
      </c>
      <c r="AD3321" t="s">
        <v>53</v>
      </c>
      <c r="AK3321">
        <v>67.319999999999993</v>
      </c>
      <c r="AU3321" s="3">
        <v>42527</v>
      </c>
      <c r="AV3321" s="3">
        <v>42527</v>
      </c>
      <c r="AW3321" t="s">
        <v>54</v>
      </c>
      <c r="AX3321" t="str">
        <f t="shared" si="387"/>
        <v>FOR</v>
      </c>
      <c r="AY3321" t="s">
        <v>55</v>
      </c>
    </row>
    <row r="3322" spans="1:51">
      <c r="A3322">
        <v>104563</v>
      </c>
      <c r="B3322" t="s">
        <v>403</v>
      </c>
      <c r="C3322" t="str">
        <f t="shared" si="386"/>
        <v>02298700010</v>
      </c>
      <c r="D3322" t="str">
        <f t="shared" si="386"/>
        <v>02298700010</v>
      </c>
      <c r="E3322" t="s">
        <v>52</v>
      </c>
      <c r="F3322">
        <v>2015</v>
      </c>
      <c r="G3322" t="str">
        <f>"          1135903460"</f>
        <v xml:space="preserve">          1135903460</v>
      </c>
      <c r="H3322" s="3">
        <v>42185</v>
      </c>
      <c r="I3322" s="3">
        <v>42192</v>
      </c>
      <c r="J3322" s="3">
        <v>42191</v>
      </c>
      <c r="K3322" s="3">
        <v>42251</v>
      </c>
      <c r="L3322" s="1">
        <v>451</v>
      </c>
      <c r="M3322">
        <v>276</v>
      </c>
      <c r="N3322" s="5">
        <v>124476</v>
      </c>
      <c r="O3322">
        <v>451</v>
      </c>
      <c r="P3322">
        <v>276</v>
      </c>
      <c r="Q3322" s="4">
        <v>124476</v>
      </c>
      <c r="R3322">
        <v>99.22</v>
      </c>
      <c r="V3322">
        <v>0</v>
      </c>
      <c r="W3322">
        <v>0</v>
      </c>
      <c r="X3322">
        <v>0</v>
      </c>
      <c r="Y3322">
        <v>0</v>
      </c>
      <c r="Z3322">
        <v>0</v>
      </c>
      <c r="AA3322">
        <v>0</v>
      </c>
      <c r="AB3322" s="3">
        <v>42562</v>
      </c>
      <c r="AC3322" t="s">
        <v>53</v>
      </c>
      <c r="AD3322" t="s">
        <v>53</v>
      </c>
      <c r="AK3322">
        <v>99.22</v>
      </c>
      <c r="AU3322" s="3">
        <v>42527</v>
      </c>
      <c r="AV3322" s="3">
        <v>42527</v>
      </c>
      <c r="AW3322" t="s">
        <v>54</v>
      </c>
      <c r="AX3322" t="str">
        <f t="shared" si="387"/>
        <v>FOR</v>
      </c>
      <c r="AY3322" t="s">
        <v>55</v>
      </c>
    </row>
    <row r="3323" spans="1:51">
      <c r="A3323">
        <v>104563</v>
      </c>
      <c r="B3323" t="s">
        <v>403</v>
      </c>
      <c r="C3323" t="str">
        <f t="shared" si="386"/>
        <v>02298700010</v>
      </c>
      <c r="D3323" t="str">
        <f t="shared" si="386"/>
        <v>02298700010</v>
      </c>
      <c r="E3323" t="s">
        <v>52</v>
      </c>
      <c r="F3323">
        <v>2015</v>
      </c>
      <c r="G3323" t="str">
        <f>"          1135905823"</f>
        <v xml:space="preserve">          1135905823</v>
      </c>
      <c r="H3323" s="3">
        <v>42208</v>
      </c>
      <c r="I3323" s="3">
        <v>42227</v>
      </c>
      <c r="J3323" s="3">
        <v>42215</v>
      </c>
      <c r="K3323" s="3">
        <v>42275</v>
      </c>
      <c r="L3323" s="1">
        <v>22.49</v>
      </c>
      <c r="M3323">
        <v>252</v>
      </c>
      <c r="N3323" s="5">
        <v>5667.48</v>
      </c>
      <c r="O3323">
        <v>22.49</v>
      </c>
      <c r="P3323">
        <v>252</v>
      </c>
      <c r="Q3323" s="4">
        <v>5667.48</v>
      </c>
      <c r="R3323">
        <v>4.95</v>
      </c>
      <c r="V3323">
        <v>0</v>
      </c>
      <c r="W3323">
        <v>0</v>
      </c>
      <c r="X3323">
        <v>0</v>
      </c>
      <c r="Y3323">
        <v>0</v>
      </c>
      <c r="Z3323">
        <v>0</v>
      </c>
      <c r="AA3323">
        <v>0</v>
      </c>
      <c r="AB3323" s="3">
        <v>42562</v>
      </c>
      <c r="AC3323" t="s">
        <v>53</v>
      </c>
      <c r="AD3323" t="s">
        <v>53</v>
      </c>
      <c r="AK3323">
        <v>4.95</v>
      </c>
      <c r="AU3323" s="3">
        <v>42527</v>
      </c>
      <c r="AV3323" s="3">
        <v>42527</v>
      </c>
      <c r="AW3323" t="s">
        <v>54</v>
      </c>
      <c r="AX3323" t="str">
        <f t="shared" si="387"/>
        <v>FOR</v>
      </c>
      <c r="AY3323" t="s">
        <v>55</v>
      </c>
    </row>
    <row r="3324" spans="1:51">
      <c r="A3324">
        <v>104563</v>
      </c>
      <c r="B3324" t="s">
        <v>403</v>
      </c>
      <c r="C3324" t="str">
        <f t="shared" si="386"/>
        <v>02298700010</v>
      </c>
      <c r="D3324" t="str">
        <f t="shared" si="386"/>
        <v>02298700010</v>
      </c>
      <c r="E3324" t="s">
        <v>52</v>
      </c>
      <c r="F3324">
        <v>2015</v>
      </c>
      <c r="G3324" t="str">
        <f>"          1135905824"</f>
        <v xml:space="preserve">          1135905824</v>
      </c>
      <c r="H3324" s="3">
        <v>42208</v>
      </c>
      <c r="I3324" s="3">
        <v>42227</v>
      </c>
      <c r="J3324" s="3">
        <v>42215</v>
      </c>
      <c r="K3324" s="3">
        <v>42275</v>
      </c>
      <c r="L3324" s="1">
        <v>22.49</v>
      </c>
      <c r="M3324">
        <v>252</v>
      </c>
      <c r="N3324" s="5">
        <v>5667.48</v>
      </c>
      <c r="O3324">
        <v>22.49</v>
      </c>
      <c r="P3324">
        <v>252</v>
      </c>
      <c r="Q3324" s="4">
        <v>5667.48</v>
      </c>
      <c r="R3324">
        <v>4.95</v>
      </c>
      <c r="V3324">
        <v>0</v>
      </c>
      <c r="W3324">
        <v>0</v>
      </c>
      <c r="X3324">
        <v>0</v>
      </c>
      <c r="Y3324">
        <v>0</v>
      </c>
      <c r="Z3324">
        <v>0</v>
      </c>
      <c r="AA3324">
        <v>0</v>
      </c>
      <c r="AB3324" s="3">
        <v>42562</v>
      </c>
      <c r="AC3324" t="s">
        <v>53</v>
      </c>
      <c r="AD3324" t="s">
        <v>53</v>
      </c>
      <c r="AK3324">
        <v>4.95</v>
      </c>
      <c r="AU3324" s="3">
        <v>42527</v>
      </c>
      <c r="AV3324" s="3">
        <v>42527</v>
      </c>
      <c r="AW3324" t="s">
        <v>54</v>
      </c>
      <c r="AX3324" t="str">
        <f t="shared" si="387"/>
        <v>FOR</v>
      </c>
      <c r="AY3324" t="s">
        <v>55</v>
      </c>
    </row>
    <row r="3325" spans="1:51">
      <c r="A3325">
        <v>104563</v>
      </c>
      <c r="B3325" t="s">
        <v>403</v>
      </c>
      <c r="C3325" t="str">
        <f t="shared" si="386"/>
        <v>02298700010</v>
      </c>
      <c r="D3325" t="str">
        <f t="shared" si="386"/>
        <v>02298700010</v>
      </c>
      <c r="E3325" t="s">
        <v>52</v>
      </c>
      <c r="F3325">
        <v>2015</v>
      </c>
      <c r="G3325" t="str">
        <f>"          1135905856"</f>
        <v xml:space="preserve">          1135905856</v>
      </c>
      <c r="H3325" s="3">
        <v>42221</v>
      </c>
      <c r="I3325" s="3">
        <v>42228</v>
      </c>
      <c r="J3325" s="3">
        <v>42223</v>
      </c>
      <c r="K3325" s="3">
        <v>42283</v>
      </c>
      <c r="L3325" s="1">
        <v>9.07</v>
      </c>
      <c r="M3325">
        <v>244</v>
      </c>
      <c r="N3325" s="5">
        <v>2213.08</v>
      </c>
      <c r="O3325">
        <v>9.07</v>
      </c>
      <c r="P3325">
        <v>244</v>
      </c>
      <c r="Q3325" s="4">
        <v>2213.08</v>
      </c>
      <c r="R3325">
        <v>2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 s="3">
        <v>42562</v>
      </c>
      <c r="AC3325" t="s">
        <v>53</v>
      </c>
      <c r="AD3325" t="s">
        <v>53</v>
      </c>
      <c r="AK3325">
        <v>2</v>
      </c>
      <c r="AU3325" s="3">
        <v>42527</v>
      </c>
      <c r="AV3325" s="3">
        <v>42527</v>
      </c>
      <c r="AW3325" t="s">
        <v>54</v>
      </c>
      <c r="AX3325" t="str">
        <f t="shared" si="387"/>
        <v>FOR</v>
      </c>
      <c r="AY3325" t="s">
        <v>55</v>
      </c>
    </row>
    <row r="3326" spans="1:51">
      <c r="A3326">
        <v>104563</v>
      </c>
      <c r="B3326" t="s">
        <v>403</v>
      </c>
      <c r="C3326" t="str">
        <f t="shared" si="386"/>
        <v>02298700010</v>
      </c>
      <c r="D3326" t="str">
        <f t="shared" si="386"/>
        <v>02298700010</v>
      </c>
      <c r="E3326" t="s">
        <v>52</v>
      </c>
      <c r="F3326">
        <v>2015</v>
      </c>
      <c r="G3326" t="str">
        <f>"          1135905857"</f>
        <v xml:space="preserve">          1135905857</v>
      </c>
      <c r="H3326" s="3">
        <v>42221</v>
      </c>
      <c r="I3326" s="3">
        <v>42228</v>
      </c>
      <c r="J3326" s="3">
        <v>42223</v>
      </c>
      <c r="K3326" s="3">
        <v>42283</v>
      </c>
      <c r="L3326" s="1">
        <v>204</v>
      </c>
      <c r="M3326">
        <v>244</v>
      </c>
      <c r="N3326" s="5">
        <v>49776</v>
      </c>
      <c r="O3326">
        <v>204</v>
      </c>
      <c r="P3326">
        <v>244</v>
      </c>
      <c r="Q3326" s="4">
        <v>49776</v>
      </c>
      <c r="R3326">
        <v>44.88</v>
      </c>
      <c r="V3326">
        <v>0</v>
      </c>
      <c r="W3326">
        <v>0</v>
      </c>
      <c r="X3326">
        <v>0</v>
      </c>
      <c r="Y3326">
        <v>0</v>
      </c>
      <c r="Z3326">
        <v>0</v>
      </c>
      <c r="AA3326">
        <v>0</v>
      </c>
      <c r="AB3326" s="3">
        <v>42562</v>
      </c>
      <c r="AC3326" t="s">
        <v>53</v>
      </c>
      <c r="AD3326" t="s">
        <v>53</v>
      </c>
      <c r="AK3326">
        <v>44.88</v>
      </c>
      <c r="AU3326" s="3">
        <v>42527</v>
      </c>
      <c r="AV3326" s="3">
        <v>42527</v>
      </c>
      <c r="AW3326" t="s">
        <v>54</v>
      </c>
      <c r="AX3326" t="str">
        <f t="shared" si="387"/>
        <v>FOR</v>
      </c>
      <c r="AY3326" t="s">
        <v>55</v>
      </c>
    </row>
    <row r="3327" spans="1:51">
      <c r="A3327">
        <v>104563</v>
      </c>
      <c r="B3327" t="s">
        <v>403</v>
      </c>
      <c r="C3327" t="str">
        <f t="shared" ref="C3327:D3341" si="388">"02298700010"</f>
        <v>02298700010</v>
      </c>
      <c r="D3327" t="str">
        <f t="shared" si="388"/>
        <v>02298700010</v>
      </c>
      <c r="E3327" t="s">
        <v>52</v>
      </c>
      <c r="F3327">
        <v>2015</v>
      </c>
      <c r="G3327" t="str">
        <f>"          1135905867"</f>
        <v xml:space="preserve">          1135905867</v>
      </c>
      <c r="H3327" s="3">
        <v>42221</v>
      </c>
      <c r="I3327" s="3">
        <v>42228</v>
      </c>
      <c r="J3327" s="3">
        <v>42223</v>
      </c>
      <c r="K3327" s="3">
        <v>42283</v>
      </c>
      <c r="L3327" s="1">
        <v>204</v>
      </c>
      <c r="M3327">
        <v>244</v>
      </c>
      <c r="N3327" s="5">
        <v>49776</v>
      </c>
      <c r="O3327">
        <v>204</v>
      </c>
      <c r="P3327">
        <v>244</v>
      </c>
      <c r="Q3327" s="4">
        <v>49776</v>
      </c>
      <c r="R3327">
        <v>44.88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 s="3">
        <v>42562</v>
      </c>
      <c r="AC3327" t="s">
        <v>53</v>
      </c>
      <c r="AD3327" t="s">
        <v>53</v>
      </c>
      <c r="AK3327">
        <v>44.88</v>
      </c>
      <c r="AU3327" s="3">
        <v>42527</v>
      </c>
      <c r="AV3327" s="3">
        <v>42527</v>
      </c>
      <c r="AW3327" t="s">
        <v>54</v>
      </c>
      <c r="AX3327" t="str">
        <f t="shared" si="387"/>
        <v>FOR</v>
      </c>
      <c r="AY3327" t="s">
        <v>55</v>
      </c>
    </row>
    <row r="3328" spans="1:51">
      <c r="A3328">
        <v>104563</v>
      </c>
      <c r="B3328" t="s">
        <v>403</v>
      </c>
      <c r="C3328" t="str">
        <f t="shared" si="388"/>
        <v>02298700010</v>
      </c>
      <c r="D3328" t="str">
        <f t="shared" si="388"/>
        <v>02298700010</v>
      </c>
      <c r="E3328" t="s">
        <v>52</v>
      </c>
      <c r="F3328">
        <v>2015</v>
      </c>
      <c r="G3328" t="str">
        <f>"          1135905927"</f>
        <v xml:space="preserve">          1135905927</v>
      </c>
      <c r="H3328" s="3">
        <v>42228</v>
      </c>
      <c r="I3328" s="3">
        <v>42233</v>
      </c>
      <c r="J3328" s="3">
        <v>42230</v>
      </c>
      <c r="K3328" s="3">
        <v>42290</v>
      </c>
      <c r="L3328" s="1">
        <v>73.67</v>
      </c>
      <c r="M3328">
        <v>237</v>
      </c>
      <c r="N3328" s="5">
        <v>17459.79</v>
      </c>
      <c r="O3328">
        <v>73.67</v>
      </c>
      <c r="P3328">
        <v>237</v>
      </c>
      <c r="Q3328" s="4">
        <v>17459.79</v>
      </c>
      <c r="R3328">
        <v>16.21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 s="3">
        <v>42562</v>
      </c>
      <c r="AC3328" t="s">
        <v>53</v>
      </c>
      <c r="AD3328" t="s">
        <v>53</v>
      </c>
      <c r="AK3328">
        <v>16.21</v>
      </c>
      <c r="AU3328" s="3">
        <v>42527</v>
      </c>
      <c r="AV3328" s="3">
        <v>42527</v>
      </c>
      <c r="AW3328" t="s">
        <v>54</v>
      </c>
      <c r="AX3328" t="str">
        <f t="shared" si="387"/>
        <v>FOR</v>
      </c>
      <c r="AY3328" t="s">
        <v>55</v>
      </c>
    </row>
    <row r="3329" spans="1:51">
      <c r="A3329">
        <v>104563</v>
      </c>
      <c r="B3329" t="s">
        <v>403</v>
      </c>
      <c r="C3329" t="str">
        <f t="shared" si="388"/>
        <v>02298700010</v>
      </c>
      <c r="D3329" t="str">
        <f t="shared" si="388"/>
        <v>02298700010</v>
      </c>
      <c r="E3329" t="s">
        <v>52</v>
      </c>
      <c r="F3329">
        <v>2015</v>
      </c>
      <c r="G3329" t="str">
        <f>"          1135905928"</f>
        <v xml:space="preserve">          1135905928</v>
      </c>
      <c r="H3329" s="3">
        <v>42228</v>
      </c>
      <c r="I3329" s="3">
        <v>42233</v>
      </c>
      <c r="J3329" s="3">
        <v>42230</v>
      </c>
      <c r="K3329" s="3">
        <v>42290</v>
      </c>
      <c r="L3329" s="1">
        <v>102</v>
      </c>
      <c r="M3329">
        <v>237</v>
      </c>
      <c r="N3329" s="5">
        <v>24174</v>
      </c>
      <c r="O3329">
        <v>102</v>
      </c>
      <c r="P3329">
        <v>237</v>
      </c>
      <c r="Q3329" s="4">
        <v>24174</v>
      </c>
      <c r="R3329">
        <v>22.44</v>
      </c>
      <c r="V3329">
        <v>0</v>
      </c>
      <c r="W3329">
        <v>0</v>
      </c>
      <c r="X3329">
        <v>0</v>
      </c>
      <c r="Y3329">
        <v>0</v>
      </c>
      <c r="Z3329">
        <v>0</v>
      </c>
      <c r="AA3329">
        <v>0</v>
      </c>
      <c r="AB3329" s="3">
        <v>42562</v>
      </c>
      <c r="AC3329" t="s">
        <v>53</v>
      </c>
      <c r="AD3329" t="s">
        <v>53</v>
      </c>
      <c r="AK3329">
        <v>22.44</v>
      </c>
      <c r="AU3329" s="3">
        <v>42527</v>
      </c>
      <c r="AV3329" s="3">
        <v>42527</v>
      </c>
      <c r="AW3329" t="s">
        <v>54</v>
      </c>
      <c r="AX3329" t="str">
        <f t="shared" si="387"/>
        <v>FOR</v>
      </c>
      <c r="AY3329" t="s">
        <v>55</v>
      </c>
    </row>
    <row r="3330" spans="1:51">
      <c r="A3330">
        <v>104563</v>
      </c>
      <c r="B3330" t="s">
        <v>403</v>
      </c>
      <c r="C3330" t="str">
        <f t="shared" si="388"/>
        <v>02298700010</v>
      </c>
      <c r="D3330" t="str">
        <f t="shared" si="388"/>
        <v>02298700010</v>
      </c>
      <c r="E3330" t="s">
        <v>52</v>
      </c>
      <c r="F3330">
        <v>2015</v>
      </c>
      <c r="G3330" t="str">
        <f>"          1135905929"</f>
        <v xml:space="preserve">          1135905929</v>
      </c>
      <c r="H3330" s="3">
        <v>42228</v>
      </c>
      <c r="I3330" s="3">
        <v>42233</v>
      </c>
      <c r="J3330" s="3">
        <v>42230</v>
      </c>
      <c r="K3330" s="3">
        <v>42290</v>
      </c>
      <c r="L3330" s="1">
        <v>102</v>
      </c>
      <c r="M3330">
        <v>237</v>
      </c>
      <c r="N3330" s="5">
        <v>24174</v>
      </c>
      <c r="O3330">
        <v>102</v>
      </c>
      <c r="P3330">
        <v>237</v>
      </c>
      <c r="Q3330" s="4">
        <v>24174</v>
      </c>
      <c r="R3330">
        <v>22.44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 s="3">
        <v>42562</v>
      </c>
      <c r="AC3330" t="s">
        <v>53</v>
      </c>
      <c r="AD3330" t="s">
        <v>53</v>
      </c>
      <c r="AK3330">
        <v>22.44</v>
      </c>
      <c r="AU3330" s="3">
        <v>42527</v>
      </c>
      <c r="AV3330" s="3">
        <v>42527</v>
      </c>
      <c r="AW3330" t="s">
        <v>54</v>
      </c>
      <c r="AX3330" t="str">
        <f t="shared" si="387"/>
        <v>FOR</v>
      </c>
      <c r="AY3330" t="s">
        <v>55</v>
      </c>
    </row>
    <row r="3331" spans="1:51">
      <c r="A3331">
        <v>104563</v>
      </c>
      <c r="B3331" t="s">
        <v>403</v>
      </c>
      <c r="C3331" t="str">
        <f t="shared" si="388"/>
        <v>02298700010</v>
      </c>
      <c r="D3331" t="str">
        <f t="shared" si="388"/>
        <v>02298700010</v>
      </c>
      <c r="E3331" t="s">
        <v>52</v>
      </c>
      <c r="F3331">
        <v>2015</v>
      </c>
      <c r="G3331" t="str">
        <f>"          1135905936"</f>
        <v xml:space="preserve">          1135905936</v>
      </c>
      <c r="H3331" s="3">
        <v>42228</v>
      </c>
      <c r="I3331" s="3">
        <v>42233</v>
      </c>
      <c r="J3331" s="3">
        <v>42230</v>
      </c>
      <c r="K3331" s="3">
        <v>42290</v>
      </c>
      <c r="L3331" s="1">
        <v>102</v>
      </c>
      <c r="M3331">
        <v>237</v>
      </c>
      <c r="N3331" s="5">
        <v>24174</v>
      </c>
      <c r="O3331">
        <v>102</v>
      </c>
      <c r="P3331">
        <v>237</v>
      </c>
      <c r="Q3331" s="4">
        <v>24174</v>
      </c>
      <c r="R3331">
        <v>22.44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 s="3">
        <v>42562</v>
      </c>
      <c r="AC3331" t="s">
        <v>53</v>
      </c>
      <c r="AD3331" t="s">
        <v>53</v>
      </c>
      <c r="AK3331">
        <v>22.44</v>
      </c>
      <c r="AU3331" s="3">
        <v>42527</v>
      </c>
      <c r="AV3331" s="3">
        <v>42527</v>
      </c>
      <c r="AW3331" t="s">
        <v>54</v>
      </c>
      <c r="AX3331" t="str">
        <f t="shared" si="387"/>
        <v>FOR</v>
      </c>
      <c r="AY3331" t="s">
        <v>55</v>
      </c>
    </row>
    <row r="3332" spans="1:51">
      <c r="A3332">
        <v>104563</v>
      </c>
      <c r="B3332" t="s">
        <v>403</v>
      </c>
      <c r="C3332" t="str">
        <f t="shared" si="388"/>
        <v>02298700010</v>
      </c>
      <c r="D3332" t="str">
        <f t="shared" si="388"/>
        <v>02298700010</v>
      </c>
      <c r="E3332" t="s">
        <v>52</v>
      </c>
      <c r="F3332">
        <v>2015</v>
      </c>
      <c r="G3332" t="str">
        <f>"          1135906121"</f>
        <v xml:space="preserve">          1135906121</v>
      </c>
      <c r="H3332" s="3">
        <v>42277</v>
      </c>
      <c r="I3332" s="3">
        <v>42293</v>
      </c>
      <c r="J3332" s="3">
        <v>42291</v>
      </c>
      <c r="K3332" s="3">
        <v>42351</v>
      </c>
      <c r="L3332" s="1">
        <v>264</v>
      </c>
      <c r="M3332">
        <v>176</v>
      </c>
      <c r="N3332" s="5">
        <v>46464</v>
      </c>
      <c r="O3332">
        <v>264</v>
      </c>
      <c r="P3332">
        <v>176</v>
      </c>
      <c r="Q3332" s="4">
        <v>46464</v>
      </c>
      <c r="R3332">
        <v>58.08</v>
      </c>
      <c r="V3332">
        <v>0</v>
      </c>
      <c r="W3332">
        <v>0</v>
      </c>
      <c r="X3332">
        <v>0</v>
      </c>
      <c r="Y3332">
        <v>0</v>
      </c>
      <c r="Z3332">
        <v>0</v>
      </c>
      <c r="AA3332">
        <v>0</v>
      </c>
      <c r="AB3332" s="3">
        <v>42562</v>
      </c>
      <c r="AC3332" t="s">
        <v>53</v>
      </c>
      <c r="AD3332" t="s">
        <v>53</v>
      </c>
      <c r="AK3332">
        <v>58.08</v>
      </c>
      <c r="AU3332" s="3">
        <v>42527</v>
      </c>
      <c r="AV3332" s="3">
        <v>42527</v>
      </c>
      <c r="AW3332" t="s">
        <v>54</v>
      </c>
      <c r="AX3332" t="str">
        <f t="shared" si="387"/>
        <v>FOR</v>
      </c>
      <c r="AY3332" t="s">
        <v>55</v>
      </c>
    </row>
    <row r="3333" spans="1:51">
      <c r="A3333">
        <v>104563</v>
      </c>
      <c r="B3333" t="s">
        <v>403</v>
      </c>
      <c r="C3333" t="str">
        <f t="shared" si="388"/>
        <v>02298700010</v>
      </c>
      <c r="D3333" t="str">
        <f t="shared" si="388"/>
        <v>02298700010</v>
      </c>
      <c r="E3333" t="s">
        <v>52</v>
      </c>
      <c r="F3333">
        <v>2015</v>
      </c>
      <c r="G3333" t="str">
        <f>"          1135906122"</f>
        <v xml:space="preserve">          1135906122</v>
      </c>
      <c r="H3333" s="3">
        <v>42277</v>
      </c>
      <c r="I3333" s="3">
        <v>42293</v>
      </c>
      <c r="J3333" s="3">
        <v>42291</v>
      </c>
      <c r="K3333" s="3">
        <v>42351</v>
      </c>
      <c r="L3333" s="1">
        <v>306</v>
      </c>
      <c r="M3333">
        <v>176</v>
      </c>
      <c r="N3333" s="5">
        <v>53856</v>
      </c>
      <c r="O3333">
        <v>306</v>
      </c>
      <c r="P3333">
        <v>176</v>
      </c>
      <c r="Q3333" s="4">
        <v>53856</v>
      </c>
      <c r="R3333">
        <v>67.319999999999993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 s="3">
        <v>42562</v>
      </c>
      <c r="AC3333" t="s">
        <v>53</v>
      </c>
      <c r="AD3333" t="s">
        <v>53</v>
      </c>
      <c r="AK3333">
        <v>67.319999999999993</v>
      </c>
      <c r="AU3333" s="3">
        <v>42527</v>
      </c>
      <c r="AV3333" s="3">
        <v>42527</v>
      </c>
      <c r="AW3333" t="s">
        <v>54</v>
      </c>
      <c r="AX3333" t="str">
        <f t="shared" si="387"/>
        <v>FOR</v>
      </c>
      <c r="AY3333" t="s">
        <v>55</v>
      </c>
    </row>
    <row r="3334" spans="1:51">
      <c r="A3334">
        <v>104563</v>
      </c>
      <c r="B3334" t="s">
        <v>403</v>
      </c>
      <c r="C3334" t="str">
        <f t="shared" si="388"/>
        <v>02298700010</v>
      </c>
      <c r="D3334" t="str">
        <f t="shared" si="388"/>
        <v>02298700010</v>
      </c>
      <c r="E3334" t="s">
        <v>52</v>
      </c>
      <c r="F3334">
        <v>2015</v>
      </c>
      <c r="G3334" t="str">
        <f>"          1135906123"</f>
        <v xml:space="preserve">          1135906123</v>
      </c>
      <c r="H3334" s="3">
        <v>42277</v>
      </c>
      <c r="I3334" s="3">
        <v>42293</v>
      </c>
      <c r="J3334" s="3">
        <v>42291</v>
      </c>
      <c r="K3334" s="3">
        <v>42351</v>
      </c>
      <c r="L3334" s="1">
        <v>102</v>
      </c>
      <c r="M3334">
        <v>176</v>
      </c>
      <c r="N3334" s="5">
        <v>17952</v>
      </c>
      <c r="O3334">
        <v>102</v>
      </c>
      <c r="P3334">
        <v>176</v>
      </c>
      <c r="Q3334" s="4">
        <v>17952</v>
      </c>
      <c r="R3334">
        <v>22.44</v>
      </c>
      <c r="V3334">
        <v>0</v>
      </c>
      <c r="W3334">
        <v>0</v>
      </c>
      <c r="X3334">
        <v>0</v>
      </c>
      <c r="Y3334">
        <v>0</v>
      </c>
      <c r="Z3334">
        <v>0</v>
      </c>
      <c r="AA3334">
        <v>0</v>
      </c>
      <c r="AB3334" s="3">
        <v>42562</v>
      </c>
      <c r="AC3334" t="s">
        <v>53</v>
      </c>
      <c r="AD3334" t="s">
        <v>53</v>
      </c>
      <c r="AK3334">
        <v>22.44</v>
      </c>
      <c r="AU3334" s="3">
        <v>42527</v>
      </c>
      <c r="AV3334" s="3">
        <v>42527</v>
      </c>
      <c r="AW3334" t="s">
        <v>54</v>
      </c>
      <c r="AX3334" t="str">
        <f t="shared" si="387"/>
        <v>FOR</v>
      </c>
      <c r="AY3334" t="s">
        <v>55</v>
      </c>
    </row>
    <row r="3335" spans="1:51">
      <c r="A3335">
        <v>104563</v>
      </c>
      <c r="B3335" t="s">
        <v>403</v>
      </c>
      <c r="C3335" t="str">
        <f t="shared" si="388"/>
        <v>02298700010</v>
      </c>
      <c r="D3335" t="str">
        <f t="shared" si="388"/>
        <v>02298700010</v>
      </c>
      <c r="E3335" t="s">
        <v>52</v>
      </c>
      <c r="F3335">
        <v>2015</v>
      </c>
      <c r="G3335" t="str">
        <f>"          1135906124"</f>
        <v xml:space="preserve">          1135906124</v>
      </c>
      <c r="H3335" s="3">
        <v>42277</v>
      </c>
      <c r="I3335" s="3">
        <v>42293</v>
      </c>
      <c r="J3335" s="3">
        <v>42291</v>
      </c>
      <c r="K3335" s="3">
        <v>42351</v>
      </c>
      <c r="L3335" s="1">
        <v>204</v>
      </c>
      <c r="M3335">
        <v>176</v>
      </c>
      <c r="N3335" s="5">
        <v>35904</v>
      </c>
      <c r="O3335">
        <v>204</v>
      </c>
      <c r="P3335">
        <v>176</v>
      </c>
      <c r="Q3335" s="4">
        <v>35904</v>
      </c>
      <c r="R3335">
        <v>44.88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 s="3">
        <v>42562</v>
      </c>
      <c r="AC3335" t="s">
        <v>53</v>
      </c>
      <c r="AD3335" t="s">
        <v>53</v>
      </c>
      <c r="AK3335">
        <v>44.88</v>
      </c>
      <c r="AU3335" s="3">
        <v>42527</v>
      </c>
      <c r="AV3335" s="3">
        <v>42527</v>
      </c>
      <c r="AW3335" t="s">
        <v>54</v>
      </c>
      <c r="AX3335" t="str">
        <f t="shared" si="387"/>
        <v>FOR</v>
      </c>
      <c r="AY3335" t="s">
        <v>55</v>
      </c>
    </row>
    <row r="3336" spans="1:51">
      <c r="A3336">
        <v>104563</v>
      </c>
      <c r="B3336" t="s">
        <v>403</v>
      </c>
      <c r="C3336" t="str">
        <f t="shared" si="388"/>
        <v>02298700010</v>
      </c>
      <c r="D3336" t="str">
        <f t="shared" si="388"/>
        <v>02298700010</v>
      </c>
      <c r="E3336" t="s">
        <v>52</v>
      </c>
      <c r="F3336">
        <v>2015</v>
      </c>
      <c r="G3336" t="str">
        <f>"          1135906125"</f>
        <v xml:space="preserve">          1135906125</v>
      </c>
      <c r="H3336" s="3">
        <v>42277</v>
      </c>
      <c r="I3336" s="3">
        <v>42293</v>
      </c>
      <c r="J3336" s="3">
        <v>42291</v>
      </c>
      <c r="K3336" s="3">
        <v>42351</v>
      </c>
      <c r="L3336" s="1">
        <v>451</v>
      </c>
      <c r="M3336">
        <v>176</v>
      </c>
      <c r="N3336" s="5">
        <v>79376</v>
      </c>
      <c r="O3336">
        <v>451</v>
      </c>
      <c r="P3336">
        <v>176</v>
      </c>
      <c r="Q3336" s="4">
        <v>79376</v>
      </c>
      <c r="R3336">
        <v>99.22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 s="3">
        <v>42562</v>
      </c>
      <c r="AC3336" t="s">
        <v>53</v>
      </c>
      <c r="AD3336" t="s">
        <v>53</v>
      </c>
      <c r="AK3336">
        <v>99.22</v>
      </c>
      <c r="AU3336" s="3">
        <v>42527</v>
      </c>
      <c r="AV3336" s="3">
        <v>42527</v>
      </c>
      <c r="AW3336" t="s">
        <v>54</v>
      </c>
      <c r="AX3336" t="str">
        <f t="shared" si="387"/>
        <v>FOR</v>
      </c>
      <c r="AY3336" t="s">
        <v>55</v>
      </c>
    </row>
    <row r="3337" spans="1:51">
      <c r="A3337">
        <v>104563</v>
      </c>
      <c r="B3337" t="s">
        <v>403</v>
      </c>
      <c r="C3337" t="str">
        <f t="shared" si="388"/>
        <v>02298700010</v>
      </c>
      <c r="D3337" t="str">
        <f t="shared" si="388"/>
        <v>02298700010</v>
      </c>
      <c r="E3337" t="s">
        <v>52</v>
      </c>
      <c r="F3337">
        <v>2015</v>
      </c>
      <c r="G3337" t="str">
        <f>"          1135908360"</f>
        <v xml:space="preserve">          1135908360</v>
      </c>
      <c r="H3337" s="3">
        <v>42303</v>
      </c>
      <c r="I3337" s="3">
        <v>42305</v>
      </c>
      <c r="J3337" s="3">
        <v>42304</v>
      </c>
      <c r="K3337" s="3">
        <v>42364</v>
      </c>
      <c r="L3337" s="1">
        <v>76.27</v>
      </c>
      <c r="M3337">
        <v>163</v>
      </c>
      <c r="N3337" s="5">
        <v>12432.01</v>
      </c>
      <c r="O3337">
        <v>76.27</v>
      </c>
      <c r="P3337">
        <v>163</v>
      </c>
      <c r="Q3337" s="4">
        <v>12432.01</v>
      </c>
      <c r="R3337">
        <v>16.78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 s="3">
        <v>42562</v>
      </c>
      <c r="AC3337" t="s">
        <v>53</v>
      </c>
      <c r="AD3337" t="s">
        <v>53</v>
      </c>
      <c r="AK3337">
        <v>16.78</v>
      </c>
      <c r="AU3337" s="3">
        <v>42527</v>
      </c>
      <c r="AV3337" s="3">
        <v>42527</v>
      </c>
      <c r="AW3337" t="s">
        <v>54</v>
      </c>
      <c r="AX3337" t="str">
        <f t="shared" si="387"/>
        <v>FOR</v>
      </c>
      <c r="AY3337" t="s">
        <v>55</v>
      </c>
    </row>
    <row r="3338" spans="1:51">
      <c r="A3338">
        <v>104563</v>
      </c>
      <c r="B3338" t="s">
        <v>403</v>
      </c>
      <c r="C3338" t="str">
        <f t="shared" si="388"/>
        <v>02298700010</v>
      </c>
      <c r="D3338" t="str">
        <f t="shared" si="388"/>
        <v>02298700010</v>
      </c>
      <c r="E3338" t="s">
        <v>52</v>
      </c>
      <c r="F3338">
        <v>2015</v>
      </c>
      <c r="G3338" t="str">
        <f>"          1135908980"</f>
        <v xml:space="preserve">          1135908980</v>
      </c>
      <c r="H3338" s="3">
        <v>42369</v>
      </c>
      <c r="I3338" s="3">
        <v>42369</v>
      </c>
      <c r="J3338" s="3">
        <v>42369</v>
      </c>
      <c r="K3338" s="3">
        <v>42429</v>
      </c>
      <c r="L3338" s="1">
        <v>306</v>
      </c>
      <c r="M3338">
        <v>98</v>
      </c>
      <c r="N3338" s="5">
        <v>29988</v>
      </c>
      <c r="O3338">
        <v>306</v>
      </c>
      <c r="P3338">
        <v>98</v>
      </c>
      <c r="Q3338" s="4">
        <v>29988</v>
      </c>
      <c r="R3338">
        <v>67.319999999999993</v>
      </c>
      <c r="V3338">
        <v>0</v>
      </c>
      <c r="W3338">
        <v>0</v>
      </c>
      <c r="X3338">
        <v>0</v>
      </c>
      <c r="Y3338">
        <v>0</v>
      </c>
      <c r="Z3338">
        <v>0</v>
      </c>
      <c r="AA3338">
        <v>0</v>
      </c>
      <c r="AB3338" s="3">
        <v>42562</v>
      </c>
      <c r="AC3338" t="s">
        <v>53</v>
      </c>
      <c r="AD3338" t="s">
        <v>53</v>
      </c>
      <c r="AI3338">
        <v>67.319999999999993</v>
      </c>
      <c r="AK3338">
        <v>0</v>
      </c>
      <c r="AU3338" s="3">
        <v>42527</v>
      </c>
      <c r="AV3338" s="3">
        <v>42527</v>
      </c>
      <c r="AW3338" t="s">
        <v>54</v>
      </c>
      <c r="AX3338" t="str">
        <f t="shared" si="387"/>
        <v>FOR</v>
      </c>
      <c r="AY3338" t="s">
        <v>55</v>
      </c>
    </row>
    <row r="3339" spans="1:51">
      <c r="A3339">
        <v>104563</v>
      </c>
      <c r="B3339" t="s">
        <v>403</v>
      </c>
      <c r="C3339" t="str">
        <f t="shared" si="388"/>
        <v>02298700010</v>
      </c>
      <c r="D3339" t="str">
        <f t="shared" si="388"/>
        <v>02298700010</v>
      </c>
      <c r="E3339" t="s">
        <v>52</v>
      </c>
      <c r="F3339">
        <v>2015</v>
      </c>
      <c r="G3339" t="str">
        <f>"          1135908981"</f>
        <v xml:space="preserve">          1135908981</v>
      </c>
      <c r="H3339" s="3">
        <v>42369</v>
      </c>
      <c r="I3339" s="3">
        <v>42369</v>
      </c>
      <c r="J3339" s="3">
        <v>42369</v>
      </c>
      <c r="K3339" s="3">
        <v>42429</v>
      </c>
      <c r="L3339" s="1">
        <v>102</v>
      </c>
      <c r="M3339">
        <v>98</v>
      </c>
      <c r="N3339" s="5">
        <v>9996</v>
      </c>
      <c r="O3339">
        <v>102</v>
      </c>
      <c r="P3339">
        <v>98</v>
      </c>
      <c r="Q3339" s="4">
        <v>9996</v>
      </c>
      <c r="R3339">
        <v>22.44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 s="3">
        <v>42562</v>
      </c>
      <c r="AC3339" t="s">
        <v>53</v>
      </c>
      <c r="AD3339" t="s">
        <v>53</v>
      </c>
      <c r="AI3339">
        <v>22.44</v>
      </c>
      <c r="AK3339">
        <v>0</v>
      </c>
      <c r="AU3339" s="3">
        <v>42527</v>
      </c>
      <c r="AV3339" s="3">
        <v>42527</v>
      </c>
      <c r="AW3339" t="s">
        <v>54</v>
      </c>
      <c r="AX3339" t="str">
        <f t="shared" si="387"/>
        <v>FOR</v>
      </c>
      <c r="AY3339" t="s">
        <v>55</v>
      </c>
    </row>
    <row r="3340" spans="1:51">
      <c r="A3340">
        <v>104563</v>
      </c>
      <c r="B3340" t="s">
        <v>403</v>
      </c>
      <c r="C3340" t="str">
        <f t="shared" si="388"/>
        <v>02298700010</v>
      </c>
      <c r="D3340" t="str">
        <f t="shared" si="388"/>
        <v>02298700010</v>
      </c>
      <c r="E3340" t="s">
        <v>52</v>
      </c>
      <c r="F3340">
        <v>2015</v>
      </c>
      <c r="G3340" t="str">
        <f>"          1135908982"</f>
        <v xml:space="preserve">          1135908982</v>
      </c>
      <c r="H3340" s="3">
        <v>42369</v>
      </c>
      <c r="I3340" s="3">
        <v>42369</v>
      </c>
      <c r="J3340" s="3">
        <v>42369</v>
      </c>
      <c r="K3340" s="3">
        <v>42429</v>
      </c>
      <c r="L3340" s="1">
        <v>204</v>
      </c>
      <c r="M3340">
        <v>98</v>
      </c>
      <c r="N3340" s="5">
        <v>19992</v>
      </c>
      <c r="O3340">
        <v>204</v>
      </c>
      <c r="P3340">
        <v>98</v>
      </c>
      <c r="Q3340" s="4">
        <v>19992</v>
      </c>
      <c r="R3340">
        <v>44.88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 s="3">
        <v>42562</v>
      </c>
      <c r="AC3340" t="s">
        <v>53</v>
      </c>
      <c r="AD3340" t="s">
        <v>53</v>
      </c>
      <c r="AI3340">
        <v>44.88</v>
      </c>
      <c r="AK3340">
        <v>0</v>
      </c>
      <c r="AU3340" s="3">
        <v>42527</v>
      </c>
      <c r="AV3340" s="3">
        <v>42527</v>
      </c>
      <c r="AW3340" t="s">
        <v>54</v>
      </c>
      <c r="AX3340" t="str">
        <f t="shared" si="387"/>
        <v>FOR</v>
      </c>
      <c r="AY3340" t="s">
        <v>55</v>
      </c>
    </row>
    <row r="3341" spans="1:51">
      <c r="A3341">
        <v>104563</v>
      </c>
      <c r="B3341" t="s">
        <v>403</v>
      </c>
      <c r="C3341" t="str">
        <f t="shared" si="388"/>
        <v>02298700010</v>
      </c>
      <c r="D3341" t="str">
        <f t="shared" si="388"/>
        <v>02298700010</v>
      </c>
      <c r="E3341" t="s">
        <v>52</v>
      </c>
      <c r="F3341">
        <v>2015</v>
      </c>
      <c r="G3341" t="str">
        <f>"          1135908983"</f>
        <v xml:space="preserve">          1135908983</v>
      </c>
      <c r="H3341" s="3">
        <v>42369</v>
      </c>
      <c r="I3341" s="3">
        <v>42369</v>
      </c>
      <c r="J3341" s="3">
        <v>42369</v>
      </c>
      <c r="K3341" s="3">
        <v>42429</v>
      </c>
      <c r="L3341" s="1">
        <v>451</v>
      </c>
      <c r="M3341">
        <v>98</v>
      </c>
      <c r="N3341" s="5">
        <v>44198</v>
      </c>
      <c r="O3341">
        <v>451</v>
      </c>
      <c r="P3341">
        <v>98</v>
      </c>
      <c r="Q3341" s="4">
        <v>44198</v>
      </c>
      <c r="R3341">
        <v>99.22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 s="3">
        <v>42562</v>
      </c>
      <c r="AC3341" t="s">
        <v>53</v>
      </c>
      <c r="AD3341" t="s">
        <v>53</v>
      </c>
      <c r="AI3341">
        <v>99.22</v>
      </c>
      <c r="AK3341">
        <v>0</v>
      </c>
      <c r="AU3341" s="3">
        <v>42527</v>
      </c>
      <c r="AV3341" s="3">
        <v>42527</v>
      </c>
      <c r="AW3341" t="s">
        <v>54</v>
      </c>
      <c r="AX3341" t="str">
        <f t="shared" si="387"/>
        <v>FOR</v>
      </c>
      <c r="AY3341" t="s">
        <v>55</v>
      </c>
    </row>
    <row r="3342" spans="1:51" hidden="1">
      <c r="A3342">
        <v>104581</v>
      </c>
      <c r="B3342" t="s">
        <v>404</v>
      </c>
      <c r="C3342" t="str">
        <f t="shared" ref="C3342:C3347" si="389">"01429090622"</f>
        <v>01429090622</v>
      </c>
      <c r="D3342" t="str">
        <f t="shared" ref="D3342:D3347" si="390">"DLCDNL61T43A783A"</f>
        <v>DLCDNL61T43A783A</v>
      </c>
      <c r="E3342" t="s">
        <v>52</v>
      </c>
      <c r="F3342">
        <v>2015</v>
      </c>
      <c r="G3342" t="str">
        <f>"         FATTPA 8_15"</f>
        <v xml:space="preserve">         FATTPA 8_15</v>
      </c>
      <c r="H3342" s="3">
        <v>42347</v>
      </c>
      <c r="I3342" s="3">
        <v>42352</v>
      </c>
      <c r="J3342" s="3">
        <v>42350</v>
      </c>
      <c r="K3342" s="3">
        <v>42410</v>
      </c>
      <c r="L3342"/>
      <c r="N3342"/>
      <c r="O3342" s="4">
        <v>1114.76</v>
      </c>
      <c r="P3342">
        <v>-30</v>
      </c>
      <c r="Q3342" s="4">
        <v>-33442.800000000003</v>
      </c>
      <c r="R3342">
        <v>0</v>
      </c>
      <c r="V3342">
        <v>0</v>
      </c>
      <c r="W3342">
        <v>0</v>
      </c>
      <c r="X3342">
        <v>0</v>
      </c>
      <c r="Y3342">
        <v>0</v>
      </c>
      <c r="Z3342">
        <v>0</v>
      </c>
      <c r="AA3342">
        <v>0</v>
      </c>
      <c r="AB3342" s="3">
        <v>42562</v>
      </c>
      <c r="AC3342" t="s">
        <v>53</v>
      </c>
      <c r="AD3342" t="s">
        <v>53</v>
      </c>
      <c r="AK3342">
        <v>0</v>
      </c>
      <c r="AU3342" s="3">
        <v>42380</v>
      </c>
      <c r="AV3342" s="3">
        <v>42380</v>
      </c>
      <c r="AW3342" t="s">
        <v>54</v>
      </c>
      <c r="AX3342" t="str">
        <f t="shared" ref="AX3342:AX3347" si="391">"ALTPRO"</f>
        <v>ALTPRO</v>
      </c>
      <c r="AY3342" t="s">
        <v>93</v>
      </c>
    </row>
    <row r="3343" spans="1:51" hidden="1">
      <c r="A3343">
        <v>104581</v>
      </c>
      <c r="B3343" t="s">
        <v>404</v>
      </c>
      <c r="C3343" t="str">
        <f t="shared" si="389"/>
        <v>01429090622</v>
      </c>
      <c r="D3343" t="str">
        <f t="shared" si="390"/>
        <v>DLCDNL61T43A783A</v>
      </c>
      <c r="E3343" t="s">
        <v>52</v>
      </c>
      <c r="F3343">
        <v>2016</v>
      </c>
      <c r="G3343" t="str">
        <f>"         FATTPA 1_16"</f>
        <v xml:space="preserve">         FATTPA 1_16</v>
      </c>
      <c r="H3343" s="3">
        <v>42389</v>
      </c>
      <c r="I3343" s="3">
        <v>42391</v>
      </c>
      <c r="J3343" s="3">
        <v>42390</v>
      </c>
      <c r="K3343" s="3">
        <v>42450</v>
      </c>
      <c r="L3343"/>
      <c r="N3343"/>
      <c r="O3343" s="4">
        <v>1114.76</v>
      </c>
      <c r="P3343">
        <v>-47</v>
      </c>
      <c r="Q3343" s="4">
        <v>-52393.72</v>
      </c>
      <c r="R3343">
        <v>0</v>
      </c>
      <c r="V3343">
        <v>0</v>
      </c>
      <c r="W3343">
        <v>0</v>
      </c>
      <c r="X3343">
        <v>0</v>
      </c>
      <c r="Y3343">
        <v>-218.58</v>
      </c>
      <c r="Z3343" s="4">
        <v>1114.76</v>
      </c>
      <c r="AA3343" s="4">
        <v>1114.76</v>
      </c>
      <c r="AB3343" s="3">
        <v>42562</v>
      </c>
      <c r="AC3343" t="s">
        <v>53</v>
      </c>
      <c r="AD3343" t="s">
        <v>53</v>
      </c>
      <c r="AK3343">
        <v>0</v>
      </c>
      <c r="AU3343" s="3">
        <v>42403</v>
      </c>
      <c r="AV3343" s="3">
        <v>42403</v>
      </c>
      <c r="AW3343" t="s">
        <v>54</v>
      </c>
      <c r="AX3343" t="str">
        <f t="shared" si="391"/>
        <v>ALTPRO</v>
      </c>
      <c r="AY3343" t="s">
        <v>93</v>
      </c>
    </row>
    <row r="3344" spans="1:51" hidden="1">
      <c r="A3344">
        <v>104581</v>
      </c>
      <c r="B3344" t="s">
        <v>404</v>
      </c>
      <c r="C3344" t="str">
        <f t="shared" si="389"/>
        <v>01429090622</v>
      </c>
      <c r="D3344" t="str">
        <f t="shared" si="390"/>
        <v>DLCDNL61T43A783A</v>
      </c>
      <c r="E3344" t="s">
        <v>52</v>
      </c>
      <c r="F3344">
        <v>2016</v>
      </c>
      <c r="G3344" t="str">
        <f>"         FATTPA 2_16"</f>
        <v xml:space="preserve">         FATTPA 2_16</v>
      </c>
      <c r="H3344" s="3">
        <v>42427</v>
      </c>
      <c r="I3344" s="3">
        <v>42429</v>
      </c>
      <c r="J3344" s="3">
        <v>42427</v>
      </c>
      <c r="K3344" s="3">
        <v>42487</v>
      </c>
      <c r="L3344"/>
      <c r="N3344"/>
      <c r="O3344" s="4">
        <v>1333.33</v>
      </c>
      <c r="P3344">
        <v>-36</v>
      </c>
      <c r="Q3344" s="4">
        <v>-47999.88</v>
      </c>
      <c r="R3344">
        <v>0</v>
      </c>
      <c r="V3344">
        <v>0</v>
      </c>
      <c r="W3344">
        <v>0</v>
      </c>
      <c r="X3344">
        <v>0</v>
      </c>
      <c r="Y3344" s="4">
        <v>1333.33</v>
      </c>
      <c r="Z3344" s="4">
        <v>1333.33</v>
      </c>
      <c r="AA3344" s="4">
        <v>1333.33</v>
      </c>
      <c r="AB3344" s="3">
        <v>42562</v>
      </c>
      <c r="AC3344" t="s">
        <v>53</v>
      </c>
      <c r="AD3344" t="s">
        <v>53</v>
      </c>
      <c r="AK3344">
        <v>0</v>
      </c>
      <c r="AU3344" s="3">
        <v>42451</v>
      </c>
      <c r="AV3344" s="3">
        <v>42451</v>
      </c>
      <c r="AW3344" t="s">
        <v>54</v>
      </c>
      <c r="AX3344" t="str">
        <f t="shared" si="391"/>
        <v>ALTPRO</v>
      </c>
      <c r="AY3344" t="s">
        <v>93</v>
      </c>
    </row>
    <row r="3345" spans="1:51">
      <c r="A3345">
        <v>104581</v>
      </c>
      <c r="B3345" t="s">
        <v>404</v>
      </c>
      <c r="C3345" t="str">
        <f t="shared" si="389"/>
        <v>01429090622</v>
      </c>
      <c r="D3345" t="str">
        <f t="shared" si="390"/>
        <v>DLCDNL61T43A783A</v>
      </c>
      <c r="E3345" t="s">
        <v>52</v>
      </c>
      <c r="F3345">
        <v>2016</v>
      </c>
      <c r="G3345" t="str">
        <f>"         FATTPA 3_16"</f>
        <v xml:space="preserve">         FATTPA 3_16</v>
      </c>
      <c r="H3345" s="3">
        <v>42457</v>
      </c>
      <c r="I3345" s="3">
        <v>42464</v>
      </c>
      <c r="J3345" s="3">
        <v>42461</v>
      </c>
      <c r="K3345" s="3">
        <v>42521</v>
      </c>
      <c r="L3345" s="5">
        <v>1333.33</v>
      </c>
      <c r="M3345">
        <v>-34</v>
      </c>
      <c r="N3345" s="5">
        <v>-45333.22</v>
      </c>
      <c r="O3345" s="4">
        <v>1333.33</v>
      </c>
      <c r="P3345">
        <v>-34</v>
      </c>
      <c r="Q3345" s="4">
        <v>-45333.22</v>
      </c>
      <c r="R3345">
        <v>0</v>
      </c>
      <c r="V3345">
        <v>0</v>
      </c>
      <c r="W3345" s="4">
        <v>1333.33</v>
      </c>
      <c r="X3345">
        <v>0</v>
      </c>
      <c r="Y3345" s="4">
        <v>1333.33</v>
      </c>
      <c r="Z3345" s="4">
        <v>1333.33</v>
      </c>
      <c r="AA3345" s="4">
        <v>1333.33</v>
      </c>
      <c r="AB3345" s="3">
        <v>42562</v>
      </c>
      <c r="AC3345" t="s">
        <v>53</v>
      </c>
      <c r="AD3345" t="s">
        <v>53</v>
      </c>
      <c r="AK3345">
        <v>0</v>
      </c>
      <c r="AU3345" s="3">
        <v>42487</v>
      </c>
      <c r="AV3345" s="3">
        <v>42487</v>
      </c>
      <c r="AW3345" t="s">
        <v>54</v>
      </c>
      <c r="AX3345" t="str">
        <f t="shared" si="391"/>
        <v>ALTPRO</v>
      </c>
      <c r="AY3345" t="s">
        <v>93</v>
      </c>
    </row>
    <row r="3346" spans="1:51">
      <c r="A3346">
        <v>104581</v>
      </c>
      <c r="B3346" t="s">
        <v>404</v>
      </c>
      <c r="C3346" t="str">
        <f t="shared" si="389"/>
        <v>01429090622</v>
      </c>
      <c r="D3346" t="str">
        <f t="shared" si="390"/>
        <v>DLCDNL61T43A783A</v>
      </c>
      <c r="E3346" t="s">
        <v>52</v>
      </c>
      <c r="F3346">
        <v>2016</v>
      </c>
      <c r="G3346" t="str">
        <f>"         FATTPA 4_16"</f>
        <v xml:space="preserve">         FATTPA 4_16</v>
      </c>
      <c r="H3346" s="3">
        <v>42473</v>
      </c>
      <c r="I3346" s="3">
        <v>42478</v>
      </c>
      <c r="J3346" s="3">
        <v>42475</v>
      </c>
      <c r="K3346" s="3">
        <v>42535</v>
      </c>
      <c r="L3346" s="5">
        <v>1333.33</v>
      </c>
      <c r="M3346">
        <v>-48</v>
      </c>
      <c r="N3346" s="5">
        <v>-63999.839999999997</v>
      </c>
      <c r="O3346" s="4">
        <v>1333.33</v>
      </c>
      <c r="P3346">
        <v>-48</v>
      </c>
      <c r="Q3346" s="4">
        <v>-63999.839999999997</v>
      </c>
      <c r="R3346">
        <v>0</v>
      </c>
      <c r="V3346">
        <v>0</v>
      </c>
      <c r="W3346" s="4">
        <v>1333.33</v>
      </c>
      <c r="X3346" s="4">
        <v>1333.33</v>
      </c>
      <c r="Y3346" s="4">
        <v>1333.33</v>
      </c>
      <c r="Z3346" s="4">
        <v>1333.33</v>
      </c>
      <c r="AA3346" s="4">
        <v>1333.33</v>
      </c>
      <c r="AB3346" s="3">
        <v>42562</v>
      </c>
      <c r="AC3346" t="s">
        <v>53</v>
      </c>
      <c r="AD3346" t="s">
        <v>53</v>
      </c>
      <c r="AK3346">
        <v>0</v>
      </c>
      <c r="AU3346" s="3">
        <v>42487</v>
      </c>
      <c r="AV3346" s="3">
        <v>42487</v>
      </c>
      <c r="AW3346" t="s">
        <v>54</v>
      </c>
      <c r="AX3346" t="str">
        <f t="shared" si="391"/>
        <v>ALTPRO</v>
      </c>
      <c r="AY3346" t="s">
        <v>93</v>
      </c>
    </row>
    <row r="3347" spans="1:51">
      <c r="A3347">
        <v>104581</v>
      </c>
      <c r="B3347" t="s">
        <v>404</v>
      </c>
      <c r="C3347" t="str">
        <f t="shared" si="389"/>
        <v>01429090622</v>
      </c>
      <c r="D3347" t="str">
        <f t="shared" si="390"/>
        <v>DLCDNL61T43A783A</v>
      </c>
      <c r="E3347" t="s">
        <v>52</v>
      </c>
      <c r="F3347">
        <v>2016</v>
      </c>
      <c r="G3347" t="str">
        <f>"         FATTPA 5_16"</f>
        <v xml:space="preserve">         FATTPA 5_16</v>
      </c>
      <c r="H3347" s="3">
        <v>42502</v>
      </c>
      <c r="I3347" s="3">
        <v>42507</v>
      </c>
      <c r="J3347" s="3">
        <v>42503</v>
      </c>
      <c r="K3347" s="3">
        <v>42563</v>
      </c>
      <c r="L3347" s="5">
        <v>1333.33</v>
      </c>
      <c r="M3347">
        <v>-43</v>
      </c>
      <c r="N3347" s="5">
        <v>-57333.19</v>
      </c>
      <c r="O3347" s="4">
        <v>1333.33</v>
      </c>
      <c r="P3347">
        <v>-43</v>
      </c>
      <c r="Q3347" s="4">
        <v>-57333.19</v>
      </c>
      <c r="R3347">
        <v>0</v>
      </c>
      <c r="V3347" s="4">
        <v>1333.33</v>
      </c>
      <c r="W3347" s="4">
        <v>1333.33</v>
      </c>
      <c r="X3347" s="4">
        <v>1333.33</v>
      </c>
      <c r="Y3347" s="4">
        <v>1333.33</v>
      </c>
      <c r="Z3347" s="4">
        <v>1333.33</v>
      </c>
      <c r="AA3347" s="4">
        <v>1333.33</v>
      </c>
      <c r="AB3347" s="3">
        <v>42562</v>
      </c>
      <c r="AC3347" t="s">
        <v>53</v>
      </c>
      <c r="AD3347" t="s">
        <v>53</v>
      </c>
      <c r="AK3347">
        <v>0</v>
      </c>
      <c r="AU3347" s="3">
        <v>42520</v>
      </c>
      <c r="AV3347" s="3">
        <v>42520</v>
      </c>
      <c r="AW3347" t="s">
        <v>54</v>
      </c>
      <c r="AX3347" t="str">
        <f t="shared" si="391"/>
        <v>ALTPRO</v>
      </c>
      <c r="AY3347" t="s">
        <v>93</v>
      </c>
    </row>
    <row r="3348" spans="1:51">
      <c r="A3348">
        <v>104590</v>
      </c>
      <c r="B3348" t="s">
        <v>405</v>
      </c>
      <c r="C3348" t="str">
        <f>"04337640280"</f>
        <v>04337640280</v>
      </c>
      <c r="D3348" t="str">
        <f>"04337640280"</f>
        <v>04337640280</v>
      </c>
      <c r="E3348" t="s">
        <v>52</v>
      </c>
      <c r="F3348">
        <v>2014</v>
      </c>
      <c r="G3348" t="str">
        <f>"                3065"</f>
        <v xml:space="preserve">                3065</v>
      </c>
      <c r="H3348" s="3">
        <v>41836</v>
      </c>
      <c r="I3348" s="3">
        <v>41842</v>
      </c>
      <c r="J3348" s="3">
        <v>41842</v>
      </c>
      <c r="K3348" s="3">
        <v>41932</v>
      </c>
      <c r="L3348" s="5">
        <v>1342</v>
      </c>
      <c r="M3348">
        <v>598</v>
      </c>
      <c r="N3348" s="5">
        <v>802516</v>
      </c>
      <c r="O3348" s="4">
        <v>1342</v>
      </c>
      <c r="P3348">
        <v>598</v>
      </c>
      <c r="Q3348" s="4">
        <v>802516</v>
      </c>
      <c r="R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 s="3">
        <v>42562</v>
      </c>
      <c r="AC3348" t="s">
        <v>53</v>
      </c>
      <c r="AD3348" t="s">
        <v>53</v>
      </c>
      <c r="AK3348">
        <v>0</v>
      </c>
      <c r="AU3348" s="3">
        <v>42530</v>
      </c>
      <c r="AV3348" s="3">
        <v>42530</v>
      </c>
      <c r="AW3348" t="s">
        <v>54</v>
      </c>
      <c r="AX3348" t="str">
        <f t="shared" ref="AX3348:AX3379" si="392">"FOR"</f>
        <v>FOR</v>
      </c>
      <c r="AY3348" t="s">
        <v>55</v>
      </c>
    </row>
    <row r="3349" spans="1:51">
      <c r="A3349">
        <v>104590</v>
      </c>
      <c r="B3349" t="s">
        <v>405</v>
      </c>
      <c r="C3349" t="str">
        <f>"04337640280"</f>
        <v>04337640280</v>
      </c>
      <c r="D3349" t="str">
        <f>"04337640280"</f>
        <v>04337640280</v>
      </c>
      <c r="E3349" t="s">
        <v>52</v>
      </c>
      <c r="F3349">
        <v>2015</v>
      </c>
      <c r="G3349" t="str">
        <f>"              2682/4"</f>
        <v xml:space="preserve">              2682/4</v>
      </c>
      <c r="H3349" s="3">
        <v>42181</v>
      </c>
      <c r="I3349" s="3">
        <v>42219</v>
      </c>
      <c r="J3349" s="3">
        <v>42199</v>
      </c>
      <c r="K3349" s="3">
        <v>42259</v>
      </c>
      <c r="L3349" s="5">
        <v>1100</v>
      </c>
      <c r="M3349">
        <v>268</v>
      </c>
      <c r="N3349" s="5">
        <v>294800</v>
      </c>
      <c r="O3349" s="4">
        <v>1100</v>
      </c>
      <c r="P3349">
        <v>268</v>
      </c>
      <c r="Q3349" s="4">
        <v>294800</v>
      </c>
      <c r="R3349">
        <v>242</v>
      </c>
      <c r="V3349">
        <v>0</v>
      </c>
      <c r="W3349">
        <v>0</v>
      </c>
      <c r="X3349">
        <v>0</v>
      </c>
      <c r="Y3349">
        <v>0</v>
      </c>
      <c r="Z3349">
        <v>0</v>
      </c>
      <c r="AA3349">
        <v>0</v>
      </c>
      <c r="AB3349" s="3">
        <v>42562</v>
      </c>
      <c r="AC3349" t="s">
        <v>53</v>
      </c>
      <c r="AD3349" t="s">
        <v>53</v>
      </c>
      <c r="AK3349">
        <v>242</v>
      </c>
      <c r="AU3349" s="3">
        <v>42527</v>
      </c>
      <c r="AV3349" s="3">
        <v>42527</v>
      </c>
      <c r="AW3349" t="s">
        <v>54</v>
      </c>
      <c r="AX3349" t="str">
        <f t="shared" si="392"/>
        <v>FOR</v>
      </c>
      <c r="AY3349" t="s">
        <v>55</v>
      </c>
    </row>
    <row r="3350" spans="1:51" hidden="1">
      <c r="A3350">
        <v>104591</v>
      </c>
      <c r="B3350" t="s">
        <v>406</v>
      </c>
      <c r="C3350" t="str">
        <f t="shared" ref="C3350:D3352" si="393">"00941660151"</f>
        <v>00941660151</v>
      </c>
      <c r="D3350" t="str">
        <f t="shared" si="393"/>
        <v>00941660151</v>
      </c>
      <c r="E3350" t="s">
        <v>52</v>
      </c>
      <c r="F3350">
        <v>2015</v>
      </c>
      <c r="G3350" t="str">
        <f>"              E01179"</f>
        <v xml:space="preserve">              E01179</v>
      </c>
      <c r="H3350" s="3">
        <v>42170</v>
      </c>
      <c r="I3350" s="3">
        <v>42174</v>
      </c>
      <c r="J3350" s="3">
        <v>42172</v>
      </c>
      <c r="K3350" s="3">
        <v>42232</v>
      </c>
      <c r="L3350"/>
      <c r="N3350"/>
      <c r="O3350">
        <v>147.74</v>
      </c>
      <c r="P3350">
        <v>227</v>
      </c>
      <c r="Q3350" s="4">
        <v>33536.980000000003</v>
      </c>
      <c r="R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 s="3">
        <v>42562</v>
      </c>
      <c r="AC3350" t="s">
        <v>53</v>
      </c>
      <c r="AD3350" t="s">
        <v>53</v>
      </c>
      <c r="AK3350">
        <v>0</v>
      </c>
      <c r="AU3350" s="3">
        <v>42459</v>
      </c>
      <c r="AV3350" s="3">
        <v>42459</v>
      </c>
      <c r="AW3350" t="s">
        <v>54</v>
      </c>
      <c r="AX3350" t="str">
        <f t="shared" si="392"/>
        <v>FOR</v>
      </c>
      <c r="AY3350" t="s">
        <v>55</v>
      </c>
    </row>
    <row r="3351" spans="1:51" hidden="1">
      <c r="A3351">
        <v>104591</v>
      </c>
      <c r="B3351" t="s">
        <v>406</v>
      </c>
      <c r="C3351" t="str">
        <f t="shared" si="393"/>
        <v>00941660151</v>
      </c>
      <c r="D3351" t="str">
        <f t="shared" si="393"/>
        <v>00941660151</v>
      </c>
      <c r="E3351" t="s">
        <v>52</v>
      </c>
      <c r="F3351">
        <v>2015</v>
      </c>
      <c r="G3351" t="str">
        <f>"              E03312"</f>
        <v xml:space="preserve">              E03312</v>
      </c>
      <c r="H3351" s="3">
        <v>42323</v>
      </c>
      <c r="I3351" s="3">
        <v>42326</v>
      </c>
      <c r="J3351" s="3">
        <v>42325</v>
      </c>
      <c r="K3351" s="3">
        <v>42385</v>
      </c>
      <c r="L3351"/>
      <c r="N3351"/>
      <c r="O3351">
        <v>440.79</v>
      </c>
      <c r="P3351">
        <v>18</v>
      </c>
      <c r="Q3351" s="4">
        <v>7934.22</v>
      </c>
      <c r="R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 s="3">
        <v>42562</v>
      </c>
      <c r="AC3351" t="s">
        <v>53</v>
      </c>
      <c r="AD3351" t="s">
        <v>53</v>
      </c>
      <c r="AK3351">
        <v>0</v>
      </c>
      <c r="AU3351" s="3">
        <v>42403</v>
      </c>
      <c r="AV3351" s="3">
        <v>42403</v>
      </c>
      <c r="AW3351" t="s">
        <v>54</v>
      </c>
      <c r="AX3351" t="str">
        <f t="shared" si="392"/>
        <v>FOR</v>
      </c>
      <c r="AY3351" t="s">
        <v>55</v>
      </c>
    </row>
    <row r="3352" spans="1:51" hidden="1">
      <c r="A3352">
        <v>104591</v>
      </c>
      <c r="B3352" t="s">
        <v>406</v>
      </c>
      <c r="C3352" t="str">
        <f t="shared" si="393"/>
        <v>00941660151</v>
      </c>
      <c r="D3352" t="str">
        <f t="shared" si="393"/>
        <v>00941660151</v>
      </c>
      <c r="E3352" t="s">
        <v>52</v>
      </c>
      <c r="F3352">
        <v>2015</v>
      </c>
      <c r="G3352" t="str">
        <f>"              E03518"</f>
        <v xml:space="preserve">              E03518</v>
      </c>
      <c r="H3352" s="3">
        <v>42338</v>
      </c>
      <c r="I3352" s="3">
        <v>42342</v>
      </c>
      <c r="J3352" s="3">
        <v>42341</v>
      </c>
      <c r="K3352" s="3">
        <v>42401</v>
      </c>
      <c r="L3352"/>
      <c r="N3352"/>
      <c r="O3352">
        <v>88.16</v>
      </c>
      <c r="P3352">
        <v>2</v>
      </c>
      <c r="Q3352">
        <v>176.32</v>
      </c>
      <c r="R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 s="3">
        <v>42562</v>
      </c>
      <c r="AC3352" t="s">
        <v>53</v>
      </c>
      <c r="AD3352" t="s">
        <v>53</v>
      </c>
      <c r="AK3352">
        <v>0</v>
      </c>
      <c r="AU3352" s="3">
        <v>42403</v>
      </c>
      <c r="AV3352" s="3">
        <v>42403</v>
      </c>
      <c r="AW3352" t="s">
        <v>54</v>
      </c>
      <c r="AX3352" t="str">
        <f t="shared" si="392"/>
        <v>FOR</v>
      </c>
      <c r="AY3352" t="s">
        <v>55</v>
      </c>
    </row>
    <row r="3353" spans="1:51" hidden="1">
      <c r="A3353">
        <v>104592</v>
      </c>
      <c r="B3353" t="s">
        <v>407</v>
      </c>
      <c r="C3353" t="str">
        <f t="shared" ref="C3353:C3381" si="394">"01911071007"</f>
        <v>01911071007</v>
      </c>
      <c r="D3353" t="str">
        <f t="shared" ref="D3353:D3381" si="395">"07931650589"</f>
        <v>07931650589</v>
      </c>
      <c r="E3353" t="s">
        <v>52</v>
      </c>
      <c r="F3353">
        <v>2015</v>
      </c>
      <c r="G3353" t="str">
        <f>"             1503455"</f>
        <v xml:space="preserve">             1503455</v>
      </c>
      <c r="H3353" s="3">
        <v>42053</v>
      </c>
      <c r="I3353" s="3">
        <v>42060</v>
      </c>
      <c r="J3353" s="3">
        <v>42060</v>
      </c>
      <c r="K3353" s="3">
        <v>42120</v>
      </c>
      <c r="L3353"/>
      <c r="N3353"/>
      <c r="O3353" s="4">
        <v>7017.6</v>
      </c>
      <c r="P3353">
        <v>288</v>
      </c>
      <c r="Q3353" s="4">
        <v>2021068.8</v>
      </c>
      <c r="R3353">
        <v>0</v>
      </c>
      <c r="V3353">
        <v>0</v>
      </c>
      <c r="W3353">
        <v>0</v>
      </c>
      <c r="X3353">
        <v>0</v>
      </c>
      <c r="Y3353">
        <v>0</v>
      </c>
      <c r="Z3353">
        <v>0</v>
      </c>
      <c r="AA3353">
        <v>0</v>
      </c>
      <c r="AB3353" s="3">
        <v>42562</v>
      </c>
      <c r="AC3353" t="s">
        <v>53</v>
      </c>
      <c r="AD3353" t="s">
        <v>53</v>
      </c>
      <c r="AK3353">
        <v>0</v>
      </c>
      <c r="AU3353" s="3">
        <v>42408</v>
      </c>
      <c r="AV3353" s="3">
        <v>42408</v>
      </c>
      <c r="AW3353" t="s">
        <v>54</v>
      </c>
      <c r="AX3353" t="str">
        <f t="shared" si="392"/>
        <v>FOR</v>
      </c>
      <c r="AY3353" t="s">
        <v>55</v>
      </c>
    </row>
    <row r="3354" spans="1:51" hidden="1">
      <c r="A3354">
        <v>104592</v>
      </c>
      <c r="B3354" t="s">
        <v>407</v>
      </c>
      <c r="C3354" t="str">
        <f t="shared" si="394"/>
        <v>01911071007</v>
      </c>
      <c r="D3354" t="str">
        <f t="shared" si="395"/>
        <v>07931650589</v>
      </c>
      <c r="E3354" t="s">
        <v>52</v>
      </c>
      <c r="F3354">
        <v>2015</v>
      </c>
      <c r="G3354" t="str">
        <f>"             1504652"</f>
        <v xml:space="preserve">             1504652</v>
      </c>
      <c r="H3354" s="3">
        <v>42068</v>
      </c>
      <c r="I3354" s="3">
        <v>42081</v>
      </c>
      <c r="J3354" s="3">
        <v>42081</v>
      </c>
      <c r="K3354" s="3">
        <v>42141</v>
      </c>
      <c r="L3354"/>
      <c r="N3354"/>
      <c r="O3354" s="4">
        <v>3364.2</v>
      </c>
      <c r="P3354">
        <v>275</v>
      </c>
      <c r="Q3354" s="4">
        <v>925155</v>
      </c>
      <c r="R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 s="3">
        <v>42562</v>
      </c>
      <c r="AC3354" t="s">
        <v>53</v>
      </c>
      <c r="AD3354" t="s">
        <v>53</v>
      </c>
      <c r="AK3354">
        <v>0</v>
      </c>
      <c r="AU3354" s="3">
        <v>42416</v>
      </c>
      <c r="AV3354" s="3">
        <v>42416</v>
      </c>
      <c r="AW3354" t="s">
        <v>54</v>
      </c>
      <c r="AX3354" t="str">
        <f t="shared" si="392"/>
        <v>FOR</v>
      </c>
      <c r="AY3354" t="s">
        <v>55</v>
      </c>
    </row>
    <row r="3355" spans="1:51" hidden="1">
      <c r="A3355">
        <v>104592</v>
      </c>
      <c r="B3355" t="s">
        <v>407</v>
      </c>
      <c r="C3355" t="str">
        <f t="shared" si="394"/>
        <v>01911071007</v>
      </c>
      <c r="D3355" t="str">
        <f t="shared" si="395"/>
        <v>07931650589</v>
      </c>
      <c r="E3355" t="s">
        <v>52</v>
      </c>
      <c r="F3355">
        <v>2015</v>
      </c>
      <c r="G3355" t="str">
        <f>"             1504852"</f>
        <v xml:space="preserve">             1504852</v>
      </c>
      <c r="H3355" s="3">
        <v>42072</v>
      </c>
      <c r="I3355" s="3">
        <v>42080</v>
      </c>
      <c r="J3355" s="3">
        <v>42080</v>
      </c>
      <c r="K3355" s="3">
        <v>42140</v>
      </c>
      <c r="L3355"/>
      <c r="N3355"/>
      <c r="O3355">
        <v>400</v>
      </c>
      <c r="P3355">
        <v>276</v>
      </c>
      <c r="Q3355" s="4">
        <v>110400</v>
      </c>
      <c r="R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 s="3">
        <v>42562</v>
      </c>
      <c r="AC3355" t="s">
        <v>53</v>
      </c>
      <c r="AD3355" t="s">
        <v>53</v>
      </c>
      <c r="AK3355">
        <v>0</v>
      </c>
      <c r="AU3355" s="3">
        <v>42416</v>
      </c>
      <c r="AV3355" s="3">
        <v>42416</v>
      </c>
      <c r="AW3355" t="s">
        <v>54</v>
      </c>
      <c r="AX3355" t="str">
        <f t="shared" si="392"/>
        <v>FOR</v>
      </c>
      <c r="AY3355" t="s">
        <v>55</v>
      </c>
    </row>
    <row r="3356" spans="1:51" hidden="1">
      <c r="A3356">
        <v>104592</v>
      </c>
      <c r="B3356" t="s">
        <v>407</v>
      </c>
      <c r="C3356" t="str">
        <f t="shared" si="394"/>
        <v>01911071007</v>
      </c>
      <c r="D3356" t="str">
        <f t="shared" si="395"/>
        <v>07931650589</v>
      </c>
      <c r="E3356" t="s">
        <v>52</v>
      </c>
      <c r="F3356">
        <v>2015</v>
      </c>
      <c r="G3356" t="str">
        <f>"             1505493"</f>
        <v xml:space="preserve">             1505493</v>
      </c>
      <c r="H3356" s="3">
        <v>42080</v>
      </c>
      <c r="I3356" s="3">
        <v>42087</v>
      </c>
      <c r="J3356" s="3">
        <v>42087</v>
      </c>
      <c r="K3356" s="3">
        <v>42147</v>
      </c>
      <c r="L3356"/>
      <c r="N3356"/>
      <c r="O3356">
        <v>785</v>
      </c>
      <c r="P3356">
        <v>269</v>
      </c>
      <c r="Q3356" s="4">
        <v>211165</v>
      </c>
      <c r="R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 s="3">
        <v>42562</v>
      </c>
      <c r="AC3356" t="s">
        <v>53</v>
      </c>
      <c r="AD3356" t="s">
        <v>53</v>
      </c>
      <c r="AK3356">
        <v>0</v>
      </c>
      <c r="AU3356" s="3">
        <v>42416</v>
      </c>
      <c r="AV3356" s="3">
        <v>42416</v>
      </c>
      <c r="AW3356" t="s">
        <v>54</v>
      </c>
      <c r="AX3356" t="str">
        <f t="shared" si="392"/>
        <v>FOR</v>
      </c>
      <c r="AY3356" t="s">
        <v>55</v>
      </c>
    </row>
    <row r="3357" spans="1:51" hidden="1">
      <c r="A3357">
        <v>104592</v>
      </c>
      <c r="B3357" t="s">
        <v>407</v>
      </c>
      <c r="C3357" t="str">
        <f t="shared" si="394"/>
        <v>01911071007</v>
      </c>
      <c r="D3357" t="str">
        <f t="shared" si="395"/>
        <v>07931650589</v>
      </c>
      <c r="E3357" t="s">
        <v>52</v>
      </c>
      <c r="F3357">
        <v>2015</v>
      </c>
      <c r="G3357" t="str">
        <f>"             3500255"</f>
        <v xml:space="preserve">             3500255</v>
      </c>
      <c r="H3357" s="3">
        <v>42086</v>
      </c>
      <c r="I3357" s="3">
        <v>42094</v>
      </c>
      <c r="J3357" s="3">
        <v>42094</v>
      </c>
      <c r="K3357" s="3">
        <v>42154</v>
      </c>
      <c r="L3357"/>
      <c r="N3357"/>
      <c r="O3357" s="4">
        <v>1682.1</v>
      </c>
      <c r="P3357">
        <v>262</v>
      </c>
      <c r="Q3357" s="4">
        <v>440710.2</v>
      </c>
      <c r="R3357">
        <v>0</v>
      </c>
      <c r="V3357">
        <v>0</v>
      </c>
      <c r="W3357">
        <v>0</v>
      </c>
      <c r="X3357">
        <v>0</v>
      </c>
      <c r="Y3357">
        <v>0</v>
      </c>
      <c r="Z3357">
        <v>0</v>
      </c>
      <c r="AA3357">
        <v>0</v>
      </c>
      <c r="AB3357" s="3">
        <v>42562</v>
      </c>
      <c r="AC3357" t="s">
        <v>53</v>
      </c>
      <c r="AD3357" t="s">
        <v>53</v>
      </c>
      <c r="AK3357">
        <v>0</v>
      </c>
      <c r="AU3357" s="3">
        <v>42416</v>
      </c>
      <c r="AV3357" s="3">
        <v>42416</v>
      </c>
      <c r="AW3357" t="s">
        <v>54</v>
      </c>
      <c r="AX3357" t="str">
        <f t="shared" si="392"/>
        <v>FOR</v>
      </c>
      <c r="AY3357" t="s">
        <v>55</v>
      </c>
    </row>
    <row r="3358" spans="1:51" hidden="1">
      <c r="A3358">
        <v>104592</v>
      </c>
      <c r="B3358" t="s">
        <v>407</v>
      </c>
      <c r="C3358" t="str">
        <f t="shared" si="394"/>
        <v>01911071007</v>
      </c>
      <c r="D3358" t="str">
        <f t="shared" si="395"/>
        <v>07931650589</v>
      </c>
      <c r="E3358" t="s">
        <v>52</v>
      </c>
      <c r="F3358">
        <v>2015</v>
      </c>
      <c r="G3358" t="str">
        <f>"             3500569"</f>
        <v xml:space="preserve">             3500569</v>
      </c>
      <c r="H3358" s="3">
        <v>42093</v>
      </c>
      <c r="I3358" s="3">
        <v>42108</v>
      </c>
      <c r="J3358" s="3">
        <v>42108</v>
      </c>
      <c r="K3358" s="3">
        <v>42168</v>
      </c>
      <c r="L3358"/>
      <c r="N3358"/>
      <c r="O3358" s="4">
        <v>5214</v>
      </c>
      <c r="P3358">
        <v>248</v>
      </c>
      <c r="Q3358" s="4">
        <v>1293072</v>
      </c>
      <c r="R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 s="3">
        <v>42562</v>
      </c>
      <c r="AC3358" t="s">
        <v>53</v>
      </c>
      <c r="AD3358" t="s">
        <v>53</v>
      </c>
      <c r="AK3358">
        <v>0</v>
      </c>
      <c r="AU3358" s="3">
        <v>42416</v>
      </c>
      <c r="AV3358" s="3">
        <v>42416</v>
      </c>
      <c r="AW3358" t="s">
        <v>54</v>
      </c>
      <c r="AX3358" t="str">
        <f t="shared" si="392"/>
        <v>FOR</v>
      </c>
      <c r="AY3358" t="s">
        <v>55</v>
      </c>
    </row>
    <row r="3359" spans="1:51" hidden="1">
      <c r="A3359">
        <v>104592</v>
      </c>
      <c r="B3359" t="s">
        <v>407</v>
      </c>
      <c r="C3359" t="str">
        <f t="shared" si="394"/>
        <v>01911071007</v>
      </c>
      <c r="D3359" t="str">
        <f t="shared" si="395"/>
        <v>07931650589</v>
      </c>
      <c r="E3359" t="s">
        <v>52</v>
      </c>
      <c r="F3359">
        <v>2015</v>
      </c>
      <c r="G3359" t="str">
        <f>"          3501151 XU"</f>
        <v xml:space="preserve">          3501151 XU</v>
      </c>
      <c r="H3359" s="3">
        <v>42108</v>
      </c>
      <c r="I3359" s="3">
        <v>42116</v>
      </c>
      <c r="J3359" s="3">
        <v>42115</v>
      </c>
      <c r="K3359" s="3">
        <v>42175</v>
      </c>
      <c r="L3359"/>
      <c r="N3359"/>
      <c r="O3359" s="4">
        <v>3508.8</v>
      </c>
      <c r="P3359">
        <v>278</v>
      </c>
      <c r="Q3359" s="4">
        <v>975446.4</v>
      </c>
      <c r="R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 s="3">
        <v>42562</v>
      </c>
      <c r="AC3359" t="s">
        <v>53</v>
      </c>
      <c r="AD3359" t="s">
        <v>53</v>
      </c>
      <c r="AK3359">
        <v>0</v>
      </c>
      <c r="AU3359" s="3">
        <v>42453</v>
      </c>
      <c r="AV3359" s="3">
        <v>42453</v>
      </c>
      <c r="AW3359" t="s">
        <v>54</v>
      </c>
      <c r="AX3359" t="str">
        <f t="shared" si="392"/>
        <v>FOR</v>
      </c>
      <c r="AY3359" t="s">
        <v>55</v>
      </c>
    </row>
    <row r="3360" spans="1:51" hidden="1">
      <c r="A3360">
        <v>104592</v>
      </c>
      <c r="B3360" t="s">
        <v>407</v>
      </c>
      <c r="C3360" t="str">
        <f t="shared" si="394"/>
        <v>01911071007</v>
      </c>
      <c r="D3360" t="str">
        <f t="shared" si="395"/>
        <v>07931650589</v>
      </c>
      <c r="E3360" t="s">
        <v>52</v>
      </c>
      <c r="F3360">
        <v>2015</v>
      </c>
      <c r="G3360" t="str">
        <f>"          3501152 XU"</f>
        <v xml:space="preserve">          3501152 XU</v>
      </c>
      <c r="H3360" s="3">
        <v>42108</v>
      </c>
      <c r="I3360" s="3">
        <v>42116</v>
      </c>
      <c r="J3360" s="3">
        <v>42115</v>
      </c>
      <c r="K3360" s="3">
        <v>42175</v>
      </c>
      <c r="L3360"/>
      <c r="N3360"/>
      <c r="O3360">
        <v>500.5</v>
      </c>
      <c r="P3360">
        <v>278</v>
      </c>
      <c r="Q3360" s="4">
        <v>139139</v>
      </c>
      <c r="R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 s="3">
        <v>42562</v>
      </c>
      <c r="AC3360" t="s">
        <v>53</v>
      </c>
      <c r="AD3360" t="s">
        <v>53</v>
      </c>
      <c r="AK3360">
        <v>0</v>
      </c>
      <c r="AU3360" s="3">
        <v>42453</v>
      </c>
      <c r="AV3360" s="3">
        <v>42453</v>
      </c>
      <c r="AW3360" t="s">
        <v>54</v>
      </c>
      <c r="AX3360" t="str">
        <f t="shared" si="392"/>
        <v>FOR</v>
      </c>
      <c r="AY3360" t="s">
        <v>55</v>
      </c>
    </row>
    <row r="3361" spans="1:51" hidden="1">
      <c r="A3361">
        <v>104592</v>
      </c>
      <c r="B3361" t="s">
        <v>407</v>
      </c>
      <c r="C3361" t="str">
        <f t="shared" si="394"/>
        <v>01911071007</v>
      </c>
      <c r="D3361" t="str">
        <f t="shared" si="395"/>
        <v>07931650589</v>
      </c>
      <c r="E3361" t="s">
        <v>52</v>
      </c>
      <c r="F3361">
        <v>2015</v>
      </c>
      <c r="G3361" t="str">
        <f>"          3501947 XU"</f>
        <v xml:space="preserve">          3501947 XU</v>
      </c>
      <c r="H3361" s="3">
        <v>42124</v>
      </c>
      <c r="I3361" s="3">
        <v>42129</v>
      </c>
      <c r="J3361" s="3">
        <v>42129</v>
      </c>
      <c r="K3361" s="3">
        <v>42189</v>
      </c>
      <c r="L3361"/>
      <c r="N3361"/>
      <c r="O3361" s="4">
        <v>2609.6999999999998</v>
      </c>
      <c r="P3361">
        <v>264</v>
      </c>
      <c r="Q3361" s="4">
        <v>688960.8</v>
      </c>
      <c r="R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 s="3">
        <v>42562</v>
      </c>
      <c r="AC3361" t="s">
        <v>53</v>
      </c>
      <c r="AD3361" t="s">
        <v>53</v>
      </c>
      <c r="AK3361">
        <v>0</v>
      </c>
      <c r="AU3361" s="3">
        <v>42453</v>
      </c>
      <c r="AV3361" s="3">
        <v>42453</v>
      </c>
      <c r="AW3361" t="s">
        <v>54</v>
      </c>
      <c r="AX3361" t="str">
        <f t="shared" si="392"/>
        <v>FOR</v>
      </c>
      <c r="AY3361" t="s">
        <v>55</v>
      </c>
    </row>
    <row r="3362" spans="1:51" hidden="1">
      <c r="A3362">
        <v>104592</v>
      </c>
      <c r="B3362" t="s">
        <v>407</v>
      </c>
      <c r="C3362" t="str">
        <f t="shared" si="394"/>
        <v>01911071007</v>
      </c>
      <c r="D3362" t="str">
        <f t="shared" si="395"/>
        <v>07931650589</v>
      </c>
      <c r="E3362" t="s">
        <v>52</v>
      </c>
      <c r="F3362">
        <v>2015</v>
      </c>
      <c r="G3362" t="str">
        <f>"          3502022 XU"</f>
        <v xml:space="preserve">          3502022 XU</v>
      </c>
      <c r="H3362" s="3">
        <v>42128</v>
      </c>
      <c r="I3362" s="3">
        <v>42132</v>
      </c>
      <c r="J3362" s="3">
        <v>42132</v>
      </c>
      <c r="K3362" s="3">
        <v>42192</v>
      </c>
      <c r="L3362"/>
      <c r="N3362"/>
      <c r="O3362" s="4">
        <v>8844.2999999999993</v>
      </c>
      <c r="P3362">
        <v>261</v>
      </c>
      <c r="Q3362" s="4">
        <v>2308362.2999999998</v>
      </c>
      <c r="R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 s="3">
        <v>42562</v>
      </c>
      <c r="AC3362" t="s">
        <v>53</v>
      </c>
      <c r="AD3362" t="s">
        <v>53</v>
      </c>
      <c r="AK3362">
        <v>0</v>
      </c>
      <c r="AU3362" s="3">
        <v>42453</v>
      </c>
      <c r="AV3362" s="3">
        <v>42453</v>
      </c>
      <c r="AW3362" t="s">
        <v>54</v>
      </c>
      <c r="AX3362" t="str">
        <f t="shared" si="392"/>
        <v>FOR</v>
      </c>
      <c r="AY3362" t="s">
        <v>55</v>
      </c>
    </row>
    <row r="3363" spans="1:51" hidden="1">
      <c r="A3363">
        <v>104592</v>
      </c>
      <c r="B3363" t="s">
        <v>407</v>
      </c>
      <c r="C3363" t="str">
        <f t="shared" si="394"/>
        <v>01911071007</v>
      </c>
      <c r="D3363" t="str">
        <f t="shared" si="395"/>
        <v>07931650589</v>
      </c>
      <c r="E3363" t="s">
        <v>52</v>
      </c>
      <c r="F3363">
        <v>2015</v>
      </c>
      <c r="G3363" t="str">
        <f>"          3502023 XU"</f>
        <v xml:space="preserve">          3502023 XU</v>
      </c>
      <c r="H3363" s="3">
        <v>42128</v>
      </c>
      <c r="I3363" s="3">
        <v>42132</v>
      </c>
      <c r="J3363" s="3">
        <v>42132</v>
      </c>
      <c r="K3363" s="3">
        <v>42192</v>
      </c>
      <c r="L3363"/>
      <c r="N3363"/>
      <c r="O3363" s="4">
        <v>1570</v>
      </c>
      <c r="P3363">
        <v>261</v>
      </c>
      <c r="Q3363" s="4">
        <v>409770</v>
      </c>
      <c r="R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 s="3">
        <v>42562</v>
      </c>
      <c r="AC3363" t="s">
        <v>53</v>
      </c>
      <c r="AD3363" t="s">
        <v>53</v>
      </c>
      <c r="AK3363">
        <v>0</v>
      </c>
      <c r="AU3363" s="3">
        <v>42453</v>
      </c>
      <c r="AV3363" s="3">
        <v>42453</v>
      </c>
      <c r="AW3363" t="s">
        <v>54</v>
      </c>
      <c r="AX3363" t="str">
        <f t="shared" si="392"/>
        <v>FOR</v>
      </c>
      <c r="AY3363" t="s">
        <v>55</v>
      </c>
    </row>
    <row r="3364" spans="1:51" hidden="1">
      <c r="A3364">
        <v>104592</v>
      </c>
      <c r="B3364" t="s">
        <v>407</v>
      </c>
      <c r="C3364" t="str">
        <f t="shared" si="394"/>
        <v>01911071007</v>
      </c>
      <c r="D3364" t="str">
        <f t="shared" si="395"/>
        <v>07931650589</v>
      </c>
      <c r="E3364" t="s">
        <v>52</v>
      </c>
      <c r="F3364">
        <v>2015</v>
      </c>
      <c r="G3364" t="str">
        <f>"          3502225 XU"</f>
        <v xml:space="preserve">          3502225 XU</v>
      </c>
      <c r="H3364" s="3">
        <v>42131</v>
      </c>
      <c r="I3364" s="3">
        <v>42139</v>
      </c>
      <c r="J3364" s="3">
        <v>42137</v>
      </c>
      <c r="K3364" s="3">
        <v>42197</v>
      </c>
      <c r="L3364"/>
      <c r="N3364"/>
      <c r="O3364">
        <v>860</v>
      </c>
      <c r="P3364">
        <v>256</v>
      </c>
      <c r="Q3364" s="4">
        <v>220160</v>
      </c>
      <c r="R3364">
        <v>0</v>
      </c>
      <c r="V3364">
        <v>0</v>
      </c>
      <c r="W3364">
        <v>0</v>
      </c>
      <c r="X3364">
        <v>0</v>
      </c>
      <c r="Y3364">
        <v>0</v>
      </c>
      <c r="Z3364">
        <v>0</v>
      </c>
      <c r="AA3364">
        <v>0</v>
      </c>
      <c r="AB3364" s="3">
        <v>42562</v>
      </c>
      <c r="AC3364" t="s">
        <v>53</v>
      </c>
      <c r="AD3364" t="s">
        <v>53</v>
      </c>
      <c r="AK3364">
        <v>0</v>
      </c>
      <c r="AU3364" s="3">
        <v>42453</v>
      </c>
      <c r="AV3364" s="3">
        <v>42453</v>
      </c>
      <c r="AW3364" t="s">
        <v>54</v>
      </c>
      <c r="AX3364" t="str">
        <f t="shared" si="392"/>
        <v>FOR</v>
      </c>
      <c r="AY3364" t="s">
        <v>55</v>
      </c>
    </row>
    <row r="3365" spans="1:51" hidden="1">
      <c r="A3365">
        <v>104592</v>
      </c>
      <c r="B3365" t="s">
        <v>407</v>
      </c>
      <c r="C3365" t="str">
        <f t="shared" si="394"/>
        <v>01911071007</v>
      </c>
      <c r="D3365" t="str">
        <f t="shared" si="395"/>
        <v>07931650589</v>
      </c>
      <c r="E3365" t="s">
        <v>52</v>
      </c>
      <c r="F3365">
        <v>2015</v>
      </c>
      <c r="G3365" t="str">
        <f>"          3502350 XU"</f>
        <v xml:space="preserve">          3502350 XU</v>
      </c>
      <c r="H3365" s="3">
        <v>42135</v>
      </c>
      <c r="I3365" s="3">
        <v>42174</v>
      </c>
      <c r="J3365" s="3">
        <v>42139</v>
      </c>
      <c r="K3365" s="3">
        <v>42199</v>
      </c>
      <c r="L3365"/>
      <c r="N3365"/>
      <c r="O3365">
        <v>430</v>
      </c>
      <c r="P3365">
        <v>254</v>
      </c>
      <c r="Q3365" s="4">
        <v>109220</v>
      </c>
      <c r="R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 s="3">
        <v>42562</v>
      </c>
      <c r="AC3365" t="s">
        <v>53</v>
      </c>
      <c r="AD3365" t="s">
        <v>53</v>
      </c>
      <c r="AK3365">
        <v>0</v>
      </c>
      <c r="AU3365" s="3">
        <v>42453</v>
      </c>
      <c r="AV3365" s="3">
        <v>42453</v>
      </c>
      <c r="AW3365" t="s">
        <v>54</v>
      </c>
      <c r="AX3365" t="str">
        <f t="shared" si="392"/>
        <v>FOR</v>
      </c>
      <c r="AY3365" t="s">
        <v>55</v>
      </c>
    </row>
    <row r="3366" spans="1:51" hidden="1">
      <c r="A3366">
        <v>104592</v>
      </c>
      <c r="B3366" t="s">
        <v>407</v>
      </c>
      <c r="C3366" t="str">
        <f t="shared" si="394"/>
        <v>01911071007</v>
      </c>
      <c r="D3366" t="str">
        <f t="shared" si="395"/>
        <v>07931650589</v>
      </c>
      <c r="E3366" t="s">
        <v>52</v>
      </c>
      <c r="F3366">
        <v>2015</v>
      </c>
      <c r="G3366" t="str">
        <f>"          3502351 XU"</f>
        <v xml:space="preserve">          3502351 XU</v>
      </c>
      <c r="H3366" s="3">
        <v>42135</v>
      </c>
      <c r="I3366" s="3">
        <v>42174</v>
      </c>
      <c r="J3366" s="3">
        <v>42139</v>
      </c>
      <c r="K3366" s="3">
        <v>42199</v>
      </c>
      <c r="L3366"/>
      <c r="N3366"/>
      <c r="O3366" s="4">
        <v>1680</v>
      </c>
      <c r="P3366">
        <v>254</v>
      </c>
      <c r="Q3366" s="4">
        <v>426720</v>
      </c>
      <c r="R3366">
        <v>0</v>
      </c>
      <c r="V3366">
        <v>0</v>
      </c>
      <c r="W3366">
        <v>0</v>
      </c>
      <c r="X3366">
        <v>0</v>
      </c>
      <c r="Y3366">
        <v>0</v>
      </c>
      <c r="Z3366">
        <v>0</v>
      </c>
      <c r="AA3366">
        <v>0</v>
      </c>
      <c r="AB3366" s="3">
        <v>42562</v>
      </c>
      <c r="AC3366" t="s">
        <v>53</v>
      </c>
      <c r="AD3366" t="s">
        <v>53</v>
      </c>
      <c r="AK3366">
        <v>0</v>
      </c>
      <c r="AU3366" s="3">
        <v>42453</v>
      </c>
      <c r="AV3366" s="3">
        <v>42453</v>
      </c>
      <c r="AW3366" t="s">
        <v>54</v>
      </c>
      <c r="AX3366" t="str">
        <f t="shared" si="392"/>
        <v>FOR</v>
      </c>
      <c r="AY3366" t="s">
        <v>55</v>
      </c>
    </row>
    <row r="3367" spans="1:51" hidden="1">
      <c r="A3367">
        <v>104592</v>
      </c>
      <c r="B3367" t="s">
        <v>407</v>
      </c>
      <c r="C3367" t="str">
        <f t="shared" si="394"/>
        <v>01911071007</v>
      </c>
      <c r="D3367" t="str">
        <f t="shared" si="395"/>
        <v>07931650589</v>
      </c>
      <c r="E3367" t="s">
        <v>52</v>
      </c>
      <c r="F3367">
        <v>2015</v>
      </c>
      <c r="G3367" t="str">
        <f>"          3502602 XU"</f>
        <v xml:space="preserve">          3502602 XU</v>
      </c>
      <c r="H3367" s="3">
        <v>42139</v>
      </c>
      <c r="I3367" s="3">
        <v>42160</v>
      </c>
      <c r="J3367" s="3">
        <v>42143</v>
      </c>
      <c r="K3367" s="3">
        <v>42203</v>
      </c>
      <c r="L3367"/>
      <c r="N3367"/>
      <c r="O3367">
        <v>215</v>
      </c>
      <c r="P3367">
        <v>250</v>
      </c>
      <c r="Q3367" s="4">
        <v>53750</v>
      </c>
      <c r="R3367">
        <v>0</v>
      </c>
      <c r="V3367">
        <v>0</v>
      </c>
      <c r="W3367">
        <v>0</v>
      </c>
      <c r="X3367">
        <v>0</v>
      </c>
      <c r="Y3367">
        <v>0</v>
      </c>
      <c r="Z3367">
        <v>0</v>
      </c>
      <c r="AA3367">
        <v>0</v>
      </c>
      <c r="AB3367" s="3">
        <v>42562</v>
      </c>
      <c r="AC3367" t="s">
        <v>53</v>
      </c>
      <c r="AD3367" t="s">
        <v>53</v>
      </c>
      <c r="AK3367">
        <v>0</v>
      </c>
      <c r="AU3367" s="3">
        <v>42453</v>
      </c>
      <c r="AV3367" s="3">
        <v>42453</v>
      </c>
      <c r="AW3367" t="s">
        <v>54</v>
      </c>
      <c r="AX3367" t="str">
        <f t="shared" si="392"/>
        <v>FOR</v>
      </c>
      <c r="AY3367" t="s">
        <v>55</v>
      </c>
    </row>
    <row r="3368" spans="1:51" hidden="1">
      <c r="A3368">
        <v>104592</v>
      </c>
      <c r="B3368" t="s">
        <v>407</v>
      </c>
      <c r="C3368" t="str">
        <f t="shared" si="394"/>
        <v>01911071007</v>
      </c>
      <c r="D3368" t="str">
        <f t="shared" si="395"/>
        <v>07931650589</v>
      </c>
      <c r="E3368" t="s">
        <v>52</v>
      </c>
      <c r="F3368">
        <v>2015</v>
      </c>
      <c r="G3368" t="str">
        <f>"          3502686 XU"</f>
        <v xml:space="preserve">          3502686 XU</v>
      </c>
      <c r="H3368" s="3">
        <v>42142</v>
      </c>
      <c r="I3368" s="3">
        <v>42160</v>
      </c>
      <c r="J3368" s="3">
        <v>42146</v>
      </c>
      <c r="K3368" s="3">
        <v>42206</v>
      </c>
      <c r="L3368"/>
      <c r="N3368"/>
      <c r="O3368" s="4">
        <v>3364.2</v>
      </c>
      <c r="P3368">
        <v>247</v>
      </c>
      <c r="Q3368" s="4">
        <v>830957.4</v>
      </c>
      <c r="R3368">
        <v>0</v>
      </c>
      <c r="V3368">
        <v>0</v>
      </c>
      <c r="W3368">
        <v>0</v>
      </c>
      <c r="X3368">
        <v>0</v>
      </c>
      <c r="Y3368">
        <v>0</v>
      </c>
      <c r="Z3368">
        <v>0</v>
      </c>
      <c r="AA3368">
        <v>0</v>
      </c>
      <c r="AB3368" s="3">
        <v>42562</v>
      </c>
      <c r="AC3368" t="s">
        <v>53</v>
      </c>
      <c r="AD3368" t="s">
        <v>53</v>
      </c>
      <c r="AK3368">
        <v>0</v>
      </c>
      <c r="AU3368" s="3">
        <v>42453</v>
      </c>
      <c r="AV3368" s="3">
        <v>42453</v>
      </c>
      <c r="AW3368" t="s">
        <v>54</v>
      </c>
      <c r="AX3368" t="str">
        <f t="shared" si="392"/>
        <v>FOR</v>
      </c>
      <c r="AY3368" t="s">
        <v>55</v>
      </c>
    </row>
    <row r="3369" spans="1:51" hidden="1">
      <c r="A3369">
        <v>104592</v>
      </c>
      <c r="B3369" t="s">
        <v>407</v>
      </c>
      <c r="C3369" t="str">
        <f t="shared" si="394"/>
        <v>01911071007</v>
      </c>
      <c r="D3369" t="str">
        <f t="shared" si="395"/>
        <v>07931650589</v>
      </c>
      <c r="E3369" t="s">
        <v>52</v>
      </c>
      <c r="F3369">
        <v>2015</v>
      </c>
      <c r="G3369" t="str">
        <f>"          3502918 XU"</f>
        <v xml:space="preserve">          3502918 XU</v>
      </c>
      <c r="H3369" s="3">
        <v>42145</v>
      </c>
      <c r="I3369" s="3">
        <v>42160</v>
      </c>
      <c r="J3369" s="3">
        <v>42150</v>
      </c>
      <c r="K3369" s="3">
        <v>42210</v>
      </c>
      <c r="L3369"/>
      <c r="N3369"/>
      <c r="O3369">
        <v>430</v>
      </c>
      <c r="P3369">
        <v>243</v>
      </c>
      <c r="Q3369" s="4">
        <v>104490</v>
      </c>
      <c r="R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 s="3">
        <v>42562</v>
      </c>
      <c r="AC3369" t="s">
        <v>53</v>
      </c>
      <c r="AD3369" t="s">
        <v>53</v>
      </c>
      <c r="AK3369">
        <v>0</v>
      </c>
      <c r="AU3369" s="3">
        <v>42453</v>
      </c>
      <c r="AV3369" s="3">
        <v>42453</v>
      </c>
      <c r="AW3369" t="s">
        <v>54</v>
      </c>
      <c r="AX3369" t="str">
        <f t="shared" si="392"/>
        <v>FOR</v>
      </c>
      <c r="AY3369" t="s">
        <v>55</v>
      </c>
    </row>
    <row r="3370" spans="1:51" hidden="1">
      <c r="A3370">
        <v>104592</v>
      </c>
      <c r="B3370" t="s">
        <v>407</v>
      </c>
      <c r="C3370" t="str">
        <f t="shared" si="394"/>
        <v>01911071007</v>
      </c>
      <c r="D3370" t="str">
        <f t="shared" si="395"/>
        <v>07931650589</v>
      </c>
      <c r="E3370" t="s">
        <v>52</v>
      </c>
      <c r="F3370">
        <v>2015</v>
      </c>
      <c r="G3370" t="str">
        <f>"          3502919 XU"</f>
        <v xml:space="preserve">          3502919 XU</v>
      </c>
      <c r="H3370" s="3">
        <v>42145</v>
      </c>
      <c r="I3370" s="3">
        <v>42160</v>
      </c>
      <c r="J3370" s="3">
        <v>42150</v>
      </c>
      <c r="K3370" s="3">
        <v>42210</v>
      </c>
      <c r="L3370"/>
      <c r="N3370"/>
      <c r="O3370">
        <v>215</v>
      </c>
      <c r="P3370">
        <v>243</v>
      </c>
      <c r="Q3370" s="4">
        <v>52245</v>
      </c>
      <c r="R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 s="3">
        <v>42562</v>
      </c>
      <c r="AC3370" t="s">
        <v>53</v>
      </c>
      <c r="AD3370" t="s">
        <v>53</v>
      </c>
      <c r="AK3370">
        <v>0</v>
      </c>
      <c r="AU3370" s="3">
        <v>42453</v>
      </c>
      <c r="AV3370" s="3">
        <v>42453</v>
      </c>
      <c r="AW3370" t="s">
        <v>54</v>
      </c>
      <c r="AX3370" t="str">
        <f t="shared" si="392"/>
        <v>FOR</v>
      </c>
      <c r="AY3370" t="s">
        <v>55</v>
      </c>
    </row>
    <row r="3371" spans="1:51" hidden="1">
      <c r="A3371">
        <v>104592</v>
      </c>
      <c r="B3371" t="s">
        <v>407</v>
      </c>
      <c r="C3371" t="str">
        <f t="shared" si="394"/>
        <v>01911071007</v>
      </c>
      <c r="D3371" t="str">
        <f t="shared" si="395"/>
        <v>07931650589</v>
      </c>
      <c r="E3371" t="s">
        <v>52</v>
      </c>
      <c r="F3371">
        <v>2015</v>
      </c>
      <c r="G3371" t="str">
        <f>"          3503222 XU"</f>
        <v xml:space="preserve">          3503222 XU</v>
      </c>
      <c r="H3371" s="3">
        <v>42151</v>
      </c>
      <c r="I3371" s="3">
        <v>42158</v>
      </c>
      <c r="J3371" s="3">
        <v>42156</v>
      </c>
      <c r="K3371" s="3">
        <v>42216</v>
      </c>
      <c r="L3371"/>
      <c r="N3371"/>
      <c r="O3371">
        <v>430</v>
      </c>
      <c r="P3371">
        <v>237</v>
      </c>
      <c r="Q3371" s="4">
        <v>101910</v>
      </c>
      <c r="R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 s="3">
        <v>42562</v>
      </c>
      <c r="AC3371" t="s">
        <v>53</v>
      </c>
      <c r="AD3371" t="s">
        <v>53</v>
      </c>
      <c r="AK3371">
        <v>0</v>
      </c>
      <c r="AU3371" s="3">
        <v>42453</v>
      </c>
      <c r="AV3371" s="3">
        <v>42453</v>
      </c>
      <c r="AW3371" t="s">
        <v>54</v>
      </c>
      <c r="AX3371" t="str">
        <f t="shared" si="392"/>
        <v>FOR</v>
      </c>
      <c r="AY3371" t="s">
        <v>55</v>
      </c>
    </row>
    <row r="3372" spans="1:51">
      <c r="A3372">
        <v>104592</v>
      </c>
      <c r="B3372" t="s">
        <v>407</v>
      </c>
      <c r="C3372" t="str">
        <f t="shared" si="394"/>
        <v>01911071007</v>
      </c>
      <c r="D3372" t="str">
        <f t="shared" si="395"/>
        <v>07931650589</v>
      </c>
      <c r="E3372" t="s">
        <v>52</v>
      </c>
      <c r="F3372">
        <v>2015</v>
      </c>
      <c r="G3372" t="str">
        <f>"          3503570 XU"</f>
        <v xml:space="preserve">          3503570 XU</v>
      </c>
      <c r="H3372" s="3">
        <v>42160</v>
      </c>
      <c r="I3372" s="3">
        <v>42165</v>
      </c>
      <c r="J3372" s="3">
        <v>42164</v>
      </c>
      <c r="K3372" s="3">
        <v>42224</v>
      </c>
      <c r="L3372" s="1">
        <v>200</v>
      </c>
      <c r="M3372">
        <v>268</v>
      </c>
      <c r="N3372" s="5">
        <v>53600</v>
      </c>
      <c r="O3372">
        <v>200</v>
      </c>
      <c r="P3372">
        <v>268</v>
      </c>
      <c r="Q3372" s="4">
        <v>53600</v>
      </c>
      <c r="R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 s="3">
        <v>42562</v>
      </c>
      <c r="AC3372" t="s">
        <v>53</v>
      </c>
      <c r="AD3372" t="s">
        <v>53</v>
      </c>
      <c r="AK3372">
        <v>0</v>
      </c>
      <c r="AU3372" s="3">
        <v>42492</v>
      </c>
      <c r="AV3372" s="3">
        <v>42492</v>
      </c>
      <c r="AW3372" t="s">
        <v>54</v>
      </c>
      <c r="AX3372" t="str">
        <f t="shared" si="392"/>
        <v>FOR</v>
      </c>
      <c r="AY3372" t="s">
        <v>55</v>
      </c>
    </row>
    <row r="3373" spans="1:51">
      <c r="A3373">
        <v>104592</v>
      </c>
      <c r="B3373" t="s">
        <v>407</v>
      </c>
      <c r="C3373" t="str">
        <f t="shared" si="394"/>
        <v>01911071007</v>
      </c>
      <c r="D3373" t="str">
        <f t="shared" si="395"/>
        <v>07931650589</v>
      </c>
      <c r="E3373" t="s">
        <v>52</v>
      </c>
      <c r="F3373">
        <v>2015</v>
      </c>
      <c r="G3373" t="str">
        <f>"          3503855 XU"</f>
        <v xml:space="preserve">          3503855 XU</v>
      </c>
      <c r="H3373" s="3">
        <v>42167</v>
      </c>
      <c r="I3373" s="3">
        <v>42171</v>
      </c>
      <c r="J3373" s="3">
        <v>42171</v>
      </c>
      <c r="K3373" s="3">
        <v>42231</v>
      </c>
      <c r="L3373" s="5">
        <v>7017.6</v>
      </c>
      <c r="M3373">
        <v>261</v>
      </c>
      <c r="N3373" s="5">
        <v>1831593.6</v>
      </c>
      <c r="O3373" s="4">
        <v>7017.6</v>
      </c>
      <c r="P3373">
        <v>261</v>
      </c>
      <c r="Q3373" s="4">
        <v>1831593.6</v>
      </c>
      <c r="R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 s="3">
        <v>42562</v>
      </c>
      <c r="AC3373" t="s">
        <v>53</v>
      </c>
      <c r="AD3373" t="s">
        <v>53</v>
      </c>
      <c r="AK3373">
        <v>0</v>
      </c>
      <c r="AU3373" s="3">
        <v>42492</v>
      </c>
      <c r="AV3373" s="3">
        <v>42492</v>
      </c>
      <c r="AW3373" t="s">
        <v>54</v>
      </c>
      <c r="AX3373" t="str">
        <f t="shared" si="392"/>
        <v>FOR</v>
      </c>
      <c r="AY3373" t="s">
        <v>55</v>
      </c>
    </row>
    <row r="3374" spans="1:51">
      <c r="A3374">
        <v>104592</v>
      </c>
      <c r="B3374" t="s">
        <v>407</v>
      </c>
      <c r="C3374" t="str">
        <f t="shared" si="394"/>
        <v>01911071007</v>
      </c>
      <c r="D3374" t="str">
        <f t="shared" si="395"/>
        <v>07931650589</v>
      </c>
      <c r="E3374" t="s">
        <v>52</v>
      </c>
      <c r="F3374">
        <v>2015</v>
      </c>
      <c r="G3374" t="str">
        <f>"          3504241 XU"</f>
        <v xml:space="preserve">          3504241 XU</v>
      </c>
      <c r="H3374" s="3">
        <v>42177</v>
      </c>
      <c r="I3374" s="3">
        <v>42185</v>
      </c>
      <c r="J3374" s="3">
        <v>42181</v>
      </c>
      <c r="K3374" s="3">
        <v>42241</v>
      </c>
      <c r="L3374" s="1">
        <v>360.2</v>
      </c>
      <c r="M3374">
        <v>251</v>
      </c>
      <c r="N3374" s="5">
        <v>90410.2</v>
      </c>
      <c r="O3374">
        <v>360.2</v>
      </c>
      <c r="P3374">
        <v>251</v>
      </c>
      <c r="Q3374" s="4">
        <v>90410.2</v>
      </c>
      <c r="R3374">
        <v>0</v>
      </c>
      <c r="V3374">
        <v>0</v>
      </c>
      <c r="W3374">
        <v>0</v>
      </c>
      <c r="X3374">
        <v>0</v>
      </c>
      <c r="Y3374">
        <v>0</v>
      </c>
      <c r="Z3374">
        <v>0</v>
      </c>
      <c r="AA3374">
        <v>0</v>
      </c>
      <c r="AB3374" s="3">
        <v>42562</v>
      </c>
      <c r="AC3374" t="s">
        <v>53</v>
      </c>
      <c r="AD3374" t="s">
        <v>53</v>
      </c>
      <c r="AK3374">
        <v>0</v>
      </c>
      <c r="AU3374" s="3">
        <v>42492</v>
      </c>
      <c r="AV3374" s="3">
        <v>42492</v>
      </c>
      <c r="AW3374" t="s">
        <v>54</v>
      </c>
      <c r="AX3374" t="str">
        <f t="shared" si="392"/>
        <v>FOR</v>
      </c>
      <c r="AY3374" t="s">
        <v>55</v>
      </c>
    </row>
    <row r="3375" spans="1:51">
      <c r="A3375">
        <v>104592</v>
      </c>
      <c r="B3375" t="s">
        <v>407</v>
      </c>
      <c r="C3375" t="str">
        <f t="shared" si="394"/>
        <v>01911071007</v>
      </c>
      <c r="D3375" t="str">
        <f t="shared" si="395"/>
        <v>07931650589</v>
      </c>
      <c r="E3375" t="s">
        <v>52</v>
      </c>
      <c r="F3375">
        <v>2015</v>
      </c>
      <c r="G3375" t="str">
        <f>"          3504900 XU"</f>
        <v xml:space="preserve">          3504900 XU</v>
      </c>
      <c r="H3375" s="3">
        <v>42191</v>
      </c>
      <c r="I3375" s="3">
        <v>42195</v>
      </c>
      <c r="J3375" s="3">
        <v>42195</v>
      </c>
      <c r="K3375" s="3">
        <v>42255</v>
      </c>
      <c r="L3375" s="1">
        <v>430</v>
      </c>
      <c r="M3375">
        <v>237</v>
      </c>
      <c r="N3375" s="5">
        <v>101910</v>
      </c>
      <c r="O3375">
        <v>430</v>
      </c>
      <c r="P3375">
        <v>237</v>
      </c>
      <c r="Q3375" s="4">
        <v>101910</v>
      </c>
      <c r="R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 s="3">
        <v>42562</v>
      </c>
      <c r="AC3375" t="s">
        <v>53</v>
      </c>
      <c r="AD3375" t="s">
        <v>53</v>
      </c>
      <c r="AK3375">
        <v>0</v>
      </c>
      <c r="AU3375" s="3">
        <v>42492</v>
      </c>
      <c r="AV3375" s="3">
        <v>42492</v>
      </c>
      <c r="AW3375" t="s">
        <v>54</v>
      </c>
      <c r="AX3375" t="str">
        <f t="shared" si="392"/>
        <v>FOR</v>
      </c>
      <c r="AY3375" t="s">
        <v>55</v>
      </c>
    </row>
    <row r="3376" spans="1:51">
      <c r="A3376">
        <v>104592</v>
      </c>
      <c r="B3376" t="s">
        <v>407</v>
      </c>
      <c r="C3376" t="str">
        <f t="shared" si="394"/>
        <v>01911071007</v>
      </c>
      <c r="D3376" t="str">
        <f t="shared" si="395"/>
        <v>07931650589</v>
      </c>
      <c r="E3376" t="s">
        <v>52</v>
      </c>
      <c r="F3376">
        <v>2015</v>
      </c>
      <c r="G3376" t="str">
        <f>"          3504901 XU"</f>
        <v xml:space="preserve">          3504901 XU</v>
      </c>
      <c r="H3376" s="3">
        <v>42191</v>
      </c>
      <c r="I3376" s="3">
        <v>42198</v>
      </c>
      <c r="J3376" s="3">
        <v>42196</v>
      </c>
      <c r="K3376" s="3">
        <v>42256</v>
      </c>
      <c r="L3376" s="1">
        <v>645</v>
      </c>
      <c r="M3376">
        <v>236</v>
      </c>
      <c r="N3376" s="5">
        <v>152220</v>
      </c>
      <c r="O3376">
        <v>645</v>
      </c>
      <c r="P3376">
        <v>236</v>
      </c>
      <c r="Q3376" s="4">
        <v>152220</v>
      </c>
      <c r="R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 s="3">
        <v>42562</v>
      </c>
      <c r="AC3376" t="s">
        <v>53</v>
      </c>
      <c r="AD3376" t="s">
        <v>53</v>
      </c>
      <c r="AK3376">
        <v>0</v>
      </c>
      <c r="AU3376" s="3">
        <v>42492</v>
      </c>
      <c r="AV3376" s="3">
        <v>42492</v>
      </c>
      <c r="AW3376" t="s">
        <v>54</v>
      </c>
      <c r="AX3376" t="str">
        <f t="shared" si="392"/>
        <v>FOR</v>
      </c>
      <c r="AY3376" t="s">
        <v>55</v>
      </c>
    </row>
    <row r="3377" spans="1:51">
      <c r="A3377">
        <v>104592</v>
      </c>
      <c r="B3377" t="s">
        <v>407</v>
      </c>
      <c r="C3377" t="str">
        <f t="shared" si="394"/>
        <v>01911071007</v>
      </c>
      <c r="D3377" t="str">
        <f t="shared" si="395"/>
        <v>07931650589</v>
      </c>
      <c r="E3377" t="s">
        <v>52</v>
      </c>
      <c r="F3377">
        <v>2015</v>
      </c>
      <c r="G3377" t="str">
        <f>"          3504902 XU"</f>
        <v xml:space="preserve">          3504902 XU</v>
      </c>
      <c r="H3377" s="3">
        <v>42191</v>
      </c>
      <c r="I3377" s="3">
        <v>42195</v>
      </c>
      <c r="J3377" s="3">
        <v>42195</v>
      </c>
      <c r="K3377" s="3">
        <v>42255</v>
      </c>
      <c r="L3377" s="5">
        <v>1225</v>
      </c>
      <c r="M3377">
        <v>237</v>
      </c>
      <c r="N3377" s="5">
        <v>290325</v>
      </c>
      <c r="O3377" s="4">
        <v>1225</v>
      </c>
      <c r="P3377">
        <v>237</v>
      </c>
      <c r="Q3377" s="4">
        <v>290325</v>
      </c>
      <c r="R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 s="3">
        <v>42562</v>
      </c>
      <c r="AC3377" t="s">
        <v>53</v>
      </c>
      <c r="AD3377" t="s">
        <v>53</v>
      </c>
      <c r="AK3377">
        <v>0</v>
      </c>
      <c r="AU3377" s="3">
        <v>42492</v>
      </c>
      <c r="AV3377" s="3">
        <v>42492</v>
      </c>
      <c r="AW3377" t="s">
        <v>54</v>
      </c>
      <c r="AX3377" t="str">
        <f t="shared" si="392"/>
        <v>FOR</v>
      </c>
      <c r="AY3377" t="s">
        <v>55</v>
      </c>
    </row>
    <row r="3378" spans="1:51">
      <c r="A3378">
        <v>104592</v>
      </c>
      <c r="B3378" t="s">
        <v>407</v>
      </c>
      <c r="C3378" t="str">
        <f t="shared" si="394"/>
        <v>01911071007</v>
      </c>
      <c r="D3378" t="str">
        <f t="shared" si="395"/>
        <v>07931650589</v>
      </c>
      <c r="E3378" t="s">
        <v>52</v>
      </c>
      <c r="F3378">
        <v>2015</v>
      </c>
      <c r="G3378" t="str">
        <f>"          3505038 XU"</f>
        <v xml:space="preserve">          3505038 XU</v>
      </c>
      <c r="H3378" s="3">
        <v>42193</v>
      </c>
      <c r="I3378" s="3">
        <v>42198</v>
      </c>
      <c r="J3378" s="3">
        <v>42198</v>
      </c>
      <c r="K3378" s="3">
        <v>42258</v>
      </c>
      <c r="L3378" s="5">
        <v>19081.5</v>
      </c>
      <c r="M3378">
        <v>234</v>
      </c>
      <c r="N3378" s="5">
        <v>4465071</v>
      </c>
      <c r="O3378" s="4">
        <v>19081.5</v>
      </c>
      <c r="P3378">
        <v>234</v>
      </c>
      <c r="Q3378" s="4">
        <v>4465071</v>
      </c>
      <c r="R3378">
        <v>0</v>
      </c>
      <c r="V3378">
        <v>0</v>
      </c>
      <c r="W3378">
        <v>0</v>
      </c>
      <c r="X3378">
        <v>0</v>
      </c>
      <c r="Y3378">
        <v>0</v>
      </c>
      <c r="Z3378">
        <v>0</v>
      </c>
      <c r="AA3378">
        <v>0</v>
      </c>
      <c r="AB3378" s="3">
        <v>42562</v>
      </c>
      <c r="AC3378" t="s">
        <v>53</v>
      </c>
      <c r="AD3378" t="s">
        <v>53</v>
      </c>
      <c r="AK3378">
        <v>0</v>
      </c>
      <c r="AU3378" s="3">
        <v>42492</v>
      </c>
      <c r="AV3378" s="3">
        <v>42492</v>
      </c>
      <c r="AW3378" t="s">
        <v>54</v>
      </c>
      <c r="AX3378" t="str">
        <f t="shared" si="392"/>
        <v>FOR</v>
      </c>
      <c r="AY3378" t="s">
        <v>55</v>
      </c>
    </row>
    <row r="3379" spans="1:51">
      <c r="A3379">
        <v>104592</v>
      </c>
      <c r="B3379" t="s">
        <v>407</v>
      </c>
      <c r="C3379" t="str">
        <f t="shared" si="394"/>
        <v>01911071007</v>
      </c>
      <c r="D3379" t="str">
        <f t="shared" si="395"/>
        <v>07931650589</v>
      </c>
      <c r="E3379" t="s">
        <v>52</v>
      </c>
      <c r="F3379">
        <v>2015</v>
      </c>
      <c r="G3379" t="str">
        <f>"          3505535 XU"</f>
        <v xml:space="preserve">          3505535 XU</v>
      </c>
      <c r="H3379" s="3">
        <v>42202</v>
      </c>
      <c r="I3379" s="3">
        <v>42206</v>
      </c>
      <c r="J3379" s="3">
        <v>42206</v>
      </c>
      <c r="K3379" s="3">
        <v>42266</v>
      </c>
      <c r="L3379" s="1">
        <v>480</v>
      </c>
      <c r="M3379">
        <v>226</v>
      </c>
      <c r="N3379" s="5">
        <v>108480</v>
      </c>
      <c r="O3379">
        <v>480</v>
      </c>
      <c r="P3379">
        <v>226</v>
      </c>
      <c r="Q3379" s="4">
        <v>108480</v>
      </c>
      <c r="R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 s="3">
        <v>42562</v>
      </c>
      <c r="AC3379" t="s">
        <v>53</v>
      </c>
      <c r="AD3379" t="s">
        <v>53</v>
      </c>
      <c r="AK3379">
        <v>0</v>
      </c>
      <c r="AU3379" s="3">
        <v>42492</v>
      </c>
      <c r="AV3379" s="3">
        <v>42492</v>
      </c>
      <c r="AW3379" t="s">
        <v>54</v>
      </c>
      <c r="AX3379" t="str">
        <f t="shared" si="392"/>
        <v>FOR</v>
      </c>
      <c r="AY3379" t="s">
        <v>55</v>
      </c>
    </row>
    <row r="3380" spans="1:51">
      <c r="A3380">
        <v>104592</v>
      </c>
      <c r="B3380" t="s">
        <v>407</v>
      </c>
      <c r="C3380" t="str">
        <f t="shared" si="394"/>
        <v>01911071007</v>
      </c>
      <c r="D3380" t="str">
        <f t="shared" si="395"/>
        <v>07931650589</v>
      </c>
      <c r="E3380" t="s">
        <v>52</v>
      </c>
      <c r="F3380">
        <v>2015</v>
      </c>
      <c r="G3380" t="str">
        <f>"          3505741 XU"</f>
        <v xml:space="preserve">          3505741 XU</v>
      </c>
      <c r="H3380" s="3">
        <v>42207</v>
      </c>
      <c r="I3380" s="3">
        <v>42212</v>
      </c>
      <c r="J3380" s="3">
        <v>42212</v>
      </c>
      <c r="K3380" s="3">
        <v>42272</v>
      </c>
      <c r="L3380" s="1">
        <v>200</v>
      </c>
      <c r="M3380">
        <v>220</v>
      </c>
      <c r="N3380" s="5">
        <v>44000</v>
      </c>
      <c r="O3380">
        <v>200</v>
      </c>
      <c r="P3380">
        <v>220</v>
      </c>
      <c r="Q3380" s="4">
        <v>44000</v>
      </c>
      <c r="R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 s="3">
        <v>42562</v>
      </c>
      <c r="AC3380" t="s">
        <v>53</v>
      </c>
      <c r="AD3380" t="s">
        <v>53</v>
      </c>
      <c r="AK3380">
        <v>0</v>
      </c>
      <c r="AU3380" s="3">
        <v>42492</v>
      </c>
      <c r="AV3380" s="3">
        <v>42492</v>
      </c>
      <c r="AW3380" t="s">
        <v>54</v>
      </c>
      <c r="AX3380" t="str">
        <f t="shared" ref="AX3380:AX3411" si="396">"FOR"</f>
        <v>FOR</v>
      </c>
      <c r="AY3380" t="s">
        <v>55</v>
      </c>
    </row>
    <row r="3381" spans="1:51">
      <c r="A3381">
        <v>104592</v>
      </c>
      <c r="B3381" t="s">
        <v>407</v>
      </c>
      <c r="C3381" t="str">
        <f t="shared" si="394"/>
        <v>01911071007</v>
      </c>
      <c r="D3381" t="str">
        <f t="shared" si="395"/>
        <v>07931650589</v>
      </c>
      <c r="E3381" t="s">
        <v>52</v>
      </c>
      <c r="F3381">
        <v>2015</v>
      </c>
      <c r="G3381" t="str">
        <f>"          3505783 XU"</f>
        <v xml:space="preserve">          3505783 XU</v>
      </c>
      <c r="H3381" s="3">
        <v>42208</v>
      </c>
      <c r="I3381" s="3">
        <v>42215</v>
      </c>
      <c r="J3381" s="3">
        <v>42213</v>
      </c>
      <c r="K3381" s="3">
        <v>42273</v>
      </c>
      <c r="L3381" s="5">
        <v>1300</v>
      </c>
      <c r="M3381">
        <v>219</v>
      </c>
      <c r="N3381" s="5">
        <v>284700</v>
      </c>
      <c r="O3381" s="4">
        <v>1300</v>
      </c>
      <c r="P3381">
        <v>219</v>
      </c>
      <c r="Q3381" s="4">
        <v>284700</v>
      </c>
      <c r="R3381">
        <v>0</v>
      </c>
      <c r="V3381">
        <v>0</v>
      </c>
      <c r="W3381">
        <v>0</v>
      </c>
      <c r="X3381">
        <v>0</v>
      </c>
      <c r="Y3381">
        <v>0</v>
      </c>
      <c r="Z3381">
        <v>0</v>
      </c>
      <c r="AA3381">
        <v>0</v>
      </c>
      <c r="AB3381" s="3">
        <v>42562</v>
      </c>
      <c r="AC3381" t="s">
        <v>53</v>
      </c>
      <c r="AD3381" t="s">
        <v>53</v>
      </c>
      <c r="AK3381">
        <v>0</v>
      </c>
      <c r="AU3381" s="3">
        <v>42492</v>
      </c>
      <c r="AV3381" s="3">
        <v>42492</v>
      </c>
      <c r="AW3381" t="s">
        <v>54</v>
      </c>
      <c r="AX3381" t="str">
        <f t="shared" si="396"/>
        <v>FOR</v>
      </c>
      <c r="AY3381" t="s">
        <v>55</v>
      </c>
    </row>
    <row r="3382" spans="1:51" hidden="1">
      <c r="A3382">
        <v>104595</v>
      </c>
      <c r="B3382" t="s">
        <v>408</v>
      </c>
      <c r="C3382" t="str">
        <f t="shared" ref="C3382:D3386" si="397">"01149250159"</f>
        <v>01149250159</v>
      </c>
      <c r="D3382" t="str">
        <f t="shared" si="397"/>
        <v>01149250159</v>
      </c>
      <c r="E3382" t="s">
        <v>52</v>
      </c>
      <c r="F3382">
        <v>2015</v>
      </c>
      <c r="G3382" t="str">
        <f>"                 711"</f>
        <v xml:space="preserve">                 711</v>
      </c>
      <c r="H3382" s="3">
        <v>42047</v>
      </c>
      <c r="I3382" s="3">
        <v>42067</v>
      </c>
      <c r="J3382" s="3">
        <v>42067</v>
      </c>
      <c r="K3382" s="3">
        <v>42127</v>
      </c>
      <c r="L3382"/>
      <c r="N3382"/>
      <c r="O3382">
        <v>180</v>
      </c>
      <c r="P3382">
        <v>281</v>
      </c>
      <c r="Q3382" s="4">
        <v>50580</v>
      </c>
      <c r="R3382">
        <v>0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 s="3">
        <v>42562</v>
      </c>
      <c r="AC3382" t="s">
        <v>53</v>
      </c>
      <c r="AD3382" t="s">
        <v>53</v>
      </c>
      <c r="AK3382">
        <v>0</v>
      </c>
      <c r="AU3382" s="3">
        <v>42408</v>
      </c>
      <c r="AV3382" s="3">
        <v>42408</v>
      </c>
      <c r="AW3382" t="s">
        <v>54</v>
      </c>
      <c r="AX3382" t="str">
        <f t="shared" si="396"/>
        <v>FOR</v>
      </c>
      <c r="AY3382" t="s">
        <v>55</v>
      </c>
    </row>
    <row r="3383" spans="1:51" hidden="1">
      <c r="A3383">
        <v>104595</v>
      </c>
      <c r="B3383" t="s">
        <v>408</v>
      </c>
      <c r="C3383" t="str">
        <f t="shared" si="397"/>
        <v>01149250159</v>
      </c>
      <c r="D3383" t="str">
        <f t="shared" si="397"/>
        <v>01149250159</v>
      </c>
      <c r="E3383" t="s">
        <v>52</v>
      </c>
      <c r="F3383">
        <v>2015</v>
      </c>
      <c r="G3383" t="str">
        <f>"                 712"</f>
        <v xml:space="preserve">                 712</v>
      </c>
      <c r="H3383" s="3">
        <v>42047</v>
      </c>
      <c r="I3383" s="3">
        <v>42067</v>
      </c>
      <c r="J3383" s="3">
        <v>42067</v>
      </c>
      <c r="K3383" s="3">
        <v>42127</v>
      </c>
      <c r="L3383"/>
      <c r="N3383"/>
      <c r="O3383">
        <v>720</v>
      </c>
      <c r="P3383">
        <v>281</v>
      </c>
      <c r="Q3383" s="4">
        <v>202320</v>
      </c>
      <c r="R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 s="3">
        <v>42562</v>
      </c>
      <c r="AC3383" t="s">
        <v>53</v>
      </c>
      <c r="AD3383" t="s">
        <v>53</v>
      </c>
      <c r="AK3383">
        <v>0</v>
      </c>
      <c r="AU3383" s="3">
        <v>42408</v>
      </c>
      <c r="AV3383" s="3">
        <v>42408</v>
      </c>
      <c r="AW3383" t="s">
        <v>54</v>
      </c>
      <c r="AX3383" t="str">
        <f t="shared" si="396"/>
        <v>FOR</v>
      </c>
      <c r="AY3383" t="s">
        <v>55</v>
      </c>
    </row>
    <row r="3384" spans="1:51" hidden="1">
      <c r="A3384">
        <v>104595</v>
      </c>
      <c r="B3384" t="s">
        <v>408</v>
      </c>
      <c r="C3384" t="str">
        <f t="shared" si="397"/>
        <v>01149250159</v>
      </c>
      <c r="D3384" t="str">
        <f t="shared" si="397"/>
        <v>01149250159</v>
      </c>
      <c r="E3384" t="s">
        <v>52</v>
      </c>
      <c r="F3384">
        <v>2015</v>
      </c>
      <c r="G3384" t="str">
        <f>"             V1-1859"</f>
        <v xml:space="preserve">             V1-1859</v>
      </c>
      <c r="H3384" s="3">
        <v>42103</v>
      </c>
      <c r="I3384" s="3">
        <v>42115</v>
      </c>
      <c r="J3384" s="3">
        <v>42110</v>
      </c>
      <c r="K3384" s="3">
        <v>42170</v>
      </c>
      <c r="L3384"/>
      <c r="N3384"/>
      <c r="O3384">
        <v>300</v>
      </c>
      <c r="P3384">
        <v>282</v>
      </c>
      <c r="Q3384" s="4">
        <v>84600</v>
      </c>
      <c r="R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 s="3">
        <v>42562</v>
      </c>
      <c r="AC3384" t="s">
        <v>53</v>
      </c>
      <c r="AD3384" t="s">
        <v>53</v>
      </c>
      <c r="AK3384">
        <v>0</v>
      </c>
      <c r="AU3384" s="3">
        <v>42452</v>
      </c>
      <c r="AV3384" s="3">
        <v>42452</v>
      </c>
      <c r="AW3384" t="s">
        <v>54</v>
      </c>
      <c r="AX3384" t="str">
        <f t="shared" si="396"/>
        <v>FOR</v>
      </c>
      <c r="AY3384" t="s">
        <v>55</v>
      </c>
    </row>
    <row r="3385" spans="1:51" hidden="1">
      <c r="A3385">
        <v>104595</v>
      </c>
      <c r="B3385" t="s">
        <v>408</v>
      </c>
      <c r="C3385" t="str">
        <f t="shared" si="397"/>
        <v>01149250159</v>
      </c>
      <c r="D3385" t="str">
        <f t="shared" si="397"/>
        <v>01149250159</v>
      </c>
      <c r="E3385" t="s">
        <v>52</v>
      </c>
      <c r="F3385">
        <v>2015</v>
      </c>
      <c r="G3385" t="str">
        <f>"             V1-4323"</f>
        <v xml:space="preserve">             V1-4323</v>
      </c>
      <c r="H3385" s="3">
        <v>42201</v>
      </c>
      <c r="I3385" s="3">
        <v>42205</v>
      </c>
      <c r="J3385" s="3">
        <v>42202</v>
      </c>
      <c r="K3385" s="3">
        <v>42262</v>
      </c>
      <c r="L3385"/>
      <c r="N3385"/>
      <c r="O3385">
        <v>600</v>
      </c>
      <c r="P3385">
        <v>190</v>
      </c>
      <c r="Q3385" s="4">
        <v>114000</v>
      </c>
      <c r="R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 s="3">
        <v>42562</v>
      </c>
      <c r="AC3385" t="s">
        <v>53</v>
      </c>
      <c r="AD3385" t="s">
        <v>53</v>
      </c>
      <c r="AK3385">
        <v>0</v>
      </c>
      <c r="AU3385" s="3">
        <v>42452</v>
      </c>
      <c r="AV3385" s="3">
        <v>42452</v>
      </c>
      <c r="AW3385" t="s">
        <v>54</v>
      </c>
      <c r="AX3385" t="str">
        <f t="shared" si="396"/>
        <v>FOR</v>
      </c>
      <c r="AY3385" t="s">
        <v>55</v>
      </c>
    </row>
    <row r="3386" spans="1:51" hidden="1">
      <c r="A3386">
        <v>104595</v>
      </c>
      <c r="B3386" t="s">
        <v>408</v>
      </c>
      <c r="C3386" t="str">
        <f t="shared" si="397"/>
        <v>01149250159</v>
      </c>
      <c r="D3386" t="str">
        <f t="shared" si="397"/>
        <v>01149250159</v>
      </c>
      <c r="E3386" t="s">
        <v>52</v>
      </c>
      <c r="F3386">
        <v>2015</v>
      </c>
      <c r="G3386" t="str">
        <f>"             V1-5614"</f>
        <v xml:space="preserve">             V1-5614</v>
      </c>
      <c r="H3386" s="3">
        <v>42264</v>
      </c>
      <c r="I3386" s="3">
        <v>42265</v>
      </c>
      <c r="J3386" s="3">
        <v>42265</v>
      </c>
      <c r="K3386" s="3">
        <v>42325</v>
      </c>
      <c r="L3386"/>
      <c r="N3386"/>
      <c r="O3386">
        <v>480</v>
      </c>
      <c r="P3386">
        <v>127</v>
      </c>
      <c r="Q3386" s="4">
        <v>60960</v>
      </c>
      <c r="R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 s="3">
        <v>42562</v>
      </c>
      <c r="AC3386" t="s">
        <v>53</v>
      </c>
      <c r="AD3386" t="s">
        <v>53</v>
      </c>
      <c r="AK3386">
        <v>0</v>
      </c>
      <c r="AU3386" s="3">
        <v>42452</v>
      </c>
      <c r="AV3386" s="3">
        <v>42452</v>
      </c>
      <c r="AW3386" t="s">
        <v>54</v>
      </c>
      <c r="AX3386" t="str">
        <f t="shared" si="396"/>
        <v>FOR</v>
      </c>
      <c r="AY3386" t="s">
        <v>55</v>
      </c>
    </row>
    <row r="3387" spans="1:51" hidden="1">
      <c r="A3387">
        <v>104601</v>
      </c>
      <c r="B3387" t="s">
        <v>409</v>
      </c>
      <c r="C3387" t="str">
        <f t="shared" ref="C3387:D3389" si="398">"05791560633"</f>
        <v>05791560633</v>
      </c>
      <c r="D3387" t="str">
        <f t="shared" si="398"/>
        <v>05791560633</v>
      </c>
      <c r="E3387" t="s">
        <v>52</v>
      </c>
      <c r="F3387">
        <v>2014</v>
      </c>
      <c r="G3387" t="str">
        <f>"                3207"</f>
        <v xml:space="preserve">                3207</v>
      </c>
      <c r="H3387" s="3">
        <v>41926</v>
      </c>
      <c r="I3387" s="3">
        <v>41932</v>
      </c>
      <c r="J3387" s="3">
        <v>41932</v>
      </c>
      <c r="K3387" s="3">
        <v>41992</v>
      </c>
      <c r="L3387"/>
      <c r="N3387"/>
      <c r="O3387">
        <v>348.92</v>
      </c>
      <c r="P3387">
        <v>411</v>
      </c>
      <c r="Q3387" s="4">
        <v>143406.12</v>
      </c>
      <c r="R3387">
        <v>0</v>
      </c>
      <c r="V3387">
        <v>0</v>
      </c>
      <c r="W3387">
        <v>0</v>
      </c>
      <c r="X3387">
        <v>0</v>
      </c>
      <c r="Y3387">
        <v>0</v>
      </c>
      <c r="Z3387">
        <v>0</v>
      </c>
      <c r="AA3387">
        <v>0</v>
      </c>
      <c r="AB3387" s="3">
        <v>42562</v>
      </c>
      <c r="AC3387" t="s">
        <v>53</v>
      </c>
      <c r="AD3387" t="s">
        <v>53</v>
      </c>
      <c r="AK3387">
        <v>0</v>
      </c>
      <c r="AU3387" s="3">
        <v>42403</v>
      </c>
      <c r="AV3387" s="3">
        <v>42403</v>
      </c>
      <c r="AW3387" t="s">
        <v>54</v>
      </c>
      <c r="AX3387" t="str">
        <f t="shared" si="396"/>
        <v>FOR</v>
      </c>
      <c r="AY3387" t="s">
        <v>55</v>
      </c>
    </row>
    <row r="3388" spans="1:51" hidden="1">
      <c r="A3388">
        <v>104601</v>
      </c>
      <c r="B3388" t="s">
        <v>409</v>
      </c>
      <c r="C3388" t="str">
        <f t="shared" si="398"/>
        <v>05791560633</v>
      </c>
      <c r="D3388" t="str">
        <f t="shared" si="398"/>
        <v>05791560633</v>
      </c>
      <c r="E3388" t="s">
        <v>52</v>
      </c>
      <c r="F3388">
        <v>2015</v>
      </c>
      <c r="G3388" t="str">
        <f>"              V2-827"</f>
        <v xml:space="preserve">              V2-827</v>
      </c>
      <c r="H3388" s="3">
        <v>42243</v>
      </c>
      <c r="I3388" s="3">
        <v>42245</v>
      </c>
      <c r="J3388" s="3">
        <v>42243</v>
      </c>
      <c r="K3388" s="3">
        <v>42303</v>
      </c>
      <c r="L3388"/>
      <c r="N3388"/>
      <c r="O3388">
        <v>206.4</v>
      </c>
      <c r="P3388">
        <v>112</v>
      </c>
      <c r="Q3388" s="4">
        <v>23116.799999999999</v>
      </c>
      <c r="R3388">
        <v>0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 s="3">
        <v>42562</v>
      </c>
      <c r="AC3388" t="s">
        <v>53</v>
      </c>
      <c r="AD3388" t="s">
        <v>53</v>
      </c>
      <c r="AK3388">
        <v>0</v>
      </c>
      <c r="AU3388" s="3">
        <v>42415</v>
      </c>
      <c r="AV3388" s="3">
        <v>42415</v>
      </c>
      <c r="AW3388" t="s">
        <v>54</v>
      </c>
      <c r="AX3388" t="str">
        <f t="shared" si="396"/>
        <v>FOR</v>
      </c>
      <c r="AY3388" t="s">
        <v>55</v>
      </c>
    </row>
    <row r="3389" spans="1:51" hidden="1">
      <c r="A3389">
        <v>104601</v>
      </c>
      <c r="B3389" t="s">
        <v>409</v>
      </c>
      <c r="C3389" t="str">
        <f t="shared" si="398"/>
        <v>05791560633</v>
      </c>
      <c r="D3389" t="str">
        <f t="shared" si="398"/>
        <v>05791560633</v>
      </c>
      <c r="E3389" t="s">
        <v>52</v>
      </c>
      <c r="F3389">
        <v>2015</v>
      </c>
      <c r="G3389" t="str">
        <f>"             V2-1307"</f>
        <v xml:space="preserve">             V2-1307</v>
      </c>
      <c r="H3389" s="3">
        <v>42318</v>
      </c>
      <c r="I3389" s="3">
        <v>42331</v>
      </c>
      <c r="J3389" s="3">
        <v>42328</v>
      </c>
      <c r="K3389" s="3">
        <v>42388</v>
      </c>
      <c r="L3389"/>
      <c r="N3389"/>
      <c r="O3389">
        <v>777.4</v>
      </c>
      <c r="P3389">
        <v>27</v>
      </c>
      <c r="Q3389" s="4">
        <v>20989.8</v>
      </c>
      <c r="R3389">
        <v>0</v>
      </c>
      <c r="V3389">
        <v>0</v>
      </c>
      <c r="W3389">
        <v>0</v>
      </c>
      <c r="X3389">
        <v>0</v>
      </c>
      <c r="Y3389">
        <v>0</v>
      </c>
      <c r="Z3389">
        <v>0</v>
      </c>
      <c r="AA3389">
        <v>0</v>
      </c>
      <c r="AB3389" s="3">
        <v>42562</v>
      </c>
      <c r="AC3389" t="s">
        <v>53</v>
      </c>
      <c r="AD3389" t="s">
        <v>53</v>
      </c>
      <c r="AK3389">
        <v>0</v>
      </c>
      <c r="AU3389" s="3">
        <v>42415</v>
      </c>
      <c r="AV3389" s="3">
        <v>42415</v>
      </c>
      <c r="AW3389" t="s">
        <v>54</v>
      </c>
      <c r="AX3389" t="str">
        <f t="shared" si="396"/>
        <v>FOR</v>
      </c>
      <c r="AY3389" t="s">
        <v>55</v>
      </c>
    </row>
    <row r="3390" spans="1:51" hidden="1">
      <c r="A3390">
        <v>104614</v>
      </c>
      <c r="B3390" t="s">
        <v>410</v>
      </c>
      <c r="C3390" t="str">
        <f>"03992220966"</f>
        <v>03992220966</v>
      </c>
      <c r="D3390" t="str">
        <f>"03992220966"</f>
        <v>03992220966</v>
      </c>
      <c r="E3390" t="s">
        <v>52</v>
      </c>
      <c r="F3390">
        <v>2015</v>
      </c>
      <c r="G3390" t="str">
        <f>"          3059011033"</f>
        <v xml:space="preserve">          3059011033</v>
      </c>
      <c r="H3390" s="3">
        <v>42066</v>
      </c>
      <c r="I3390" s="3">
        <v>42088</v>
      </c>
      <c r="J3390" s="3">
        <v>42088</v>
      </c>
      <c r="K3390" s="3">
        <v>42148</v>
      </c>
      <c r="L3390"/>
      <c r="N3390"/>
      <c r="O3390" s="4">
        <v>5250</v>
      </c>
      <c r="P3390">
        <v>256</v>
      </c>
      <c r="Q3390" s="4">
        <v>1344000</v>
      </c>
      <c r="R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 s="3">
        <v>42562</v>
      </c>
      <c r="AC3390" t="s">
        <v>53</v>
      </c>
      <c r="AD3390" t="s">
        <v>53</v>
      </c>
      <c r="AK3390">
        <v>0</v>
      </c>
      <c r="AU3390" s="3">
        <v>42404</v>
      </c>
      <c r="AV3390" s="3">
        <v>42404</v>
      </c>
      <c r="AW3390" t="s">
        <v>54</v>
      </c>
      <c r="AX3390" t="str">
        <f t="shared" si="396"/>
        <v>FOR</v>
      </c>
      <c r="AY3390" t="s">
        <v>55</v>
      </c>
    </row>
    <row r="3391" spans="1:51" hidden="1">
      <c r="A3391">
        <v>104638</v>
      </c>
      <c r="B3391" t="s">
        <v>411</v>
      </c>
      <c r="C3391" t="str">
        <f t="shared" ref="C3391:D3397" si="399">"07960110158"</f>
        <v>07960110158</v>
      </c>
      <c r="D3391" t="str">
        <f t="shared" si="399"/>
        <v>07960110158</v>
      </c>
      <c r="E3391" t="s">
        <v>52</v>
      </c>
      <c r="F3391">
        <v>2007</v>
      </c>
      <c r="G3391" t="str">
        <f>"            90002604"</f>
        <v xml:space="preserve">            90002604</v>
      </c>
      <c r="H3391" s="3">
        <v>39401</v>
      </c>
      <c r="I3391" s="3">
        <v>40787</v>
      </c>
      <c r="J3391" s="3">
        <v>40787</v>
      </c>
      <c r="K3391" s="3">
        <v>40877</v>
      </c>
      <c r="L3391"/>
      <c r="N3391"/>
      <c r="O3391" s="4">
        <v>3196.96</v>
      </c>
      <c r="P3391">
        <v>1555</v>
      </c>
      <c r="Q3391" s="4">
        <v>4971272.8</v>
      </c>
      <c r="R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 s="3">
        <v>42562</v>
      </c>
      <c r="AC3391" t="s">
        <v>53</v>
      </c>
      <c r="AD3391" t="s">
        <v>53</v>
      </c>
      <c r="AK3391">
        <v>0</v>
      </c>
      <c r="AU3391" s="3">
        <v>42432</v>
      </c>
      <c r="AV3391" s="3">
        <v>42432</v>
      </c>
      <c r="AW3391" t="s">
        <v>54</v>
      </c>
      <c r="AX3391" t="str">
        <f t="shared" si="396"/>
        <v>FOR</v>
      </c>
      <c r="AY3391" t="s">
        <v>55</v>
      </c>
    </row>
    <row r="3392" spans="1:51" hidden="1">
      <c r="A3392">
        <v>104638</v>
      </c>
      <c r="B3392" t="s">
        <v>411</v>
      </c>
      <c r="C3392" t="str">
        <f t="shared" si="399"/>
        <v>07960110158</v>
      </c>
      <c r="D3392" t="str">
        <f t="shared" si="399"/>
        <v>07960110158</v>
      </c>
      <c r="E3392" t="s">
        <v>52</v>
      </c>
      <c r="F3392">
        <v>2012</v>
      </c>
      <c r="G3392" t="str">
        <f>"            90000281"</f>
        <v xml:space="preserve">            90000281</v>
      </c>
      <c r="H3392" s="3">
        <v>40952</v>
      </c>
      <c r="I3392" s="3">
        <v>40980</v>
      </c>
      <c r="J3392" s="3">
        <v>40980</v>
      </c>
      <c r="K3392" s="3">
        <v>41070</v>
      </c>
      <c r="L3392"/>
      <c r="N3392"/>
      <c r="O3392" s="4">
        <v>1642.85</v>
      </c>
      <c r="P3392">
        <v>1362</v>
      </c>
      <c r="Q3392" s="4">
        <v>2237561.7000000002</v>
      </c>
      <c r="R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 s="3">
        <v>42562</v>
      </c>
      <c r="AC3392" t="s">
        <v>53</v>
      </c>
      <c r="AD3392" t="s">
        <v>53</v>
      </c>
      <c r="AK3392">
        <v>0</v>
      </c>
      <c r="AU3392" s="3">
        <v>42432</v>
      </c>
      <c r="AV3392" s="3">
        <v>42432</v>
      </c>
      <c r="AW3392" t="s">
        <v>54</v>
      </c>
      <c r="AX3392" t="str">
        <f t="shared" si="396"/>
        <v>FOR</v>
      </c>
      <c r="AY3392" t="s">
        <v>55</v>
      </c>
    </row>
    <row r="3393" spans="1:51" hidden="1">
      <c r="A3393">
        <v>104638</v>
      </c>
      <c r="B3393" t="s">
        <v>411</v>
      </c>
      <c r="C3393" t="str">
        <f t="shared" si="399"/>
        <v>07960110158</v>
      </c>
      <c r="D3393" t="str">
        <f t="shared" si="399"/>
        <v>07960110158</v>
      </c>
      <c r="E3393" t="s">
        <v>52</v>
      </c>
      <c r="F3393">
        <v>2013</v>
      </c>
      <c r="G3393" t="str">
        <f>"            90000199"</f>
        <v xml:space="preserve">            90000199</v>
      </c>
      <c r="H3393" s="3">
        <v>41305</v>
      </c>
      <c r="I3393" s="3">
        <v>41325</v>
      </c>
      <c r="J3393" s="3">
        <v>41325</v>
      </c>
      <c r="K3393" s="3">
        <v>41415</v>
      </c>
      <c r="L3393"/>
      <c r="N3393"/>
      <c r="O3393" s="4">
        <v>2232.92</v>
      </c>
      <c r="P3393">
        <v>1017</v>
      </c>
      <c r="Q3393" s="4">
        <v>2270879.64</v>
      </c>
      <c r="R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 s="3">
        <v>42562</v>
      </c>
      <c r="AC3393" t="s">
        <v>53</v>
      </c>
      <c r="AD3393" t="s">
        <v>53</v>
      </c>
      <c r="AK3393">
        <v>0</v>
      </c>
      <c r="AU3393" s="3">
        <v>42432</v>
      </c>
      <c r="AV3393" s="3">
        <v>42432</v>
      </c>
      <c r="AW3393" t="s">
        <v>54</v>
      </c>
      <c r="AX3393" t="str">
        <f t="shared" si="396"/>
        <v>FOR</v>
      </c>
      <c r="AY3393" t="s">
        <v>55</v>
      </c>
    </row>
    <row r="3394" spans="1:51" hidden="1">
      <c r="A3394">
        <v>104638</v>
      </c>
      <c r="B3394" t="s">
        <v>411</v>
      </c>
      <c r="C3394" t="str">
        <f t="shared" si="399"/>
        <v>07960110158</v>
      </c>
      <c r="D3394" t="str">
        <f t="shared" si="399"/>
        <v>07960110158</v>
      </c>
      <c r="E3394" t="s">
        <v>52</v>
      </c>
      <c r="F3394">
        <v>2013</v>
      </c>
      <c r="G3394" t="str">
        <f>"            90000718"</f>
        <v xml:space="preserve">            90000718</v>
      </c>
      <c r="H3394" s="3">
        <v>41394</v>
      </c>
      <c r="I3394" s="3">
        <v>41404</v>
      </c>
      <c r="J3394" s="3">
        <v>41404</v>
      </c>
      <c r="K3394" s="3">
        <v>41494</v>
      </c>
      <c r="L3394"/>
      <c r="N3394"/>
      <c r="O3394">
        <v>450.57</v>
      </c>
      <c r="P3394">
        <v>938</v>
      </c>
      <c r="Q3394" s="4">
        <v>422634.66</v>
      </c>
      <c r="R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 s="3">
        <v>42562</v>
      </c>
      <c r="AC3394" t="s">
        <v>53</v>
      </c>
      <c r="AD3394" t="s">
        <v>53</v>
      </c>
      <c r="AK3394">
        <v>0</v>
      </c>
      <c r="AU3394" s="3">
        <v>42432</v>
      </c>
      <c r="AV3394" s="3">
        <v>42432</v>
      </c>
      <c r="AW3394" t="s">
        <v>54</v>
      </c>
      <c r="AX3394" t="str">
        <f t="shared" si="396"/>
        <v>FOR</v>
      </c>
      <c r="AY3394" t="s">
        <v>55</v>
      </c>
    </row>
    <row r="3395" spans="1:51" hidden="1">
      <c r="A3395">
        <v>104638</v>
      </c>
      <c r="B3395" t="s">
        <v>411</v>
      </c>
      <c r="C3395" t="str">
        <f t="shared" si="399"/>
        <v>07960110158</v>
      </c>
      <c r="D3395" t="str">
        <f t="shared" si="399"/>
        <v>07960110158</v>
      </c>
      <c r="E3395" t="s">
        <v>52</v>
      </c>
      <c r="F3395">
        <v>2013</v>
      </c>
      <c r="G3395" t="str">
        <f>"            90001857"</f>
        <v xml:space="preserve">            90001857</v>
      </c>
      <c r="H3395" s="3">
        <v>41578</v>
      </c>
      <c r="I3395" s="3">
        <v>41603</v>
      </c>
      <c r="J3395" s="3">
        <v>41603</v>
      </c>
      <c r="K3395" s="3">
        <v>41693</v>
      </c>
      <c r="L3395"/>
      <c r="N3395"/>
      <c r="O3395" s="4">
        <v>13793.72</v>
      </c>
      <c r="P3395">
        <v>739</v>
      </c>
      <c r="Q3395" s="4">
        <v>10193559.08</v>
      </c>
      <c r="R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 s="3">
        <v>42562</v>
      </c>
      <c r="AC3395" t="s">
        <v>53</v>
      </c>
      <c r="AD3395" t="s">
        <v>53</v>
      </c>
      <c r="AK3395">
        <v>0</v>
      </c>
      <c r="AU3395" s="3">
        <v>42432</v>
      </c>
      <c r="AV3395" s="3">
        <v>42432</v>
      </c>
      <c r="AW3395" t="s">
        <v>54</v>
      </c>
      <c r="AX3395" t="str">
        <f t="shared" si="396"/>
        <v>FOR</v>
      </c>
      <c r="AY3395" t="s">
        <v>55</v>
      </c>
    </row>
    <row r="3396" spans="1:51" hidden="1">
      <c r="A3396">
        <v>104638</v>
      </c>
      <c r="B3396" t="s">
        <v>411</v>
      </c>
      <c r="C3396" t="str">
        <f t="shared" si="399"/>
        <v>07960110158</v>
      </c>
      <c r="D3396" t="str">
        <f t="shared" si="399"/>
        <v>07960110158</v>
      </c>
      <c r="E3396" t="s">
        <v>52</v>
      </c>
      <c r="F3396">
        <v>2014</v>
      </c>
      <c r="G3396" t="str">
        <f>"            90000770"</f>
        <v xml:space="preserve">            90000770</v>
      </c>
      <c r="H3396" s="3">
        <v>41757</v>
      </c>
      <c r="I3396" s="3">
        <v>41821</v>
      </c>
      <c r="J3396" s="3">
        <v>41821</v>
      </c>
      <c r="K3396" s="3">
        <v>41911</v>
      </c>
      <c r="L3396"/>
      <c r="N3396"/>
      <c r="O3396" s="4">
        <v>1340.55</v>
      </c>
      <c r="P3396">
        <v>521</v>
      </c>
      <c r="Q3396" s="4">
        <v>698426.55</v>
      </c>
      <c r="R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 s="3">
        <v>42562</v>
      </c>
      <c r="AC3396" t="s">
        <v>53</v>
      </c>
      <c r="AD3396" t="s">
        <v>53</v>
      </c>
      <c r="AK3396">
        <v>0</v>
      </c>
      <c r="AU3396" s="3">
        <v>42432</v>
      </c>
      <c r="AV3396" s="3">
        <v>42432</v>
      </c>
      <c r="AW3396" t="s">
        <v>54</v>
      </c>
      <c r="AX3396" t="str">
        <f t="shared" si="396"/>
        <v>FOR</v>
      </c>
      <c r="AY3396" t="s">
        <v>55</v>
      </c>
    </row>
    <row r="3397" spans="1:51" hidden="1">
      <c r="A3397">
        <v>104638</v>
      </c>
      <c r="B3397" t="s">
        <v>411</v>
      </c>
      <c r="C3397" t="str">
        <f t="shared" si="399"/>
        <v>07960110158</v>
      </c>
      <c r="D3397" t="str">
        <f t="shared" si="399"/>
        <v>07960110158</v>
      </c>
      <c r="E3397" t="s">
        <v>52</v>
      </c>
      <c r="F3397">
        <v>2014</v>
      </c>
      <c r="G3397" t="str">
        <f>"            90001805"</f>
        <v xml:space="preserve">            90001805</v>
      </c>
      <c r="H3397" s="3">
        <v>41848</v>
      </c>
      <c r="I3397" s="3">
        <v>41936</v>
      </c>
      <c r="J3397" s="3">
        <v>41936</v>
      </c>
      <c r="K3397" s="3">
        <v>41996</v>
      </c>
      <c r="L3397"/>
      <c r="N3397"/>
      <c r="O3397" s="4">
        <v>43023.95</v>
      </c>
      <c r="P3397">
        <v>436</v>
      </c>
      <c r="Q3397" s="4">
        <v>18758442.199999999</v>
      </c>
      <c r="R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 s="3">
        <v>42562</v>
      </c>
      <c r="AC3397" t="s">
        <v>53</v>
      </c>
      <c r="AD3397" t="s">
        <v>53</v>
      </c>
      <c r="AK3397">
        <v>0</v>
      </c>
      <c r="AU3397" s="3">
        <v>42432</v>
      </c>
      <c r="AV3397" s="3">
        <v>42432</v>
      </c>
      <c r="AW3397" t="s">
        <v>54</v>
      </c>
      <c r="AX3397" t="str">
        <f t="shared" si="396"/>
        <v>FOR</v>
      </c>
      <c r="AY3397" t="s">
        <v>55</v>
      </c>
    </row>
    <row r="3398" spans="1:51" hidden="1">
      <c r="A3398">
        <v>104647</v>
      </c>
      <c r="B3398" t="s">
        <v>412</v>
      </c>
      <c r="C3398" t="str">
        <f t="shared" ref="C3398:D3405" si="400">"03531280968"</f>
        <v>03531280968</v>
      </c>
      <c r="D3398" t="str">
        <f t="shared" si="400"/>
        <v>03531280968</v>
      </c>
      <c r="E3398" t="s">
        <v>52</v>
      </c>
      <c r="F3398">
        <v>2015</v>
      </c>
      <c r="G3398" t="str">
        <f>"         RH/15000666"</f>
        <v xml:space="preserve">         RH/15000666</v>
      </c>
      <c r="H3398" s="3">
        <v>42111</v>
      </c>
      <c r="I3398" s="3">
        <v>42121</v>
      </c>
      <c r="J3398" s="3">
        <v>42120</v>
      </c>
      <c r="K3398" s="3">
        <v>42180</v>
      </c>
      <c r="L3398"/>
      <c r="N3398"/>
      <c r="O3398">
        <v>99.84</v>
      </c>
      <c r="P3398">
        <v>251</v>
      </c>
      <c r="Q3398" s="4">
        <v>25059.84</v>
      </c>
      <c r="R3398">
        <v>0</v>
      </c>
      <c r="V3398">
        <v>0</v>
      </c>
      <c r="W3398">
        <v>0</v>
      </c>
      <c r="X3398">
        <v>0</v>
      </c>
      <c r="Y3398">
        <v>0</v>
      </c>
      <c r="Z3398">
        <v>0</v>
      </c>
      <c r="AA3398">
        <v>0</v>
      </c>
      <c r="AB3398" s="3">
        <v>42562</v>
      </c>
      <c r="AC3398" t="s">
        <v>53</v>
      </c>
      <c r="AD3398" t="s">
        <v>53</v>
      </c>
      <c r="AK3398">
        <v>0</v>
      </c>
      <c r="AU3398" s="3">
        <v>42431</v>
      </c>
      <c r="AV3398" s="3">
        <v>42431</v>
      </c>
      <c r="AW3398" t="s">
        <v>54</v>
      </c>
      <c r="AX3398" t="str">
        <f t="shared" si="396"/>
        <v>FOR</v>
      </c>
      <c r="AY3398" t="s">
        <v>55</v>
      </c>
    </row>
    <row r="3399" spans="1:51" hidden="1">
      <c r="A3399">
        <v>104647</v>
      </c>
      <c r="B3399" t="s">
        <v>412</v>
      </c>
      <c r="C3399" t="str">
        <f t="shared" si="400"/>
        <v>03531280968</v>
      </c>
      <c r="D3399" t="str">
        <f t="shared" si="400"/>
        <v>03531280968</v>
      </c>
      <c r="E3399" t="s">
        <v>52</v>
      </c>
      <c r="F3399">
        <v>2015</v>
      </c>
      <c r="G3399" t="str">
        <f>"         RH/15001174"</f>
        <v xml:space="preserve">         RH/15001174</v>
      </c>
      <c r="H3399" s="3">
        <v>42188</v>
      </c>
      <c r="I3399" s="3">
        <v>42192</v>
      </c>
      <c r="J3399" s="3">
        <v>42191</v>
      </c>
      <c r="K3399" s="3">
        <v>42251</v>
      </c>
      <c r="L3399"/>
      <c r="N3399"/>
      <c r="O3399">
        <v>267.36</v>
      </c>
      <c r="P3399">
        <v>180</v>
      </c>
      <c r="Q3399" s="4">
        <v>48124.800000000003</v>
      </c>
      <c r="R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 s="3">
        <v>42562</v>
      </c>
      <c r="AC3399" t="s">
        <v>53</v>
      </c>
      <c r="AD3399" t="s">
        <v>53</v>
      </c>
      <c r="AK3399">
        <v>0</v>
      </c>
      <c r="AU3399" s="3">
        <v>42431</v>
      </c>
      <c r="AV3399" s="3">
        <v>42431</v>
      </c>
      <c r="AW3399" t="s">
        <v>54</v>
      </c>
      <c r="AX3399" t="str">
        <f t="shared" si="396"/>
        <v>FOR</v>
      </c>
      <c r="AY3399" t="s">
        <v>55</v>
      </c>
    </row>
    <row r="3400" spans="1:51" hidden="1">
      <c r="A3400">
        <v>104647</v>
      </c>
      <c r="B3400" t="s">
        <v>412</v>
      </c>
      <c r="C3400" t="str">
        <f t="shared" si="400"/>
        <v>03531280968</v>
      </c>
      <c r="D3400" t="str">
        <f t="shared" si="400"/>
        <v>03531280968</v>
      </c>
      <c r="E3400" t="s">
        <v>52</v>
      </c>
      <c r="F3400">
        <v>2015</v>
      </c>
      <c r="G3400" t="str">
        <f>"         RH/15001426"</f>
        <v xml:space="preserve">         RH/15001426</v>
      </c>
      <c r="H3400" s="3">
        <v>42244</v>
      </c>
      <c r="I3400" s="3">
        <v>42254</v>
      </c>
      <c r="J3400" s="3">
        <v>42254</v>
      </c>
      <c r="K3400" s="3">
        <v>42314</v>
      </c>
      <c r="L3400"/>
      <c r="N3400"/>
      <c r="O3400">
        <v>318.39999999999998</v>
      </c>
      <c r="P3400">
        <v>117</v>
      </c>
      <c r="Q3400" s="4">
        <v>37252.800000000003</v>
      </c>
      <c r="R3400">
        <v>0</v>
      </c>
      <c r="V3400">
        <v>0</v>
      </c>
      <c r="W3400">
        <v>0</v>
      </c>
      <c r="X3400">
        <v>0</v>
      </c>
      <c r="Y3400">
        <v>0</v>
      </c>
      <c r="Z3400">
        <v>0</v>
      </c>
      <c r="AA3400">
        <v>0</v>
      </c>
      <c r="AB3400" s="3">
        <v>42562</v>
      </c>
      <c r="AC3400" t="s">
        <v>53</v>
      </c>
      <c r="AD3400" t="s">
        <v>53</v>
      </c>
      <c r="AK3400">
        <v>0</v>
      </c>
      <c r="AU3400" s="3">
        <v>42431</v>
      </c>
      <c r="AV3400" s="3">
        <v>42431</v>
      </c>
      <c r="AW3400" t="s">
        <v>54</v>
      </c>
      <c r="AX3400" t="str">
        <f t="shared" si="396"/>
        <v>FOR</v>
      </c>
      <c r="AY3400" t="s">
        <v>55</v>
      </c>
    </row>
    <row r="3401" spans="1:51" hidden="1">
      <c r="A3401">
        <v>104647</v>
      </c>
      <c r="B3401" t="s">
        <v>412</v>
      </c>
      <c r="C3401" t="str">
        <f t="shared" si="400"/>
        <v>03531280968</v>
      </c>
      <c r="D3401" t="str">
        <f t="shared" si="400"/>
        <v>03531280968</v>
      </c>
      <c r="E3401" t="s">
        <v>52</v>
      </c>
      <c r="F3401">
        <v>2015</v>
      </c>
      <c r="G3401" t="str">
        <f>"         RH/15001452"</f>
        <v xml:space="preserve">         RH/15001452</v>
      </c>
      <c r="H3401" s="3">
        <v>42244</v>
      </c>
      <c r="I3401" s="3">
        <v>42254</v>
      </c>
      <c r="J3401" s="3">
        <v>42254</v>
      </c>
      <c r="K3401" s="3">
        <v>42314</v>
      </c>
      <c r="L3401"/>
      <c r="N3401"/>
      <c r="O3401">
        <v>193.92</v>
      </c>
      <c r="P3401">
        <v>117</v>
      </c>
      <c r="Q3401" s="4">
        <v>22688.639999999999</v>
      </c>
      <c r="R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 s="3">
        <v>42562</v>
      </c>
      <c r="AC3401" t="s">
        <v>53</v>
      </c>
      <c r="AD3401" t="s">
        <v>53</v>
      </c>
      <c r="AK3401">
        <v>0</v>
      </c>
      <c r="AU3401" s="3">
        <v>42431</v>
      </c>
      <c r="AV3401" s="3">
        <v>42431</v>
      </c>
      <c r="AW3401" t="s">
        <v>54</v>
      </c>
      <c r="AX3401" t="str">
        <f t="shared" si="396"/>
        <v>FOR</v>
      </c>
      <c r="AY3401" t="s">
        <v>55</v>
      </c>
    </row>
    <row r="3402" spans="1:51" hidden="1">
      <c r="A3402">
        <v>104647</v>
      </c>
      <c r="B3402" t="s">
        <v>412</v>
      </c>
      <c r="C3402" t="str">
        <f t="shared" si="400"/>
        <v>03531280968</v>
      </c>
      <c r="D3402" t="str">
        <f t="shared" si="400"/>
        <v>03531280968</v>
      </c>
      <c r="E3402" t="s">
        <v>52</v>
      </c>
      <c r="F3402">
        <v>2015</v>
      </c>
      <c r="G3402" t="str">
        <f>"         RH/15001607"</f>
        <v xml:space="preserve">         RH/15001607</v>
      </c>
      <c r="H3402" s="3">
        <v>42277</v>
      </c>
      <c r="I3402" s="3">
        <v>42291</v>
      </c>
      <c r="J3402" s="3">
        <v>42285</v>
      </c>
      <c r="K3402" s="3">
        <v>42345</v>
      </c>
      <c r="L3402"/>
      <c r="N3402"/>
      <c r="O3402">
        <v>318.39999999999998</v>
      </c>
      <c r="P3402">
        <v>86</v>
      </c>
      <c r="Q3402" s="4">
        <v>27382.400000000001</v>
      </c>
      <c r="R3402">
        <v>0</v>
      </c>
      <c r="V3402">
        <v>0</v>
      </c>
      <c r="W3402">
        <v>0</v>
      </c>
      <c r="X3402">
        <v>0</v>
      </c>
      <c r="Y3402">
        <v>0</v>
      </c>
      <c r="Z3402">
        <v>0</v>
      </c>
      <c r="AA3402">
        <v>0</v>
      </c>
      <c r="AB3402" s="3">
        <v>42562</v>
      </c>
      <c r="AC3402" t="s">
        <v>53</v>
      </c>
      <c r="AD3402" t="s">
        <v>53</v>
      </c>
      <c r="AK3402">
        <v>0</v>
      </c>
      <c r="AU3402" s="3">
        <v>42431</v>
      </c>
      <c r="AV3402" s="3">
        <v>42431</v>
      </c>
      <c r="AW3402" t="s">
        <v>54</v>
      </c>
      <c r="AX3402" t="str">
        <f t="shared" si="396"/>
        <v>FOR</v>
      </c>
      <c r="AY3402" t="s">
        <v>55</v>
      </c>
    </row>
    <row r="3403" spans="1:51" hidden="1">
      <c r="A3403">
        <v>104647</v>
      </c>
      <c r="B3403" t="s">
        <v>412</v>
      </c>
      <c r="C3403" t="str">
        <f t="shared" si="400"/>
        <v>03531280968</v>
      </c>
      <c r="D3403" t="str">
        <f t="shared" si="400"/>
        <v>03531280968</v>
      </c>
      <c r="E3403" t="s">
        <v>52</v>
      </c>
      <c r="F3403">
        <v>2015</v>
      </c>
      <c r="G3403" t="str">
        <f>"         RH/15001632"</f>
        <v xml:space="preserve">         RH/15001632</v>
      </c>
      <c r="H3403" s="3">
        <v>42277</v>
      </c>
      <c r="I3403" s="3">
        <v>42289</v>
      </c>
      <c r="J3403" s="3">
        <v>42285</v>
      </c>
      <c r="K3403" s="3">
        <v>42345</v>
      </c>
      <c r="L3403"/>
      <c r="N3403"/>
      <c r="O3403">
        <v>99.84</v>
      </c>
      <c r="P3403">
        <v>86</v>
      </c>
      <c r="Q3403" s="4">
        <v>8586.24</v>
      </c>
      <c r="R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 s="3">
        <v>42562</v>
      </c>
      <c r="AC3403" t="s">
        <v>53</v>
      </c>
      <c r="AD3403" t="s">
        <v>53</v>
      </c>
      <c r="AK3403">
        <v>0</v>
      </c>
      <c r="AU3403" s="3">
        <v>42431</v>
      </c>
      <c r="AV3403" s="3">
        <v>42431</v>
      </c>
      <c r="AW3403" t="s">
        <v>54</v>
      </c>
      <c r="AX3403" t="str">
        <f t="shared" si="396"/>
        <v>FOR</v>
      </c>
      <c r="AY3403" t="s">
        <v>55</v>
      </c>
    </row>
    <row r="3404" spans="1:51" hidden="1">
      <c r="A3404">
        <v>104647</v>
      </c>
      <c r="B3404" t="s">
        <v>412</v>
      </c>
      <c r="C3404" t="str">
        <f t="shared" si="400"/>
        <v>03531280968</v>
      </c>
      <c r="D3404" t="str">
        <f t="shared" si="400"/>
        <v>03531280968</v>
      </c>
      <c r="E3404" t="s">
        <v>52</v>
      </c>
      <c r="F3404">
        <v>2015</v>
      </c>
      <c r="G3404" t="str">
        <f>"         RH/15001681"</f>
        <v xml:space="preserve">         RH/15001681</v>
      </c>
      <c r="H3404" s="3">
        <v>42306</v>
      </c>
      <c r="I3404" s="3">
        <v>42320</v>
      </c>
      <c r="J3404" s="3">
        <v>42319</v>
      </c>
      <c r="K3404" s="3">
        <v>42379</v>
      </c>
      <c r="L3404"/>
      <c r="N3404"/>
      <c r="O3404">
        <v>193.92</v>
      </c>
      <c r="P3404">
        <v>52</v>
      </c>
      <c r="Q3404" s="4">
        <v>10083.84</v>
      </c>
      <c r="R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 s="3">
        <v>42562</v>
      </c>
      <c r="AC3404" t="s">
        <v>53</v>
      </c>
      <c r="AD3404" t="s">
        <v>53</v>
      </c>
      <c r="AK3404">
        <v>0</v>
      </c>
      <c r="AU3404" s="3">
        <v>42431</v>
      </c>
      <c r="AV3404" s="3">
        <v>42431</v>
      </c>
      <c r="AW3404" t="s">
        <v>54</v>
      </c>
      <c r="AX3404" t="str">
        <f t="shared" si="396"/>
        <v>FOR</v>
      </c>
      <c r="AY3404" t="s">
        <v>55</v>
      </c>
    </row>
    <row r="3405" spans="1:51" hidden="1">
      <c r="A3405">
        <v>104647</v>
      </c>
      <c r="B3405" t="s">
        <v>412</v>
      </c>
      <c r="C3405" t="str">
        <f t="shared" si="400"/>
        <v>03531280968</v>
      </c>
      <c r="D3405" t="str">
        <f t="shared" si="400"/>
        <v>03531280968</v>
      </c>
      <c r="E3405" t="s">
        <v>52</v>
      </c>
      <c r="F3405">
        <v>2015</v>
      </c>
      <c r="G3405" t="str">
        <f>"         RH/15001857"</f>
        <v xml:space="preserve">         RH/15001857</v>
      </c>
      <c r="H3405" s="3">
        <v>42319</v>
      </c>
      <c r="I3405" s="3">
        <v>42345</v>
      </c>
      <c r="J3405" s="3">
        <v>42342</v>
      </c>
      <c r="K3405" s="3">
        <v>42402</v>
      </c>
      <c r="L3405"/>
      <c r="N3405"/>
      <c r="O3405">
        <v>318.39999999999998</v>
      </c>
      <c r="P3405">
        <v>29</v>
      </c>
      <c r="Q3405" s="4">
        <v>9233.6</v>
      </c>
      <c r="R3405">
        <v>0</v>
      </c>
      <c r="V3405">
        <v>0</v>
      </c>
      <c r="W3405">
        <v>0</v>
      </c>
      <c r="X3405">
        <v>0</v>
      </c>
      <c r="Y3405">
        <v>0</v>
      </c>
      <c r="Z3405">
        <v>0</v>
      </c>
      <c r="AA3405">
        <v>0</v>
      </c>
      <c r="AB3405" s="3">
        <v>42562</v>
      </c>
      <c r="AC3405" t="s">
        <v>53</v>
      </c>
      <c r="AD3405" t="s">
        <v>53</v>
      </c>
      <c r="AK3405">
        <v>0</v>
      </c>
      <c r="AU3405" s="3">
        <v>42431</v>
      </c>
      <c r="AV3405" s="3">
        <v>42431</v>
      </c>
      <c r="AW3405" t="s">
        <v>54</v>
      </c>
      <c r="AX3405" t="str">
        <f t="shared" si="396"/>
        <v>FOR</v>
      </c>
      <c r="AY3405" t="s">
        <v>55</v>
      </c>
    </row>
    <row r="3406" spans="1:51" hidden="1">
      <c r="A3406">
        <v>104660</v>
      </c>
      <c r="B3406" t="s">
        <v>413</v>
      </c>
      <c r="C3406" t="str">
        <f t="shared" ref="C3406:D3412" si="401">"06141111002"</f>
        <v>06141111002</v>
      </c>
      <c r="D3406" t="str">
        <f t="shared" si="401"/>
        <v>06141111002</v>
      </c>
      <c r="E3406" t="s">
        <v>52</v>
      </c>
      <c r="F3406">
        <v>2015</v>
      </c>
      <c r="G3406" t="str">
        <f>"                7/97"</f>
        <v xml:space="preserve">                7/97</v>
      </c>
      <c r="H3406" s="3">
        <v>42094</v>
      </c>
      <c r="I3406" s="3">
        <v>42172</v>
      </c>
      <c r="J3406" s="3">
        <v>42166</v>
      </c>
      <c r="K3406" s="3">
        <v>42226</v>
      </c>
      <c r="L3406"/>
      <c r="N3406"/>
      <c r="O3406" s="4">
        <v>15200</v>
      </c>
      <c r="P3406">
        <v>190</v>
      </c>
      <c r="Q3406" s="4">
        <v>2888000</v>
      </c>
      <c r="R3406">
        <v>0</v>
      </c>
      <c r="V3406">
        <v>0</v>
      </c>
      <c r="W3406">
        <v>0</v>
      </c>
      <c r="X3406">
        <v>0</v>
      </c>
      <c r="Y3406">
        <v>0</v>
      </c>
      <c r="Z3406">
        <v>0</v>
      </c>
      <c r="AA3406">
        <v>0</v>
      </c>
      <c r="AB3406" s="3">
        <v>42562</v>
      </c>
      <c r="AC3406" t="s">
        <v>53</v>
      </c>
      <c r="AD3406" t="s">
        <v>53</v>
      </c>
      <c r="AK3406">
        <v>0</v>
      </c>
      <c r="AU3406" s="3">
        <v>42416</v>
      </c>
      <c r="AV3406" s="3">
        <v>42416</v>
      </c>
      <c r="AW3406" t="s">
        <v>54</v>
      </c>
      <c r="AX3406" t="str">
        <f t="shared" si="396"/>
        <v>FOR</v>
      </c>
      <c r="AY3406" t="s">
        <v>55</v>
      </c>
    </row>
    <row r="3407" spans="1:51" hidden="1">
      <c r="A3407">
        <v>104660</v>
      </c>
      <c r="B3407" t="s">
        <v>413</v>
      </c>
      <c r="C3407" t="str">
        <f t="shared" si="401"/>
        <v>06141111002</v>
      </c>
      <c r="D3407" t="str">
        <f t="shared" si="401"/>
        <v>06141111002</v>
      </c>
      <c r="E3407" t="s">
        <v>52</v>
      </c>
      <c r="F3407">
        <v>2015</v>
      </c>
      <c r="G3407" t="str">
        <f>"               7/181"</f>
        <v xml:space="preserve">               7/181</v>
      </c>
      <c r="H3407" s="3">
        <v>42124</v>
      </c>
      <c r="I3407" s="3">
        <v>42165</v>
      </c>
      <c r="J3407" s="3">
        <v>42158</v>
      </c>
      <c r="K3407" s="3">
        <v>42218</v>
      </c>
      <c r="L3407"/>
      <c r="N3407"/>
      <c r="O3407" s="4">
        <v>14400</v>
      </c>
      <c r="P3407">
        <v>213</v>
      </c>
      <c r="Q3407" s="4">
        <v>3067200</v>
      </c>
      <c r="R3407">
        <v>0</v>
      </c>
      <c r="V3407">
        <v>0</v>
      </c>
      <c r="W3407">
        <v>0</v>
      </c>
      <c r="X3407">
        <v>0</v>
      </c>
      <c r="Y3407">
        <v>0</v>
      </c>
      <c r="Z3407">
        <v>0</v>
      </c>
      <c r="AA3407">
        <v>0</v>
      </c>
      <c r="AB3407" s="3">
        <v>42562</v>
      </c>
      <c r="AC3407" t="s">
        <v>53</v>
      </c>
      <c r="AD3407" t="s">
        <v>53</v>
      </c>
      <c r="AK3407">
        <v>0</v>
      </c>
      <c r="AU3407" s="3">
        <v>42431</v>
      </c>
      <c r="AV3407" s="3">
        <v>42431</v>
      </c>
      <c r="AW3407" t="s">
        <v>54</v>
      </c>
      <c r="AX3407" t="str">
        <f t="shared" si="396"/>
        <v>FOR</v>
      </c>
      <c r="AY3407" t="s">
        <v>55</v>
      </c>
    </row>
    <row r="3408" spans="1:51" hidden="1">
      <c r="A3408">
        <v>104660</v>
      </c>
      <c r="B3408" t="s">
        <v>413</v>
      </c>
      <c r="C3408" t="str">
        <f t="shared" si="401"/>
        <v>06141111002</v>
      </c>
      <c r="D3408" t="str">
        <f t="shared" si="401"/>
        <v>06141111002</v>
      </c>
      <c r="E3408" t="s">
        <v>52</v>
      </c>
      <c r="F3408">
        <v>2015</v>
      </c>
      <c r="G3408" t="str">
        <f>"               7/308"</f>
        <v xml:space="preserve">               7/308</v>
      </c>
      <c r="H3408" s="3">
        <v>42154</v>
      </c>
      <c r="I3408" s="3">
        <v>42163</v>
      </c>
      <c r="J3408" s="3">
        <v>42160</v>
      </c>
      <c r="K3408" s="3">
        <v>42220</v>
      </c>
      <c r="L3408"/>
      <c r="N3408"/>
      <c r="O3408" s="4">
        <v>1400</v>
      </c>
      <c r="P3408">
        <v>233</v>
      </c>
      <c r="Q3408" s="4">
        <v>326200</v>
      </c>
      <c r="R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 s="3">
        <v>42562</v>
      </c>
      <c r="AC3408" t="s">
        <v>53</v>
      </c>
      <c r="AD3408" t="s">
        <v>53</v>
      </c>
      <c r="AK3408">
        <v>0</v>
      </c>
      <c r="AU3408" s="3">
        <v>42453</v>
      </c>
      <c r="AV3408" s="3">
        <v>42453</v>
      </c>
      <c r="AW3408" t="s">
        <v>54</v>
      </c>
      <c r="AX3408" t="str">
        <f t="shared" si="396"/>
        <v>FOR</v>
      </c>
      <c r="AY3408" t="s">
        <v>55</v>
      </c>
    </row>
    <row r="3409" spans="1:51" hidden="1">
      <c r="A3409">
        <v>104660</v>
      </c>
      <c r="B3409" t="s">
        <v>413</v>
      </c>
      <c r="C3409" t="str">
        <f t="shared" si="401"/>
        <v>06141111002</v>
      </c>
      <c r="D3409" t="str">
        <f t="shared" si="401"/>
        <v>06141111002</v>
      </c>
      <c r="E3409" t="s">
        <v>52</v>
      </c>
      <c r="F3409">
        <v>2015</v>
      </c>
      <c r="G3409" t="str">
        <f>"               7/408"</f>
        <v xml:space="preserve">               7/408</v>
      </c>
      <c r="H3409" s="3">
        <v>42154</v>
      </c>
      <c r="I3409" s="3">
        <v>42167</v>
      </c>
      <c r="J3409" s="3">
        <v>42163</v>
      </c>
      <c r="K3409" s="3">
        <v>42223</v>
      </c>
      <c r="L3409"/>
      <c r="N3409"/>
      <c r="O3409" s="4">
        <v>10400</v>
      </c>
      <c r="P3409">
        <v>230</v>
      </c>
      <c r="Q3409" s="4">
        <v>2392000</v>
      </c>
      <c r="R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 s="3">
        <v>42562</v>
      </c>
      <c r="AC3409" t="s">
        <v>53</v>
      </c>
      <c r="AD3409" t="s">
        <v>53</v>
      </c>
      <c r="AK3409">
        <v>0</v>
      </c>
      <c r="AU3409" s="3">
        <v>42453</v>
      </c>
      <c r="AV3409" s="3">
        <v>42453</v>
      </c>
      <c r="AW3409" t="s">
        <v>54</v>
      </c>
      <c r="AX3409" t="str">
        <f t="shared" si="396"/>
        <v>FOR</v>
      </c>
      <c r="AY3409" t="s">
        <v>55</v>
      </c>
    </row>
    <row r="3410" spans="1:51">
      <c r="A3410">
        <v>104660</v>
      </c>
      <c r="B3410" t="s">
        <v>413</v>
      </c>
      <c r="C3410" t="str">
        <f t="shared" si="401"/>
        <v>06141111002</v>
      </c>
      <c r="D3410" t="str">
        <f t="shared" si="401"/>
        <v>06141111002</v>
      </c>
      <c r="E3410" t="s">
        <v>52</v>
      </c>
      <c r="F3410">
        <v>2015</v>
      </c>
      <c r="G3410" t="str">
        <f>"               7/508"</f>
        <v xml:space="preserve">               7/508</v>
      </c>
      <c r="H3410" s="3">
        <v>42185</v>
      </c>
      <c r="I3410" s="3">
        <v>42249</v>
      </c>
      <c r="J3410" s="3">
        <v>42208</v>
      </c>
      <c r="K3410" s="3">
        <v>42268</v>
      </c>
      <c r="L3410" s="5">
        <v>6400</v>
      </c>
      <c r="M3410">
        <v>224</v>
      </c>
      <c r="N3410" s="5">
        <v>1433600</v>
      </c>
      <c r="O3410" s="4">
        <v>6400</v>
      </c>
      <c r="P3410">
        <v>224</v>
      </c>
      <c r="Q3410" s="4">
        <v>1433600</v>
      </c>
      <c r="R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 s="3">
        <v>42562</v>
      </c>
      <c r="AC3410" t="s">
        <v>53</v>
      </c>
      <c r="AD3410" t="s">
        <v>53</v>
      </c>
      <c r="AK3410">
        <v>0</v>
      </c>
      <c r="AU3410" s="3">
        <v>42492</v>
      </c>
      <c r="AV3410" s="3">
        <v>42492</v>
      </c>
      <c r="AW3410" t="s">
        <v>54</v>
      </c>
      <c r="AX3410" t="str">
        <f t="shared" si="396"/>
        <v>FOR</v>
      </c>
      <c r="AY3410" t="s">
        <v>55</v>
      </c>
    </row>
    <row r="3411" spans="1:51">
      <c r="A3411">
        <v>104660</v>
      </c>
      <c r="B3411" t="s">
        <v>413</v>
      </c>
      <c r="C3411" t="str">
        <f t="shared" si="401"/>
        <v>06141111002</v>
      </c>
      <c r="D3411" t="str">
        <f t="shared" si="401"/>
        <v>06141111002</v>
      </c>
      <c r="E3411" t="s">
        <v>52</v>
      </c>
      <c r="F3411">
        <v>2015</v>
      </c>
      <c r="G3411" t="str">
        <f>"               7/609"</f>
        <v xml:space="preserve">               7/609</v>
      </c>
      <c r="H3411" s="3">
        <v>42216</v>
      </c>
      <c r="I3411" s="3">
        <v>42220</v>
      </c>
      <c r="J3411" s="3">
        <v>42219</v>
      </c>
      <c r="K3411" s="3">
        <v>42279</v>
      </c>
      <c r="L3411" s="5">
        <v>12000</v>
      </c>
      <c r="M3411">
        <v>213</v>
      </c>
      <c r="N3411" s="5">
        <v>2556000</v>
      </c>
      <c r="O3411" s="4">
        <v>12000</v>
      </c>
      <c r="P3411">
        <v>213</v>
      </c>
      <c r="Q3411" s="4">
        <v>2556000</v>
      </c>
      <c r="R3411">
        <v>0</v>
      </c>
      <c r="V3411">
        <v>0</v>
      </c>
      <c r="W3411">
        <v>0</v>
      </c>
      <c r="X3411">
        <v>0</v>
      </c>
      <c r="Y3411">
        <v>0</v>
      </c>
      <c r="Z3411">
        <v>0</v>
      </c>
      <c r="AA3411">
        <v>0</v>
      </c>
      <c r="AB3411" s="3">
        <v>42562</v>
      </c>
      <c r="AC3411" t="s">
        <v>53</v>
      </c>
      <c r="AD3411" t="s">
        <v>53</v>
      </c>
      <c r="AK3411">
        <v>0</v>
      </c>
      <c r="AU3411" s="3">
        <v>42492</v>
      </c>
      <c r="AV3411" s="3">
        <v>42492</v>
      </c>
      <c r="AW3411" t="s">
        <v>54</v>
      </c>
      <c r="AX3411" t="str">
        <f t="shared" si="396"/>
        <v>FOR</v>
      </c>
      <c r="AY3411" t="s">
        <v>55</v>
      </c>
    </row>
    <row r="3412" spans="1:51">
      <c r="A3412">
        <v>104660</v>
      </c>
      <c r="B3412" t="s">
        <v>413</v>
      </c>
      <c r="C3412" t="str">
        <f t="shared" si="401"/>
        <v>06141111002</v>
      </c>
      <c r="D3412" t="str">
        <f t="shared" si="401"/>
        <v>06141111002</v>
      </c>
      <c r="E3412" t="s">
        <v>52</v>
      </c>
      <c r="F3412">
        <v>2015</v>
      </c>
      <c r="G3412" t="str">
        <f>"               7/663"</f>
        <v xml:space="preserve">               7/663</v>
      </c>
      <c r="H3412" s="3">
        <v>42216</v>
      </c>
      <c r="I3412" s="3">
        <v>42220</v>
      </c>
      <c r="J3412" s="3">
        <v>42219</v>
      </c>
      <c r="K3412" s="3">
        <v>42279</v>
      </c>
      <c r="L3412" s="5">
        <v>2400</v>
      </c>
      <c r="M3412">
        <v>213</v>
      </c>
      <c r="N3412" s="5">
        <v>511200</v>
      </c>
      <c r="O3412" s="4">
        <v>2400</v>
      </c>
      <c r="P3412">
        <v>213</v>
      </c>
      <c r="Q3412" s="4">
        <v>511200</v>
      </c>
      <c r="R3412">
        <v>0</v>
      </c>
      <c r="V3412">
        <v>0</v>
      </c>
      <c r="W3412">
        <v>0</v>
      </c>
      <c r="X3412">
        <v>0</v>
      </c>
      <c r="Y3412">
        <v>0</v>
      </c>
      <c r="Z3412">
        <v>0</v>
      </c>
      <c r="AA3412">
        <v>0</v>
      </c>
      <c r="AB3412" s="3">
        <v>42562</v>
      </c>
      <c r="AC3412" t="s">
        <v>53</v>
      </c>
      <c r="AD3412" t="s">
        <v>53</v>
      </c>
      <c r="AK3412">
        <v>0</v>
      </c>
      <c r="AU3412" s="3">
        <v>42492</v>
      </c>
      <c r="AV3412" s="3">
        <v>42492</v>
      </c>
      <c r="AW3412" t="s">
        <v>54</v>
      </c>
      <c r="AX3412" t="str">
        <f t="shared" ref="AX3412:AX3418" si="402">"FOR"</f>
        <v>FOR</v>
      </c>
      <c r="AY3412" t="s">
        <v>55</v>
      </c>
    </row>
    <row r="3413" spans="1:51" hidden="1">
      <c r="A3413">
        <v>104689</v>
      </c>
      <c r="B3413" t="s">
        <v>414</v>
      </c>
      <c r="C3413" t="str">
        <f t="shared" ref="C3413:D3416" si="403">"06537350636"</f>
        <v>06537350636</v>
      </c>
      <c r="D3413" t="str">
        <f t="shared" si="403"/>
        <v>06537350636</v>
      </c>
      <c r="E3413" t="s">
        <v>52</v>
      </c>
      <c r="F3413">
        <v>2015</v>
      </c>
      <c r="G3413" t="str">
        <f>"                78PA"</f>
        <v xml:space="preserve">                78PA</v>
      </c>
      <c r="H3413" s="3">
        <v>42131</v>
      </c>
      <c r="I3413" s="3">
        <v>42353</v>
      </c>
      <c r="J3413" s="3">
        <v>42352</v>
      </c>
      <c r="K3413" s="3">
        <v>42412</v>
      </c>
      <c r="L3413"/>
      <c r="N3413"/>
      <c r="O3413" s="4">
        <v>1650</v>
      </c>
      <c r="P3413">
        <v>4</v>
      </c>
      <c r="Q3413" s="4">
        <v>6600</v>
      </c>
      <c r="R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 s="3">
        <v>42562</v>
      </c>
      <c r="AC3413" t="s">
        <v>53</v>
      </c>
      <c r="AD3413" t="s">
        <v>53</v>
      </c>
      <c r="AK3413">
        <v>0</v>
      </c>
      <c r="AU3413" s="3">
        <v>42416</v>
      </c>
      <c r="AV3413" s="3">
        <v>42416</v>
      </c>
      <c r="AW3413" t="s">
        <v>54</v>
      </c>
      <c r="AX3413" t="str">
        <f t="shared" si="402"/>
        <v>FOR</v>
      </c>
      <c r="AY3413" t="s">
        <v>55</v>
      </c>
    </row>
    <row r="3414" spans="1:51" hidden="1">
      <c r="A3414">
        <v>104689</v>
      </c>
      <c r="B3414" t="s">
        <v>414</v>
      </c>
      <c r="C3414" t="str">
        <f t="shared" si="403"/>
        <v>06537350636</v>
      </c>
      <c r="D3414" t="str">
        <f t="shared" si="403"/>
        <v>06537350636</v>
      </c>
      <c r="E3414" t="s">
        <v>52</v>
      </c>
      <c r="F3414">
        <v>2015</v>
      </c>
      <c r="G3414" t="str">
        <f>"               156PA"</f>
        <v xml:space="preserve">               156PA</v>
      </c>
      <c r="H3414" s="3">
        <v>42223</v>
      </c>
      <c r="I3414" s="3">
        <v>42228</v>
      </c>
      <c r="J3414" s="3">
        <v>42223</v>
      </c>
      <c r="K3414" s="3">
        <v>42283</v>
      </c>
      <c r="L3414"/>
      <c r="N3414"/>
      <c r="O3414" s="4">
        <v>1950</v>
      </c>
      <c r="P3414">
        <v>133</v>
      </c>
      <c r="Q3414" s="4">
        <v>259350</v>
      </c>
      <c r="R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>
        <v>0</v>
      </c>
      <c r="AB3414" s="3">
        <v>42562</v>
      </c>
      <c r="AC3414" t="s">
        <v>53</v>
      </c>
      <c r="AD3414" t="s">
        <v>53</v>
      </c>
      <c r="AK3414">
        <v>0</v>
      </c>
      <c r="AU3414" s="3">
        <v>42416</v>
      </c>
      <c r="AV3414" s="3">
        <v>42416</v>
      </c>
      <c r="AW3414" t="s">
        <v>54</v>
      </c>
      <c r="AX3414" t="str">
        <f t="shared" si="402"/>
        <v>FOR</v>
      </c>
      <c r="AY3414" t="s">
        <v>55</v>
      </c>
    </row>
    <row r="3415" spans="1:51" hidden="1">
      <c r="A3415">
        <v>104689</v>
      </c>
      <c r="B3415" t="s">
        <v>414</v>
      </c>
      <c r="C3415" t="str">
        <f t="shared" si="403"/>
        <v>06537350636</v>
      </c>
      <c r="D3415" t="str">
        <f t="shared" si="403"/>
        <v>06537350636</v>
      </c>
      <c r="E3415" t="s">
        <v>52</v>
      </c>
      <c r="F3415">
        <v>2015</v>
      </c>
      <c r="G3415" t="str">
        <f>"               173PA"</f>
        <v xml:space="preserve">               173PA</v>
      </c>
      <c r="H3415" s="3">
        <v>42258</v>
      </c>
      <c r="I3415" s="3">
        <v>42261</v>
      </c>
      <c r="J3415" s="3">
        <v>42258</v>
      </c>
      <c r="K3415" s="3">
        <v>42318</v>
      </c>
      <c r="L3415"/>
      <c r="N3415"/>
      <c r="O3415">
        <v>950</v>
      </c>
      <c r="P3415">
        <v>98</v>
      </c>
      <c r="Q3415" s="4">
        <v>93100</v>
      </c>
      <c r="R3415">
        <v>0</v>
      </c>
      <c r="V3415">
        <v>0</v>
      </c>
      <c r="W3415">
        <v>0</v>
      </c>
      <c r="X3415">
        <v>0</v>
      </c>
      <c r="Y3415">
        <v>0</v>
      </c>
      <c r="Z3415">
        <v>0</v>
      </c>
      <c r="AA3415">
        <v>0</v>
      </c>
      <c r="AB3415" s="3">
        <v>42562</v>
      </c>
      <c r="AC3415" t="s">
        <v>53</v>
      </c>
      <c r="AD3415" t="s">
        <v>53</v>
      </c>
      <c r="AK3415">
        <v>0</v>
      </c>
      <c r="AU3415" s="3">
        <v>42416</v>
      </c>
      <c r="AV3415" s="3">
        <v>42416</v>
      </c>
      <c r="AW3415" t="s">
        <v>54</v>
      </c>
      <c r="AX3415" t="str">
        <f t="shared" si="402"/>
        <v>FOR</v>
      </c>
      <c r="AY3415" t="s">
        <v>55</v>
      </c>
    </row>
    <row r="3416" spans="1:51" hidden="1">
      <c r="A3416">
        <v>104689</v>
      </c>
      <c r="B3416" t="s">
        <v>414</v>
      </c>
      <c r="C3416" t="str">
        <f t="shared" si="403"/>
        <v>06537350636</v>
      </c>
      <c r="D3416" t="str">
        <f t="shared" si="403"/>
        <v>06537350636</v>
      </c>
      <c r="E3416" t="s">
        <v>52</v>
      </c>
      <c r="F3416">
        <v>2015</v>
      </c>
      <c r="G3416" t="str">
        <f>"               174PA"</f>
        <v xml:space="preserve">               174PA</v>
      </c>
      <c r="H3416" s="3">
        <v>42258</v>
      </c>
      <c r="I3416" s="3">
        <v>42261</v>
      </c>
      <c r="J3416" s="3">
        <v>42258</v>
      </c>
      <c r="K3416" s="3">
        <v>42318</v>
      </c>
      <c r="L3416"/>
      <c r="N3416"/>
      <c r="O3416">
        <v>700</v>
      </c>
      <c r="P3416">
        <v>98</v>
      </c>
      <c r="Q3416" s="4">
        <v>68600</v>
      </c>
      <c r="R3416">
        <v>0</v>
      </c>
      <c r="V3416">
        <v>0</v>
      </c>
      <c r="W3416">
        <v>0</v>
      </c>
      <c r="X3416">
        <v>0</v>
      </c>
      <c r="Y3416">
        <v>0</v>
      </c>
      <c r="Z3416">
        <v>0</v>
      </c>
      <c r="AA3416">
        <v>0</v>
      </c>
      <c r="AB3416" s="3">
        <v>42562</v>
      </c>
      <c r="AC3416" t="s">
        <v>53</v>
      </c>
      <c r="AD3416" t="s">
        <v>53</v>
      </c>
      <c r="AK3416">
        <v>0</v>
      </c>
      <c r="AU3416" s="3">
        <v>42416</v>
      </c>
      <c r="AV3416" s="3">
        <v>42416</v>
      </c>
      <c r="AW3416" t="s">
        <v>54</v>
      </c>
      <c r="AX3416" t="str">
        <f t="shared" si="402"/>
        <v>FOR</v>
      </c>
      <c r="AY3416" t="s">
        <v>55</v>
      </c>
    </row>
    <row r="3417" spans="1:51" hidden="1">
      <c r="A3417">
        <v>106197</v>
      </c>
      <c r="B3417" t="s">
        <v>415</v>
      </c>
      <c r="C3417" t="str">
        <f>"01536610627"</f>
        <v>01536610627</v>
      </c>
      <c r="D3417" t="str">
        <f>"01536610627"</f>
        <v>01536610627</v>
      </c>
      <c r="E3417" t="s">
        <v>52</v>
      </c>
      <c r="F3417">
        <v>2015</v>
      </c>
      <c r="G3417" t="str">
        <f>"                 1/E"</f>
        <v xml:space="preserve">                 1/E</v>
      </c>
      <c r="H3417" s="3">
        <v>42359</v>
      </c>
      <c r="I3417" s="3">
        <v>42360</v>
      </c>
      <c r="J3417" s="3">
        <v>42359</v>
      </c>
      <c r="K3417" s="3">
        <v>42419</v>
      </c>
      <c r="L3417"/>
      <c r="N3417"/>
      <c r="O3417">
        <v>260</v>
      </c>
      <c r="P3417">
        <v>-16</v>
      </c>
      <c r="Q3417" s="4">
        <v>-4160</v>
      </c>
      <c r="R3417">
        <v>57.2</v>
      </c>
      <c r="V3417">
        <v>0</v>
      </c>
      <c r="W3417">
        <v>0</v>
      </c>
      <c r="X3417">
        <v>0</v>
      </c>
      <c r="Y3417">
        <v>0</v>
      </c>
      <c r="Z3417">
        <v>0</v>
      </c>
      <c r="AA3417">
        <v>0</v>
      </c>
      <c r="AB3417" s="3">
        <v>42562</v>
      </c>
      <c r="AC3417" t="s">
        <v>53</v>
      </c>
      <c r="AD3417" t="s">
        <v>53</v>
      </c>
      <c r="AI3417">
        <v>57.2</v>
      </c>
      <c r="AK3417">
        <v>0</v>
      </c>
      <c r="AU3417" s="3">
        <v>42403</v>
      </c>
      <c r="AV3417" s="3">
        <v>42403</v>
      </c>
      <c r="AW3417" t="s">
        <v>54</v>
      </c>
      <c r="AX3417" t="str">
        <f t="shared" si="402"/>
        <v>FOR</v>
      </c>
      <c r="AY3417" t="s">
        <v>55</v>
      </c>
    </row>
    <row r="3418" spans="1:51" hidden="1">
      <c r="A3418">
        <v>106197</v>
      </c>
      <c r="B3418" t="s">
        <v>415</v>
      </c>
      <c r="C3418" t="str">
        <f>"01536610627"</f>
        <v>01536610627</v>
      </c>
      <c r="D3418" t="str">
        <f>"01536610627"</f>
        <v>01536610627</v>
      </c>
      <c r="E3418" t="s">
        <v>52</v>
      </c>
      <c r="F3418">
        <v>2015</v>
      </c>
      <c r="G3418" t="str">
        <f>"                 2/E"</f>
        <v xml:space="preserve">                 2/E</v>
      </c>
      <c r="H3418" s="3">
        <v>42359</v>
      </c>
      <c r="I3418" s="3">
        <v>42360</v>
      </c>
      <c r="J3418" s="3">
        <v>42359</v>
      </c>
      <c r="K3418" s="3">
        <v>42419</v>
      </c>
      <c r="L3418"/>
      <c r="N3418"/>
      <c r="O3418">
        <v>220</v>
      </c>
      <c r="P3418">
        <v>-16</v>
      </c>
      <c r="Q3418" s="4">
        <v>-3520</v>
      </c>
      <c r="R3418">
        <v>48.4</v>
      </c>
      <c r="V3418">
        <v>0</v>
      </c>
      <c r="W3418">
        <v>0</v>
      </c>
      <c r="X3418">
        <v>0</v>
      </c>
      <c r="Y3418">
        <v>0</v>
      </c>
      <c r="Z3418">
        <v>0</v>
      </c>
      <c r="AA3418">
        <v>0</v>
      </c>
      <c r="AB3418" s="3">
        <v>42562</v>
      </c>
      <c r="AC3418" t="s">
        <v>53</v>
      </c>
      <c r="AD3418" t="s">
        <v>53</v>
      </c>
      <c r="AI3418">
        <v>48.4</v>
      </c>
      <c r="AK3418">
        <v>0</v>
      </c>
      <c r="AU3418" s="3">
        <v>42403</v>
      </c>
      <c r="AV3418" s="3">
        <v>42403</v>
      </c>
      <c r="AW3418" t="s">
        <v>54</v>
      </c>
      <c r="AX3418" t="str">
        <f t="shared" si="402"/>
        <v>FOR</v>
      </c>
      <c r="AY3418" t="s">
        <v>55</v>
      </c>
    </row>
    <row r="3419" spans="1:51">
      <c r="A3419">
        <v>106201</v>
      </c>
      <c r="B3419" t="s">
        <v>416</v>
      </c>
      <c r="C3419" t="str">
        <f>"04701800650"</f>
        <v>04701800650</v>
      </c>
      <c r="D3419" t="str">
        <f>"04701800650"</f>
        <v>04701800650</v>
      </c>
      <c r="E3419" t="s">
        <v>52</v>
      </c>
      <c r="F3419">
        <v>2016</v>
      </c>
      <c r="G3419" t="str">
        <f>"                  84"</f>
        <v xml:space="preserve">                  84</v>
      </c>
      <c r="H3419" s="3">
        <v>42478</v>
      </c>
      <c r="I3419" s="3">
        <v>42478</v>
      </c>
      <c r="J3419" s="3">
        <v>42478</v>
      </c>
      <c r="K3419" s="3">
        <v>42538</v>
      </c>
      <c r="L3419" s="1">
        <v>258.23</v>
      </c>
      <c r="M3419">
        <v>-51</v>
      </c>
      <c r="N3419" s="5">
        <v>-13169.73</v>
      </c>
      <c r="O3419">
        <v>258.23</v>
      </c>
      <c r="P3419">
        <v>-51</v>
      </c>
      <c r="Q3419" s="4">
        <v>-13169.73</v>
      </c>
      <c r="R3419">
        <v>0</v>
      </c>
      <c r="V3419">
        <v>258.23</v>
      </c>
      <c r="W3419">
        <v>258.23</v>
      </c>
      <c r="X3419">
        <v>258.23</v>
      </c>
      <c r="Y3419">
        <v>258.23</v>
      </c>
      <c r="Z3419">
        <v>258.23</v>
      </c>
      <c r="AA3419">
        <v>258.23</v>
      </c>
      <c r="AB3419" s="3">
        <v>42562</v>
      </c>
      <c r="AC3419" t="s">
        <v>53</v>
      </c>
      <c r="AD3419" t="s">
        <v>53</v>
      </c>
      <c r="AK3419">
        <v>0</v>
      </c>
      <c r="AU3419" s="3">
        <v>42487</v>
      </c>
      <c r="AV3419" s="3">
        <v>42487</v>
      </c>
      <c r="AW3419" t="s">
        <v>54</v>
      </c>
      <c r="AX3419" t="str">
        <f>"AZ1"</f>
        <v>AZ1</v>
      </c>
      <c r="AY3419" t="s">
        <v>74</v>
      </c>
    </row>
    <row r="3420" spans="1:51" hidden="1">
      <c r="A3420">
        <v>106215</v>
      </c>
      <c r="B3420" t="s">
        <v>417</v>
      </c>
      <c r="C3420" t="str">
        <f t="shared" ref="C3420:D3424" si="404">"04852611005"</f>
        <v>04852611005</v>
      </c>
      <c r="D3420" t="str">
        <f t="shared" si="404"/>
        <v>04852611005</v>
      </c>
      <c r="E3420" t="s">
        <v>52</v>
      </c>
      <c r="F3420">
        <v>2016</v>
      </c>
      <c r="G3420" t="str">
        <f>"                0120"</f>
        <v xml:space="preserve">                0120</v>
      </c>
      <c r="H3420" s="3">
        <v>42389</v>
      </c>
      <c r="I3420" s="3">
        <v>42390</v>
      </c>
      <c r="J3420" s="3">
        <v>42390</v>
      </c>
      <c r="K3420" s="3">
        <v>42450</v>
      </c>
      <c r="L3420"/>
      <c r="N3420"/>
      <c r="O3420">
        <v>337</v>
      </c>
      <c r="P3420">
        <v>-60</v>
      </c>
      <c r="Q3420" s="4">
        <v>-20220</v>
      </c>
      <c r="R3420">
        <v>0</v>
      </c>
      <c r="V3420">
        <v>0</v>
      </c>
      <c r="W3420">
        <v>0</v>
      </c>
      <c r="X3420">
        <v>0</v>
      </c>
      <c r="Y3420">
        <v>337</v>
      </c>
      <c r="Z3420">
        <v>337</v>
      </c>
      <c r="AA3420">
        <v>337</v>
      </c>
      <c r="AB3420" s="3">
        <v>42562</v>
      </c>
      <c r="AC3420" t="s">
        <v>53</v>
      </c>
      <c r="AD3420" t="s">
        <v>53</v>
      </c>
      <c r="AK3420">
        <v>0</v>
      </c>
      <c r="AU3420" s="3">
        <v>42390</v>
      </c>
      <c r="AV3420" s="3">
        <v>42390</v>
      </c>
      <c r="AW3420" t="s">
        <v>54</v>
      </c>
      <c r="AX3420" t="str">
        <f>"ALT"</f>
        <v>ALT</v>
      </c>
      <c r="AY3420" t="s">
        <v>72</v>
      </c>
    </row>
    <row r="3421" spans="1:51" hidden="1">
      <c r="A3421">
        <v>106215</v>
      </c>
      <c r="B3421" t="s">
        <v>417</v>
      </c>
      <c r="C3421" t="str">
        <f t="shared" si="404"/>
        <v>04852611005</v>
      </c>
      <c r="D3421" t="str">
        <f t="shared" si="404"/>
        <v>04852611005</v>
      </c>
      <c r="E3421" t="s">
        <v>52</v>
      </c>
      <c r="F3421">
        <v>2016</v>
      </c>
      <c r="G3421" t="str">
        <f>"                0222"</f>
        <v xml:space="preserve">                0222</v>
      </c>
      <c r="H3421" s="3">
        <v>42422</v>
      </c>
      <c r="I3421" s="3">
        <v>42422</v>
      </c>
      <c r="J3421" s="3">
        <v>42422</v>
      </c>
      <c r="K3421" s="3">
        <v>42482</v>
      </c>
      <c r="L3421"/>
      <c r="N3421"/>
      <c r="O3421">
        <v>337</v>
      </c>
      <c r="P3421">
        <v>-58</v>
      </c>
      <c r="Q3421" s="4">
        <v>-19546</v>
      </c>
      <c r="R3421">
        <v>0</v>
      </c>
      <c r="V3421">
        <v>0</v>
      </c>
      <c r="W3421">
        <v>0</v>
      </c>
      <c r="X3421">
        <v>0</v>
      </c>
      <c r="Y3421">
        <v>337</v>
      </c>
      <c r="Z3421">
        <v>337</v>
      </c>
      <c r="AA3421">
        <v>337</v>
      </c>
      <c r="AB3421" s="3">
        <v>42562</v>
      </c>
      <c r="AC3421" t="s">
        <v>53</v>
      </c>
      <c r="AD3421" t="s">
        <v>53</v>
      </c>
      <c r="AK3421">
        <v>0</v>
      </c>
      <c r="AU3421" s="3">
        <v>42424</v>
      </c>
      <c r="AV3421" s="3">
        <v>42424</v>
      </c>
      <c r="AW3421" t="s">
        <v>54</v>
      </c>
      <c r="AX3421" t="str">
        <f>"ALT"</f>
        <v>ALT</v>
      </c>
      <c r="AY3421" t="s">
        <v>72</v>
      </c>
    </row>
    <row r="3422" spans="1:51" hidden="1">
      <c r="A3422">
        <v>106215</v>
      </c>
      <c r="B3422" t="s">
        <v>417</v>
      </c>
      <c r="C3422" t="str">
        <f t="shared" si="404"/>
        <v>04852611005</v>
      </c>
      <c r="D3422" t="str">
        <f t="shared" si="404"/>
        <v>04852611005</v>
      </c>
      <c r="E3422" t="s">
        <v>52</v>
      </c>
      <c r="F3422">
        <v>2016</v>
      </c>
      <c r="G3422" t="str">
        <f>"                0321"</f>
        <v xml:space="preserve">                0321</v>
      </c>
      <c r="H3422" s="3">
        <v>42450</v>
      </c>
      <c r="I3422" s="3">
        <v>42450</v>
      </c>
      <c r="J3422" s="3">
        <v>42450</v>
      </c>
      <c r="K3422" s="3">
        <v>42510</v>
      </c>
      <c r="L3422"/>
      <c r="N3422"/>
      <c r="O3422">
        <v>337</v>
      </c>
      <c r="P3422">
        <v>-57</v>
      </c>
      <c r="Q3422" s="4">
        <v>-19209</v>
      </c>
      <c r="R3422">
        <v>0</v>
      </c>
      <c r="V3422">
        <v>0</v>
      </c>
      <c r="W3422">
        <v>0</v>
      </c>
      <c r="X3422">
        <v>0</v>
      </c>
      <c r="Y3422">
        <v>337</v>
      </c>
      <c r="Z3422">
        <v>337</v>
      </c>
      <c r="AA3422">
        <v>337</v>
      </c>
      <c r="AB3422" s="3">
        <v>42562</v>
      </c>
      <c r="AC3422" t="s">
        <v>53</v>
      </c>
      <c r="AD3422" t="s">
        <v>53</v>
      </c>
      <c r="AK3422">
        <v>0</v>
      </c>
      <c r="AU3422" s="3">
        <v>42453</v>
      </c>
      <c r="AV3422" s="3">
        <v>42453</v>
      </c>
      <c r="AW3422" t="s">
        <v>54</v>
      </c>
      <c r="AX3422" t="str">
        <f>"ALT"</f>
        <v>ALT</v>
      </c>
      <c r="AY3422" t="s">
        <v>72</v>
      </c>
    </row>
    <row r="3423" spans="1:51">
      <c r="A3423">
        <v>106215</v>
      </c>
      <c r="B3423" t="s">
        <v>417</v>
      </c>
      <c r="C3423" t="str">
        <f t="shared" si="404"/>
        <v>04852611005</v>
      </c>
      <c r="D3423" t="str">
        <f t="shared" si="404"/>
        <v>04852611005</v>
      </c>
      <c r="E3423" t="s">
        <v>52</v>
      </c>
      <c r="F3423">
        <v>2016</v>
      </c>
      <c r="G3423" t="str">
        <f>"                0421"</f>
        <v xml:space="preserve">                0421</v>
      </c>
      <c r="H3423" s="3">
        <v>42481</v>
      </c>
      <c r="I3423" s="3">
        <v>42481</v>
      </c>
      <c r="J3423" s="3">
        <v>42481</v>
      </c>
      <c r="K3423" s="3">
        <v>42541</v>
      </c>
      <c r="L3423" s="1">
        <v>337</v>
      </c>
      <c r="M3423">
        <v>-60</v>
      </c>
      <c r="N3423" s="5">
        <v>-20220</v>
      </c>
      <c r="O3423">
        <v>337</v>
      </c>
      <c r="P3423">
        <v>-60</v>
      </c>
      <c r="Q3423" s="4">
        <v>-20220</v>
      </c>
      <c r="R3423">
        <v>0</v>
      </c>
      <c r="V3423">
        <v>337</v>
      </c>
      <c r="W3423">
        <v>337</v>
      </c>
      <c r="X3423">
        <v>337</v>
      </c>
      <c r="Y3423">
        <v>337</v>
      </c>
      <c r="Z3423">
        <v>337</v>
      </c>
      <c r="AA3423">
        <v>337</v>
      </c>
      <c r="AB3423" s="3">
        <v>42562</v>
      </c>
      <c r="AC3423" t="s">
        <v>53</v>
      </c>
      <c r="AD3423" t="s">
        <v>53</v>
      </c>
      <c r="AK3423">
        <v>0</v>
      </c>
      <c r="AU3423" s="3">
        <v>42481</v>
      </c>
      <c r="AV3423" s="3">
        <v>42481</v>
      </c>
      <c r="AW3423" t="s">
        <v>54</v>
      </c>
      <c r="AX3423" t="str">
        <f>"ALT"</f>
        <v>ALT</v>
      </c>
      <c r="AY3423" t="s">
        <v>72</v>
      </c>
    </row>
    <row r="3424" spans="1:51">
      <c r="A3424">
        <v>106215</v>
      </c>
      <c r="B3424" t="s">
        <v>417</v>
      </c>
      <c r="C3424" t="str">
        <f t="shared" si="404"/>
        <v>04852611005</v>
      </c>
      <c r="D3424" t="str">
        <f t="shared" si="404"/>
        <v>04852611005</v>
      </c>
      <c r="E3424" t="s">
        <v>52</v>
      </c>
      <c r="F3424">
        <v>2016</v>
      </c>
      <c r="G3424" t="str">
        <f>"                0518"</f>
        <v xml:space="preserve">                0518</v>
      </c>
      <c r="H3424" s="3">
        <v>42508</v>
      </c>
      <c r="I3424" s="3">
        <v>42510</v>
      </c>
      <c r="J3424" s="3">
        <v>42510</v>
      </c>
      <c r="K3424" s="3">
        <v>42570</v>
      </c>
      <c r="L3424" s="1">
        <v>337</v>
      </c>
      <c r="M3424">
        <v>-57</v>
      </c>
      <c r="N3424" s="5">
        <v>-19209</v>
      </c>
      <c r="O3424">
        <v>337</v>
      </c>
      <c r="P3424">
        <v>-57</v>
      </c>
      <c r="Q3424" s="4">
        <v>-19209</v>
      </c>
      <c r="R3424">
        <v>0</v>
      </c>
      <c r="V3424">
        <v>337</v>
      </c>
      <c r="W3424">
        <v>337</v>
      </c>
      <c r="X3424">
        <v>337</v>
      </c>
      <c r="Y3424">
        <v>337</v>
      </c>
      <c r="Z3424">
        <v>337</v>
      </c>
      <c r="AA3424">
        <v>337</v>
      </c>
      <c r="AB3424" s="3">
        <v>42562</v>
      </c>
      <c r="AC3424" t="s">
        <v>53</v>
      </c>
      <c r="AD3424" t="s">
        <v>53</v>
      </c>
      <c r="AK3424">
        <v>0</v>
      </c>
      <c r="AU3424" s="3">
        <v>42513</v>
      </c>
      <c r="AV3424" s="3">
        <v>42513</v>
      </c>
      <c r="AW3424" t="s">
        <v>54</v>
      </c>
      <c r="AX3424" t="str">
        <f>"ALT"</f>
        <v>ALT</v>
      </c>
      <c r="AY3424" t="s">
        <v>72</v>
      </c>
    </row>
    <row r="3425" spans="1:51">
      <c r="A3425">
        <v>106229</v>
      </c>
      <c r="B3425" t="s">
        <v>418</v>
      </c>
      <c r="C3425" t="str">
        <f t="shared" ref="C3425:D3433" si="405">"02344710484"</f>
        <v>02344710484</v>
      </c>
      <c r="D3425" t="str">
        <f t="shared" si="405"/>
        <v>02344710484</v>
      </c>
      <c r="E3425" t="s">
        <v>52</v>
      </c>
      <c r="F3425">
        <v>2014</v>
      </c>
      <c r="G3425" t="str">
        <f>"              660040"</f>
        <v xml:space="preserve">              660040</v>
      </c>
      <c r="H3425" s="3">
        <v>41843</v>
      </c>
      <c r="I3425" s="3">
        <v>41852</v>
      </c>
      <c r="J3425" s="3">
        <v>41852</v>
      </c>
      <c r="K3425" s="3">
        <v>41942</v>
      </c>
      <c r="L3425" s="5">
        <v>2028.4</v>
      </c>
      <c r="M3425">
        <v>588</v>
      </c>
      <c r="N3425" s="5">
        <v>1192699.2</v>
      </c>
      <c r="O3425" s="4">
        <v>2028.4</v>
      </c>
      <c r="P3425">
        <v>588</v>
      </c>
      <c r="Q3425" s="4">
        <v>1192699.2</v>
      </c>
      <c r="R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 s="3">
        <v>42562</v>
      </c>
      <c r="AC3425" t="s">
        <v>53</v>
      </c>
      <c r="AD3425" t="s">
        <v>53</v>
      </c>
      <c r="AK3425">
        <v>0</v>
      </c>
      <c r="AU3425" s="3">
        <v>42530</v>
      </c>
      <c r="AV3425" s="3">
        <v>42530</v>
      </c>
      <c r="AW3425" t="s">
        <v>54</v>
      </c>
      <c r="AX3425" t="str">
        <f t="shared" ref="AX3425:AX3433" si="406">"FOR"</f>
        <v>FOR</v>
      </c>
      <c r="AY3425" t="s">
        <v>55</v>
      </c>
    </row>
    <row r="3426" spans="1:51">
      <c r="A3426">
        <v>106229</v>
      </c>
      <c r="B3426" t="s">
        <v>418</v>
      </c>
      <c r="C3426" t="str">
        <f t="shared" si="405"/>
        <v>02344710484</v>
      </c>
      <c r="D3426" t="str">
        <f t="shared" si="405"/>
        <v>02344710484</v>
      </c>
      <c r="E3426" t="s">
        <v>52</v>
      </c>
      <c r="F3426">
        <v>2014</v>
      </c>
      <c r="G3426" t="str">
        <f>"              662905"</f>
        <v xml:space="preserve">              662905</v>
      </c>
      <c r="H3426" s="3">
        <v>41870</v>
      </c>
      <c r="I3426" s="3">
        <v>41878</v>
      </c>
      <c r="J3426" s="3">
        <v>41878</v>
      </c>
      <c r="K3426" s="3">
        <v>41968</v>
      </c>
      <c r="L3426" s="5">
        <v>1014.2</v>
      </c>
      <c r="M3426">
        <v>562</v>
      </c>
      <c r="N3426" s="5">
        <v>569980.4</v>
      </c>
      <c r="O3426" s="4">
        <v>1014.2</v>
      </c>
      <c r="P3426">
        <v>562</v>
      </c>
      <c r="Q3426" s="4">
        <v>569980.4</v>
      </c>
      <c r="R3426">
        <v>0</v>
      </c>
      <c r="V3426">
        <v>0</v>
      </c>
      <c r="W3426">
        <v>0</v>
      </c>
      <c r="X3426">
        <v>0</v>
      </c>
      <c r="Y3426">
        <v>0</v>
      </c>
      <c r="Z3426">
        <v>0</v>
      </c>
      <c r="AA3426">
        <v>0</v>
      </c>
      <c r="AB3426" s="3">
        <v>42562</v>
      </c>
      <c r="AC3426" t="s">
        <v>53</v>
      </c>
      <c r="AD3426" t="s">
        <v>53</v>
      </c>
      <c r="AK3426">
        <v>0</v>
      </c>
      <c r="AU3426" s="3">
        <v>42530</v>
      </c>
      <c r="AV3426" s="3">
        <v>42530</v>
      </c>
      <c r="AW3426" t="s">
        <v>54</v>
      </c>
      <c r="AX3426" t="str">
        <f t="shared" si="406"/>
        <v>FOR</v>
      </c>
      <c r="AY3426" t="s">
        <v>55</v>
      </c>
    </row>
    <row r="3427" spans="1:51">
      <c r="A3427">
        <v>106229</v>
      </c>
      <c r="B3427" t="s">
        <v>418</v>
      </c>
      <c r="C3427" t="str">
        <f t="shared" si="405"/>
        <v>02344710484</v>
      </c>
      <c r="D3427" t="str">
        <f t="shared" si="405"/>
        <v>02344710484</v>
      </c>
      <c r="E3427" t="s">
        <v>52</v>
      </c>
      <c r="F3427">
        <v>2014</v>
      </c>
      <c r="G3427" t="str">
        <f>"              665467"</f>
        <v xml:space="preserve">              665467</v>
      </c>
      <c r="H3427" s="3">
        <v>41887</v>
      </c>
      <c r="I3427" s="3">
        <v>41892</v>
      </c>
      <c r="J3427" s="3">
        <v>41892</v>
      </c>
      <c r="K3427" s="3">
        <v>41982</v>
      </c>
      <c r="L3427" s="5">
        <v>1014.2</v>
      </c>
      <c r="M3427">
        <v>548</v>
      </c>
      <c r="N3427" s="5">
        <v>555781.6</v>
      </c>
      <c r="O3427" s="4">
        <v>1014.2</v>
      </c>
      <c r="P3427">
        <v>548</v>
      </c>
      <c r="Q3427" s="4">
        <v>555781.6</v>
      </c>
      <c r="R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 s="3">
        <v>42562</v>
      </c>
      <c r="AC3427" t="s">
        <v>53</v>
      </c>
      <c r="AD3427" t="s">
        <v>53</v>
      </c>
      <c r="AK3427">
        <v>0</v>
      </c>
      <c r="AU3427" s="3">
        <v>42530</v>
      </c>
      <c r="AV3427" s="3">
        <v>42530</v>
      </c>
      <c r="AW3427" t="s">
        <v>54</v>
      </c>
      <c r="AX3427" t="str">
        <f t="shared" si="406"/>
        <v>FOR</v>
      </c>
      <c r="AY3427" t="s">
        <v>55</v>
      </c>
    </row>
    <row r="3428" spans="1:51">
      <c r="A3428">
        <v>106229</v>
      </c>
      <c r="B3428" t="s">
        <v>418</v>
      </c>
      <c r="C3428" t="str">
        <f t="shared" si="405"/>
        <v>02344710484</v>
      </c>
      <c r="D3428" t="str">
        <f t="shared" si="405"/>
        <v>02344710484</v>
      </c>
      <c r="E3428" t="s">
        <v>52</v>
      </c>
      <c r="F3428">
        <v>2014</v>
      </c>
      <c r="G3428" t="str">
        <f>"              666055"</f>
        <v xml:space="preserve">              666055</v>
      </c>
      <c r="H3428" s="3">
        <v>41891</v>
      </c>
      <c r="I3428" s="3">
        <v>41901</v>
      </c>
      <c r="J3428" s="3">
        <v>41901</v>
      </c>
      <c r="K3428" s="3">
        <v>41991</v>
      </c>
      <c r="L3428" s="1">
        <v>253.55</v>
      </c>
      <c r="M3428">
        <v>539</v>
      </c>
      <c r="N3428" s="5">
        <v>136663.45000000001</v>
      </c>
      <c r="O3428">
        <v>253.55</v>
      </c>
      <c r="P3428">
        <v>539</v>
      </c>
      <c r="Q3428" s="4">
        <v>136663.45000000001</v>
      </c>
      <c r="R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 s="3">
        <v>42562</v>
      </c>
      <c r="AC3428" t="s">
        <v>53</v>
      </c>
      <c r="AD3428" t="s">
        <v>53</v>
      </c>
      <c r="AK3428">
        <v>0</v>
      </c>
      <c r="AU3428" s="3">
        <v>42530</v>
      </c>
      <c r="AV3428" s="3">
        <v>42530</v>
      </c>
      <c r="AW3428" t="s">
        <v>54</v>
      </c>
      <c r="AX3428" t="str">
        <f t="shared" si="406"/>
        <v>FOR</v>
      </c>
      <c r="AY3428" t="s">
        <v>55</v>
      </c>
    </row>
    <row r="3429" spans="1:51">
      <c r="A3429">
        <v>106229</v>
      </c>
      <c r="B3429" t="s">
        <v>418</v>
      </c>
      <c r="C3429" t="str">
        <f t="shared" si="405"/>
        <v>02344710484</v>
      </c>
      <c r="D3429" t="str">
        <f t="shared" si="405"/>
        <v>02344710484</v>
      </c>
      <c r="E3429" t="s">
        <v>52</v>
      </c>
      <c r="F3429">
        <v>2014</v>
      </c>
      <c r="G3429" t="str">
        <f>"              667052"</f>
        <v xml:space="preserve">              667052</v>
      </c>
      <c r="H3429" s="3">
        <v>41893</v>
      </c>
      <c r="I3429" s="3">
        <v>41899</v>
      </c>
      <c r="J3429" s="3">
        <v>41899</v>
      </c>
      <c r="K3429" s="3">
        <v>41989</v>
      </c>
      <c r="L3429" s="1">
        <v>253.55</v>
      </c>
      <c r="M3429">
        <v>541</v>
      </c>
      <c r="N3429" s="5">
        <v>137170.54999999999</v>
      </c>
      <c r="O3429">
        <v>253.55</v>
      </c>
      <c r="P3429">
        <v>541</v>
      </c>
      <c r="Q3429" s="4">
        <v>137170.54999999999</v>
      </c>
      <c r="R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 s="3">
        <v>42562</v>
      </c>
      <c r="AC3429" t="s">
        <v>53</v>
      </c>
      <c r="AD3429" t="s">
        <v>53</v>
      </c>
      <c r="AK3429">
        <v>0</v>
      </c>
      <c r="AU3429" s="3">
        <v>42530</v>
      </c>
      <c r="AV3429" s="3">
        <v>42530</v>
      </c>
      <c r="AW3429" t="s">
        <v>54</v>
      </c>
      <c r="AX3429" t="str">
        <f t="shared" si="406"/>
        <v>FOR</v>
      </c>
      <c r="AY3429" t="s">
        <v>55</v>
      </c>
    </row>
    <row r="3430" spans="1:51">
      <c r="A3430">
        <v>106229</v>
      </c>
      <c r="B3430" t="s">
        <v>418</v>
      </c>
      <c r="C3430" t="str">
        <f t="shared" si="405"/>
        <v>02344710484</v>
      </c>
      <c r="D3430" t="str">
        <f t="shared" si="405"/>
        <v>02344710484</v>
      </c>
      <c r="E3430" t="s">
        <v>52</v>
      </c>
      <c r="F3430">
        <v>2014</v>
      </c>
      <c r="G3430" t="str">
        <f>"              667595"</f>
        <v xml:space="preserve">              667595</v>
      </c>
      <c r="H3430" s="3">
        <v>41894</v>
      </c>
      <c r="I3430" s="3">
        <v>41904</v>
      </c>
      <c r="J3430" s="3">
        <v>41904</v>
      </c>
      <c r="K3430" s="3">
        <v>41994</v>
      </c>
      <c r="L3430" s="1">
        <v>253.55</v>
      </c>
      <c r="M3430">
        <v>536</v>
      </c>
      <c r="N3430" s="5">
        <v>135902.79999999999</v>
      </c>
      <c r="O3430">
        <v>253.55</v>
      </c>
      <c r="P3430">
        <v>536</v>
      </c>
      <c r="Q3430" s="4">
        <v>135902.79999999999</v>
      </c>
      <c r="R3430">
        <v>0</v>
      </c>
      <c r="V3430">
        <v>0</v>
      </c>
      <c r="W3430">
        <v>0</v>
      </c>
      <c r="X3430">
        <v>0</v>
      </c>
      <c r="Y3430">
        <v>0</v>
      </c>
      <c r="Z3430">
        <v>0</v>
      </c>
      <c r="AA3430">
        <v>0</v>
      </c>
      <c r="AB3430" s="3">
        <v>42562</v>
      </c>
      <c r="AC3430" t="s">
        <v>53</v>
      </c>
      <c r="AD3430" t="s">
        <v>53</v>
      </c>
      <c r="AK3430">
        <v>0</v>
      </c>
      <c r="AU3430" s="3">
        <v>42530</v>
      </c>
      <c r="AV3430" s="3">
        <v>42530</v>
      </c>
      <c r="AW3430" t="s">
        <v>54</v>
      </c>
      <c r="AX3430" t="str">
        <f t="shared" si="406"/>
        <v>FOR</v>
      </c>
      <c r="AY3430" t="s">
        <v>55</v>
      </c>
    </row>
    <row r="3431" spans="1:51">
      <c r="A3431">
        <v>106229</v>
      </c>
      <c r="B3431" t="s">
        <v>418</v>
      </c>
      <c r="C3431" t="str">
        <f t="shared" si="405"/>
        <v>02344710484</v>
      </c>
      <c r="D3431" t="str">
        <f t="shared" si="405"/>
        <v>02344710484</v>
      </c>
      <c r="E3431" t="s">
        <v>52</v>
      </c>
      <c r="F3431">
        <v>2014</v>
      </c>
      <c r="G3431" t="str">
        <f>"              672164"</f>
        <v xml:space="preserve">              672164</v>
      </c>
      <c r="H3431" s="3">
        <v>41906</v>
      </c>
      <c r="I3431" s="3">
        <v>41915</v>
      </c>
      <c r="J3431" s="3">
        <v>41915</v>
      </c>
      <c r="K3431" s="3">
        <v>42005</v>
      </c>
      <c r="L3431" s="5">
        <v>1014.2</v>
      </c>
      <c r="M3431">
        <v>525</v>
      </c>
      <c r="N3431" s="5">
        <v>532455</v>
      </c>
      <c r="O3431" s="4">
        <v>1014.2</v>
      </c>
      <c r="P3431">
        <v>525</v>
      </c>
      <c r="Q3431" s="4">
        <v>532455</v>
      </c>
      <c r="R3431">
        <v>0</v>
      </c>
      <c r="V3431">
        <v>0</v>
      </c>
      <c r="W3431">
        <v>0</v>
      </c>
      <c r="X3431">
        <v>0</v>
      </c>
      <c r="Y3431">
        <v>0</v>
      </c>
      <c r="Z3431">
        <v>0</v>
      </c>
      <c r="AA3431">
        <v>0</v>
      </c>
      <c r="AB3431" s="3">
        <v>42562</v>
      </c>
      <c r="AC3431" t="s">
        <v>53</v>
      </c>
      <c r="AD3431" t="s">
        <v>53</v>
      </c>
      <c r="AK3431">
        <v>0</v>
      </c>
      <c r="AU3431" s="3">
        <v>42530</v>
      </c>
      <c r="AV3431" s="3">
        <v>42530</v>
      </c>
      <c r="AW3431" t="s">
        <v>54</v>
      </c>
      <c r="AX3431" t="str">
        <f t="shared" si="406"/>
        <v>FOR</v>
      </c>
      <c r="AY3431" t="s">
        <v>55</v>
      </c>
    </row>
    <row r="3432" spans="1:51">
      <c r="A3432">
        <v>106229</v>
      </c>
      <c r="B3432" t="s">
        <v>418</v>
      </c>
      <c r="C3432" t="str">
        <f t="shared" si="405"/>
        <v>02344710484</v>
      </c>
      <c r="D3432" t="str">
        <f t="shared" si="405"/>
        <v>02344710484</v>
      </c>
      <c r="E3432" t="s">
        <v>52</v>
      </c>
      <c r="F3432">
        <v>2014</v>
      </c>
      <c r="G3432" t="str">
        <f>"              672769"</f>
        <v xml:space="preserve">              672769</v>
      </c>
      <c r="H3432" s="3">
        <v>41907</v>
      </c>
      <c r="I3432" s="3">
        <v>41920</v>
      </c>
      <c r="J3432" s="3">
        <v>41920</v>
      </c>
      <c r="K3432" s="3">
        <v>42010</v>
      </c>
      <c r="L3432" s="1">
        <v>253.55</v>
      </c>
      <c r="M3432">
        <v>520</v>
      </c>
      <c r="N3432" s="5">
        <v>131846</v>
      </c>
      <c r="O3432">
        <v>253.55</v>
      </c>
      <c r="P3432">
        <v>520</v>
      </c>
      <c r="Q3432" s="4">
        <v>131846</v>
      </c>
      <c r="R3432">
        <v>0</v>
      </c>
      <c r="V3432">
        <v>0</v>
      </c>
      <c r="W3432">
        <v>0</v>
      </c>
      <c r="X3432">
        <v>0</v>
      </c>
      <c r="Y3432">
        <v>0</v>
      </c>
      <c r="Z3432">
        <v>0</v>
      </c>
      <c r="AA3432">
        <v>0</v>
      </c>
      <c r="AB3432" s="3">
        <v>42562</v>
      </c>
      <c r="AC3432" t="s">
        <v>53</v>
      </c>
      <c r="AD3432" t="s">
        <v>53</v>
      </c>
      <c r="AK3432">
        <v>0</v>
      </c>
      <c r="AU3432" s="3">
        <v>42530</v>
      </c>
      <c r="AV3432" s="3">
        <v>42530</v>
      </c>
      <c r="AW3432" t="s">
        <v>54</v>
      </c>
      <c r="AX3432" t="str">
        <f t="shared" si="406"/>
        <v>FOR</v>
      </c>
      <c r="AY3432" t="s">
        <v>55</v>
      </c>
    </row>
    <row r="3433" spans="1:51" hidden="1">
      <c r="A3433">
        <v>106229</v>
      </c>
      <c r="B3433" t="s">
        <v>418</v>
      </c>
      <c r="C3433" t="str">
        <f t="shared" si="405"/>
        <v>02344710484</v>
      </c>
      <c r="D3433" t="str">
        <f t="shared" si="405"/>
        <v>02344710484</v>
      </c>
      <c r="E3433" t="s">
        <v>52</v>
      </c>
      <c r="F3433">
        <v>2015</v>
      </c>
      <c r="G3433" t="str">
        <f>"              610692"</f>
        <v xml:space="preserve">              610692</v>
      </c>
      <c r="H3433" s="3">
        <v>42038</v>
      </c>
      <c r="I3433" s="3">
        <v>42047</v>
      </c>
      <c r="J3433" s="3">
        <v>42047</v>
      </c>
      <c r="K3433" s="3">
        <v>42107</v>
      </c>
      <c r="L3433"/>
      <c r="N3433"/>
      <c r="O3433" s="4">
        <v>2305</v>
      </c>
      <c r="P3433">
        <v>301</v>
      </c>
      <c r="Q3433" s="4">
        <v>693805</v>
      </c>
      <c r="R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 s="3">
        <v>42562</v>
      </c>
      <c r="AC3433" t="s">
        <v>53</v>
      </c>
      <c r="AD3433" t="s">
        <v>53</v>
      </c>
      <c r="AK3433">
        <v>0</v>
      </c>
      <c r="AU3433" s="3">
        <v>42408</v>
      </c>
      <c r="AV3433" s="3">
        <v>42408</v>
      </c>
      <c r="AW3433" t="s">
        <v>54</v>
      </c>
      <c r="AX3433" t="str">
        <f t="shared" si="406"/>
        <v>FOR</v>
      </c>
      <c r="AY3433" t="s">
        <v>55</v>
      </c>
    </row>
    <row r="3434" spans="1:51" hidden="1">
      <c r="A3434">
        <v>106232</v>
      </c>
      <c r="B3434" t="s">
        <v>419</v>
      </c>
      <c r="C3434" t="str">
        <f>"01048900623"</f>
        <v>01048900623</v>
      </c>
      <c r="D3434" t="str">
        <f>"DPLVCN63M28L086B"</f>
        <v>DPLVCN63M28L086B</v>
      </c>
      <c r="E3434" t="s">
        <v>52</v>
      </c>
      <c r="F3434">
        <v>2016</v>
      </c>
      <c r="G3434" t="str">
        <f>"           FE01/2016"</f>
        <v xml:space="preserve">           FE01/2016</v>
      </c>
      <c r="H3434" s="3">
        <v>42418</v>
      </c>
      <c r="I3434" s="3">
        <v>42419</v>
      </c>
      <c r="J3434" s="3">
        <v>42418</v>
      </c>
      <c r="K3434" s="3">
        <v>42478</v>
      </c>
      <c r="L3434"/>
      <c r="N3434"/>
      <c r="O3434" s="4">
        <v>1282.56</v>
      </c>
      <c r="P3434">
        <v>-45</v>
      </c>
      <c r="Q3434" s="4">
        <v>-57715.199999999997</v>
      </c>
      <c r="R3434">
        <v>0</v>
      </c>
      <c r="V3434">
        <v>0</v>
      </c>
      <c r="W3434">
        <v>0</v>
      </c>
      <c r="X3434">
        <v>0</v>
      </c>
      <c r="Y3434" s="4">
        <v>1282.56</v>
      </c>
      <c r="Z3434" s="4">
        <v>1282.56</v>
      </c>
      <c r="AA3434" s="4">
        <v>1282.56</v>
      </c>
      <c r="AB3434" s="3">
        <v>42562</v>
      </c>
      <c r="AC3434" t="s">
        <v>53</v>
      </c>
      <c r="AD3434" t="s">
        <v>53</v>
      </c>
      <c r="AK3434">
        <v>0</v>
      </c>
      <c r="AU3434" s="3">
        <v>42433</v>
      </c>
      <c r="AV3434" s="3">
        <v>42433</v>
      </c>
      <c r="AW3434" t="s">
        <v>54</v>
      </c>
      <c r="AX3434" t="str">
        <f>"ALTPRO"</f>
        <v>ALTPRO</v>
      </c>
      <c r="AY3434" t="s">
        <v>93</v>
      </c>
    </row>
    <row r="3435" spans="1:51" hidden="1">
      <c r="A3435">
        <v>106232</v>
      </c>
      <c r="B3435" t="s">
        <v>419</v>
      </c>
      <c r="C3435" t="str">
        <f>"01048900623"</f>
        <v>01048900623</v>
      </c>
      <c r="D3435" t="str">
        <f>"DPLVCN63M28L086B"</f>
        <v>DPLVCN63M28L086B</v>
      </c>
      <c r="E3435" t="s">
        <v>52</v>
      </c>
      <c r="F3435">
        <v>2016</v>
      </c>
      <c r="G3435" t="str">
        <f>"           FE02/2016"</f>
        <v xml:space="preserve">           FE02/2016</v>
      </c>
      <c r="H3435" s="3">
        <v>42418</v>
      </c>
      <c r="I3435" s="3">
        <v>42419</v>
      </c>
      <c r="J3435" s="3">
        <v>42418</v>
      </c>
      <c r="K3435" s="3">
        <v>42478</v>
      </c>
      <c r="L3435"/>
      <c r="N3435"/>
      <c r="O3435" s="4">
        <v>2102.06</v>
      </c>
      <c r="P3435">
        <v>-45</v>
      </c>
      <c r="Q3435" s="4">
        <v>-94592.7</v>
      </c>
      <c r="R3435">
        <v>0</v>
      </c>
      <c r="V3435">
        <v>0</v>
      </c>
      <c r="W3435">
        <v>0</v>
      </c>
      <c r="X3435">
        <v>0</v>
      </c>
      <c r="Y3435" s="4">
        <v>2102.06</v>
      </c>
      <c r="Z3435" s="4">
        <v>2102.06</v>
      </c>
      <c r="AA3435" s="4">
        <v>2102.06</v>
      </c>
      <c r="AB3435" s="3">
        <v>42562</v>
      </c>
      <c r="AC3435" t="s">
        <v>53</v>
      </c>
      <c r="AD3435" t="s">
        <v>53</v>
      </c>
      <c r="AK3435">
        <v>0</v>
      </c>
      <c r="AU3435" s="3">
        <v>42433</v>
      </c>
      <c r="AV3435" s="3">
        <v>42433</v>
      </c>
      <c r="AW3435" t="s">
        <v>54</v>
      </c>
      <c r="AX3435" t="str">
        <f>"ALTPRO"</f>
        <v>ALTPRO</v>
      </c>
      <c r="AY3435" t="s">
        <v>93</v>
      </c>
    </row>
    <row r="3436" spans="1:51">
      <c r="A3436">
        <v>106232</v>
      </c>
      <c r="B3436" t="s">
        <v>419</v>
      </c>
      <c r="C3436" t="str">
        <f>"01048900623"</f>
        <v>01048900623</v>
      </c>
      <c r="D3436" t="str">
        <f>"DPLVCN63M28L086B"</f>
        <v>DPLVCN63M28L086B</v>
      </c>
      <c r="E3436" t="s">
        <v>52</v>
      </c>
      <c r="F3436">
        <v>2016</v>
      </c>
      <c r="G3436" t="str">
        <f>"           FE03/2016"</f>
        <v xml:space="preserve">           FE03/2016</v>
      </c>
      <c r="H3436" s="3">
        <v>42473</v>
      </c>
      <c r="I3436" s="3">
        <v>42478</v>
      </c>
      <c r="J3436" s="3">
        <v>42474</v>
      </c>
      <c r="K3436" s="3">
        <v>42534</v>
      </c>
      <c r="L3436" s="5">
        <v>1026.05</v>
      </c>
      <c r="M3436">
        <v>-14</v>
      </c>
      <c r="N3436" s="5">
        <v>-14364.7</v>
      </c>
      <c r="O3436" s="4">
        <v>1026.05</v>
      </c>
      <c r="P3436">
        <v>-14</v>
      </c>
      <c r="Q3436" s="4">
        <v>-14364.7</v>
      </c>
      <c r="R3436">
        <v>0</v>
      </c>
      <c r="V3436" s="4">
        <v>1026.05</v>
      </c>
      <c r="W3436" s="4">
        <v>1026.05</v>
      </c>
      <c r="X3436" s="4">
        <v>1026.05</v>
      </c>
      <c r="Y3436" s="4">
        <v>1026.05</v>
      </c>
      <c r="Z3436" s="4">
        <v>1026.05</v>
      </c>
      <c r="AA3436" s="4">
        <v>1026.05</v>
      </c>
      <c r="AB3436" s="3">
        <v>42562</v>
      </c>
      <c r="AC3436" t="s">
        <v>53</v>
      </c>
      <c r="AD3436" t="s">
        <v>53</v>
      </c>
      <c r="AK3436">
        <v>0</v>
      </c>
      <c r="AU3436" s="3">
        <v>42520</v>
      </c>
      <c r="AV3436" s="3">
        <v>42520</v>
      </c>
      <c r="AW3436" t="s">
        <v>54</v>
      </c>
      <c r="AX3436" t="str">
        <f>"ALTPRO"</f>
        <v>ALTPRO</v>
      </c>
      <c r="AY3436" t="s">
        <v>93</v>
      </c>
    </row>
    <row r="3437" spans="1:51">
      <c r="A3437">
        <v>106232</v>
      </c>
      <c r="B3437" t="s">
        <v>419</v>
      </c>
      <c r="C3437" t="str">
        <f>"01048900623"</f>
        <v>01048900623</v>
      </c>
      <c r="D3437" t="str">
        <f>"DPLVCN63M28L086B"</f>
        <v>DPLVCN63M28L086B</v>
      </c>
      <c r="E3437" t="s">
        <v>52</v>
      </c>
      <c r="F3437">
        <v>2016</v>
      </c>
      <c r="G3437" t="str">
        <f>"           FE04/2016"</f>
        <v xml:space="preserve">           FE04/2016</v>
      </c>
      <c r="H3437" s="3">
        <v>42473</v>
      </c>
      <c r="I3437" s="3">
        <v>42478</v>
      </c>
      <c r="J3437" s="3">
        <v>42474</v>
      </c>
      <c r="K3437" s="3">
        <v>42534</v>
      </c>
      <c r="L3437" s="5">
        <v>2277.17</v>
      </c>
      <c r="M3437">
        <v>-14</v>
      </c>
      <c r="N3437" s="5">
        <v>-31880.38</v>
      </c>
      <c r="O3437" s="4">
        <v>2277.17</v>
      </c>
      <c r="P3437">
        <v>-14</v>
      </c>
      <c r="Q3437" s="4">
        <v>-31880.38</v>
      </c>
      <c r="R3437">
        <v>0</v>
      </c>
      <c r="V3437" s="4">
        <v>2277.17</v>
      </c>
      <c r="W3437" s="4">
        <v>2277.17</v>
      </c>
      <c r="X3437" s="4">
        <v>2277.17</v>
      </c>
      <c r="Y3437" s="4">
        <v>2277.17</v>
      </c>
      <c r="Z3437" s="4">
        <v>2277.17</v>
      </c>
      <c r="AA3437" s="4">
        <v>2277.17</v>
      </c>
      <c r="AB3437" s="3">
        <v>42562</v>
      </c>
      <c r="AC3437" t="s">
        <v>53</v>
      </c>
      <c r="AD3437" t="s">
        <v>53</v>
      </c>
      <c r="AK3437">
        <v>0</v>
      </c>
      <c r="AU3437" s="3">
        <v>42520</v>
      </c>
      <c r="AV3437" s="3">
        <v>42520</v>
      </c>
      <c r="AW3437" t="s">
        <v>54</v>
      </c>
      <c r="AX3437" t="str">
        <f>"ALTPRO"</f>
        <v>ALTPRO</v>
      </c>
      <c r="AY3437" t="s">
        <v>93</v>
      </c>
    </row>
    <row r="3438" spans="1:51">
      <c r="A3438">
        <v>106233</v>
      </c>
      <c r="B3438" t="s">
        <v>420</v>
      </c>
      <c r="C3438" t="str">
        <f>"04022550158"</f>
        <v>04022550158</v>
      </c>
      <c r="D3438" t="str">
        <f>"04022550158"</f>
        <v>04022550158</v>
      </c>
      <c r="E3438" t="s">
        <v>52</v>
      </c>
      <c r="F3438">
        <v>2016</v>
      </c>
      <c r="G3438" t="str">
        <f>"                   8"</f>
        <v xml:space="preserve">                   8</v>
      </c>
      <c r="H3438" s="3">
        <v>42398</v>
      </c>
      <c r="I3438" s="3">
        <v>42416</v>
      </c>
      <c r="J3438" s="3">
        <v>42415</v>
      </c>
      <c r="K3438" s="3">
        <v>42475</v>
      </c>
      <c r="L3438" s="1">
        <v>540</v>
      </c>
      <c r="M3438">
        <v>12</v>
      </c>
      <c r="N3438" s="5">
        <v>6480</v>
      </c>
      <c r="O3438">
        <v>540</v>
      </c>
      <c r="P3438">
        <v>12</v>
      </c>
      <c r="Q3438" s="4">
        <v>6480</v>
      </c>
      <c r="R3438">
        <v>0</v>
      </c>
      <c r="V3438">
        <v>0</v>
      </c>
      <c r="W3438">
        <v>0</v>
      </c>
      <c r="X3438">
        <v>0</v>
      </c>
      <c r="Y3438">
        <v>658.8</v>
      </c>
      <c r="Z3438">
        <v>658.8</v>
      </c>
      <c r="AA3438">
        <v>658.8</v>
      </c>
      <c r="AB3438" s="3">
        <v>42562</v>
      </c>
      <c r="AC3438" t="s">
        <v>53</v>
      </c>
      <c r="AD3438" t="s">
        <v>53</v>
      </c>
      <c r="AK3438">
        <v>0</v>
      </c>
      <c r="AU3438" s="3">
        <v>42487</v>
      </c>
      <c r="AV3438" s="3">
        <v>42487</v>
      </c>
      <c r="AW3438" t="s">
        <v>54</v>
      </c>
      <c r="AX3438" t="str">
        <f>"FOR"</f>
        <v>FOR</v>
      </c>
      <c r="AY3438" t="s">
        <v>55</v>
      </c>
    </row>
    <row r="3439" spans="1:51" hidden="1">
      <c r="A3439">
        <v>106235</v>
      </c>
      <c r="B3439" t="s">
        <v>421</v>
      </c>
      <c r="C3439" t="str">
        <f>"03743530614"</f>
        <v>03743530614</v>
      </c>
      <c r="D3439" t="str">
        <f>"MSCNNA75A59B963C"</f>
        <v>MSCNNA75A59B963C</v>
      </c>
      <c r="E3439" t="s">
        <v>52</v>
      </c>
      <c r="F3439">
        <v>2016</v>
      </c>
      <c r="G3439" t="str">
        <f>"         FATTPA 1_16"</f>
        <v xml:space="preserve">         FATTPA 1_16</v>
      </c>
      <c r="H3439" s="3">
        <v>42424</v>
      </c>
      <c r="I3439" s="3">
        <v>42424</v>
      </c>
      <c r="J3439" s="3">
        <v>42424</v>
      </c>
      <c r="K3439" s="3">
        <v>42484</v>
      </c>
      <c r="L3439"/>
      <c r="N3439"/>
      <c r="O3439">
        <v>743.03</v>
      </c>
      <c r="P3439">
        <v>-58</v>
      </c>
      <c r="Q3439" s="4">
        <v>-43095.74</v>
      </c>
      <c r="R3439">
        <v>0</v>
      </c>
      <c r="V3439">
        <v>0</v>
      </c>
      <c r="W3439">
        <v>0</v>
      </c>
      <c r="X3439">
        <v>0</v>
      </c>
      <c r="Y3439">
        <v>-185.26</v>
      </c>
      <c r="Z3439">
        <v>743.03</v>
      </c>
      <c r="AA3439">
        <v>743.03</v>
      </c>
      <c r="AB3439" s="3">
        <v>42562</v>
      </c>
      <c r="AC3439" t="s">
        <v>53</v>
      </c>
      <c r="AD3439" t="s">
        <v>53</v>
      </c>
      <c r="AK3439">
        <v>0</v>
      </c>
      <c r="AU3439" s="3">
        <v>42426</v>
      </c>
      <c r="AV3439" s="3">
        <v>42426</v>
      </c>
      <c r="AW3439" t="s">
        <v>54</v>
      </c>
      <c r="AX3439" t="str">
        <f t="shared" ref="AX3439:AX3449" si="407">"ALTPRO"</f>
        <v>ALTPRO</v>
      </c>
      <c r="AY3439" t="s">
        <v>93</v>
      </c>
    </row>
    <row r="3440" spans="1:51">
      <c r="A3440">
        <v>106243</v>
      </c>
      <c r="B3440" t="s">
        <v>422</v>
      </c>
      <c r="C3440" t="str">
        <f>"07277861212"</f>
        <v>07277861212</v>
      </c>
      <c r="D3440" t="str">
        <f>"MLLCCT90A53F839L"</f>
        <v>MLLCCT90A53F839L</v>
      </c>
      <c r="E3440" t="s">
        <v>52</v>
      </c>
      <c r="F3440">
        <v>2016</v>
      </c>
      <c r="G3440" t="str">
        <f>"                   2"</f>
        <v xml:space="preserve">                   2</v>
      </c>
      <c r="H3440" s="3">
        <v>42396</v>
      </c>
      <c r="I3440" s="3">
        <v>42444</v>
      </c>
      <c r="J3440" s="3">
        <v>42436</v>
      </c>
      <c r="K3440" s="3">
        <v>42496</v>
      </c>
      <c r="L3440" s="1">
        <v>418.66</v>
      </c>
      <c r="M3440">
        <v>31</v>
      </c>
      <c r="N3440" s="5">
        <v>12978.46</v>
      </c>
      <c r="O3440">
        <v>418.66</v>
      </c>
      <c r="P3440">
        <v>31</v>
      </c>
      <c r="Q3440" s="4">
        <v>12978.46</v>
      </c>
      <c r="R3440">
        <v>0</v>
      </c>
      <c r="V3440">
        <v>0</v>
      </c>
      <c r="W3440">
        <v>0</v>
      </c>
      <c r="X3440">
        <v>0</v>
      </c>
      <c r="Y3440">
        <v>418.66</v>
      </c>
      <c r="Z3440">
        <v>418.66</v>
      </c>
      <c r="AA3440">
        <v>418.66</v>
      </c>
      <c r="AB3440" s="3">
        <v>42562</v>
      </c>
      <c r="AC3440" t="s">
        <v>53</v>
      </c>
      <c r="AD3440" t="s">
        <v>53</v>
      </c>
      <c r="AK3440">
        <v>0</v>
      </c>
      <c r="AU3440" s="3">
        <v>42527</v>
      </c>
      <c r="AV3440" s="3">
        <v>42527</v>
      </c>
      <c r="AW3440" t="s">
        <v>54</v>
      </c>
      <c r="AX3440" t="str">
        <f t="shared" si="407"/>
        <v>ALTPRO</v>
      </c>
      <c r="AY3440" t="s">
        <v>93</v>
      </c>
    </row>
    <row r="3441" spans="1:51">
      <c r="A3441">
        <v>106243</v>
      </c>
      <c r="B3441" t="s">
        <v>422</v>
      </c>
      <c r="C3441" t="str">
        <f>"07277861212"</f>
        <v>07277861212</v>
      </c>
      <c r="D3441" t="str">
        <f>"MLLCCT90A53F839L"</f>
        <v>MLLCCT90A53F839L</v>
      </c>
      <c r="E3441" t="s">
        <v>52</v>
      </c>
      <c r="F3441">
        <v>2016</v>
      </c>
      <c r="G3441" t="str">
        <f>"                   3"</f>
        <v xml:space="preserve">                   3</v>
      </c>
      <c r="H3441" s="3">
        <v>42424</v>
      </c>
      <c r="I3441" s="3">
        <v>42446</v>
      </c>
      <c r="J3441" s="3">
        <v>42446</v>
      </c>
      <c r="K3441" s="3">
        <v>42506</v>
      </c>
      <c r="L3441" s="1">
        <v>418.66</v>
      </c>
      <c r="M3441">
        <v>21</v>
      </c>
      <c r="N3441" s="5">
        <v>8791.86</v>
      </c>
      <c r="O3441">
        <v>418.66</v>
      </c>
      <c r="P3441">
        <v>21</v>
      </c>
      <c r="Q3441" s="4">
        <v>8791.86</v>
      </c>
      <c r="R3441">
        <v>0</v>
      </c>
      <c r="V3441">
        <v>0</v>
      </c>
      <c r="W3441">
        <v>0</v>
      </c>
      <c r="X3441">
        <v>0</v>
      </c>
      <c r="Y3441">
        <v>418.66</v>
      </c>
      <c r="Z3441">
        <v>418.66</v>
      </c>
      <c r="AA3441">
        <v>418.66</v>
      </c>
      <c r="AB3441" s="3">
        <v>42562</v>
      </c>
      <c r="AC3441" t="s">
        <v>53</v>
      </c>
      <c r="AD3441" t="s">
        <v>53</v>
      </c>
      <c r="AK3441">
        <v>0</v>
      </c>
      <c r="AU3441" s="3">
        <v>42527</v>
      </c>
      <c r="AV3441" s="3">
        <v>42527</v>
      </c>
      <c r="AW3441" t="s">
        <v>54</v>
      </c>
      <c r="AX3441" t="str">
        <f t="shared" si="407"/>
        <v>ALTPRO</v>
      </c>
      <c r="AY3441" t="s">
        <v>93</v>
      </c>
    </row>
    <row r="3442" spans="1:51">
      <c r="A3442">
        <v>106243</v>
      </c>
      <c r="B3442" t="s">
        <v>422</v>
      </c>
      <c r="C3442" t="str">
        <f>"07277861212"</f>
        <v>07277861212</v>
      </c>
      <c r="D3442" t="str">
        <f>"MLLCCT90A53F839L"</f>
        <v>MLLCCT90A53F839L</v>
      </c>
      <c r="E3442" t="s">
        <v>52</v>
      </c>
      <c r="F3442">
        <v>2016</v>
      </c>
      <c r="G3442" t="str">
        <f>"                   6"</f>
        <v xml:space="preserve">                   6</v>
      </c>
      <c r="H3442" s="3">
        <v>42487</v>
      </c>
      <c r="I3442" s="3">
        <v>42492</v>
      </c>
      <c r="J3442" s="3">
        <v>42492</v>
      </c>
      <c r="K3442" s="3">
        <v>42552</v>
      </c>
      <c r="L3442" s="1">
        <v>418.66</v>
      </c>
      <c r="M3442">
        <v>-25</v>
      </c>
      <c r="N3442" s="5">
        <v>-10466.5</v>
      </c>
      <c r="O3442">
        <v>418.66</v>
      </c>
      <c r="P3442">
        <v>-25</v>
      </c>
      <c r="Q3442" s="4">
        <v>-10466.5</v>
      </c>
      <c r="R3442">
        <v>0</v>
      </c>
      <c r="V3442">
        <v>418.66</v>
      </c>
      <c r="W3442">
        <v>418.66</v>
      </c>
      <c r="X3442">
        <v>418.66</v>
      </c>
      <c r="Y3442">
        <v>418.66</v>
      </c>
      <c r="Z3442">
        <v>418.66</v>
      </c>
      <c r="AA3442">
        <v>418.66</v>
      </c>
      <c r="AB3442" s="3">
        <v>42562</v>
      </c>
      <c r="AC3442" t="s">
        <v>53</v>
      </c>
      <c r="AD3442" t="s">
        <v>53</v>
      </c>
      <c r="AK3442">
        <v>0</v>
      </c>
      <c r="AU3442" s="3">
        <v>42527</v>
      </c>
      <c r="AV3442" s="3">
        <v>42527</v>
      </c>
      <c r="AW3442" t="s">
        <v>54</v>
      </c>
      <c r="AX3442" t="str">
        <f t="shared" si="407"/>
        <v>ALTPRO</v>
      </c>
      <c r="AY3442" t="s">
        <v>93</v>
      </c>
    </row>
    <row r="3443" spans="1:51" hidden="1">
      <c r="A3443">
        <v>106243</v>
      </c>
      <c r="B3443" t="s">
        <v>422</v>
      </c>
      <c r="C3443" t="str">
        <f>"07277861212"</f>
        <v>07277861212</v>
      </c>
      <c r="D3443" t="str">
        <f>"MLLCCT90A53F839L"</f>
        <v>MLLCCT90A53F839L</v>
      </c>
      <c r="E3443" t="s">
        <v>52</v>
      </c>
      <c r="F3443">
        <v>2016</v>
      </c>
      <c r="G3443" t="str">
        <f>"                  01"</f>
        <v xml:space="preserve">                  01</v>
      </c>
      <c r="H3443" s="3">
        <v>42382</v>
      </c>
      <c r="I3443" s="3">
        <v>42384</v>
      </c>
      <c r="J3443" s="3">
        <v>42384</v>
      </c>
      <c r="K3443" s="3">
        <v>42444</v>
      </c>
      <c r="L3443"/>
      <c r="N3443"/>
      <c r="O3443">
        <v>418.66</v>
      </c>
      <c r="P3443">
        <v>-47</v>
      </c>
      <c r="Q3443" s="4">
        <v>-19677.02</v>
      </c>
      <c r="R3443">
        <v>0</v>
      </c>
      <c r="V3443">
        <v>0</v>
      </c>
      <c r="W3443">
        <v>0</v>
      </c>
      <c r="X3443">
        <v>0</v>
      </c>
      <c r="Y3443">
        <v>418.66</v>
      </c>
      <c r="Z3443">
        <v>418.66</v>
      </c>
      <c r="AA3443">
        <v>418.66</v>
      </c>
      <c r="AB3443" s="3">
        <v>42562</v>
      </c>
      <c r="AC3443" t="s">
        <v>53</v>
      </c>
      <c r="AD3443" t="s">
        <v>53</v>
      </c>
      <c r="AK3443">
        <v>0</v>
      </c>
      <c r="AU3443" s="3">
        <v>42397</v>
      </c>
      <c r="AV3443" s="3">
        <v>42397</v>
      </c>
      <c r="AW3443" t="s">
        <v>54</v>
      </c>
      <c r="AX3443" t="str">
        <f t="shared" si="407"/>
        <v>ALTPRO</v>
      </c>
      <c r="AY3443" t="s">
        <v>93</v>
      </c>
    </row>
    <row r="3444" spans="1:51">
      <c r="A3444">
        <v>106243</v>
      </c>
      <c r="B3444" t="s">
        <v>422</v>
      </c>
      <c r="C3444" t="str">
        <f>"07277861212"</f>
        <v>07277861212</v>
      </c>
      <c r="D3444" t="str">
        <f>"MLLCCT90A53F839L"</f>
        <v>MLLCCT90A53F839L</v>
      </c>
      <c r="E3444" t="s">
        <v>52</v>
      </c>
      <c r="F3444">
        <v>2016</v>
      </c>
      <c r="G3444" t="str">
        <f>"                  04"</f>
        <v xml:space="preserve">                  04</v>
      </c>
      <c r="H3444" s="3">
        <v>42460</v>
      </c>
      <c r="I3444" s="3">
        <v>42465</v>
      </c>
      <c r="J3444" s="3">
        <v>42465</v>
      </c>
      <c r="K3444" s="3">
        <v>42525</v>
      </c>
      <c r="L3444" s="1">
        <v>418.66</v>
      </c>
      <c r="M3444">
        <v>2</v>
      </c>
      <c r="N3444" s="1">
        <v>837.32</v>
      </c>
      <c r="O3444">
        <v>418.66</v>
      </c>
      <c r="P3444">
        <v>2</v>
      </c>
      <c r="Q3444">
        <v>837.32</v>
      </c>
      <c r="R3444">
        <v>0</v>
      </c>
      <c r="V3444">
        <v>0</v>
      </c>
      <c r="W3444">
        <v>418.66</v>
      </c>
      <c r="X3444">
        <v>0</v>
      </c>
      <c r="Y3444">
        <v>418.66</v>
      </c>
      <c r="Z3444">
        <v>418.66</v>
      </c>
      <c r="AA3444">
        <v>418.66</v>
      </c>
      <c r="AB3444" s="3">
        <v>42562</v>
      </c>
      <c r="AC3444" t="s">
        <v>53</v>
      </c>
      <c r="AD3444" t="s">
        <v>53</v>
      </c>
      <c r="AK3444">
        <v>0</v>
      </c>
      <c r="AU3444" s="3">
        <v>42527</v>
      </c>
      <c r="AV3444" s="3">
        <v>42527</v>
      </c>
      <c r="AW3444" t="s">
        <v>54</v>
      </c>
      <c r="AX3444" t="str">
        <f t="shared" si="407"/>
        <v>ALTPRO</v>
      </c>
      <c r="AY3444" t="s">
        <v>93</v>
      </c>
    </row>
    <row r="3445" spans="1:51" hidden="1">
      <c r="A3445">
        <v>106246</v>
      </c>
      <c r="B3445" t="s">
        <v>423</v>
      </c>
      <c r="C3445" t="str">
        <f>"01548180627"</f>
        <v>01548180627</v>
      </c>
      <c r="D3445" t="str">
        <f>"ZRGNNL83L62A783M"</f>
        <v>ZRGNNL83L62A783M</v>
      </c>
      <c r="E3445" t="s">
        <v>52</v>
      </c>
      <c r="F3445">
        <v>2016</v>
      </c>
      <c r="G3445" t="str">
        <f>"         FATTPA 1_16"</f>
        <v xml:space="preserve">         FATTPA 1_16</v>
      </c>
      <c r="H3445" s="3">
        <v>42374</v>
      </c>
      <c r="I3445" s="3">
        <v>42389</v>
      </c>
      <c r="J3445" s="3">
        <v>42388</v>
      </c>
      <c r="K3445" s="3">
        <v>42448</v>
      </c>
      <c r="L3445"/>
      <c r="N3445"/>
      <c r="O3445">
        <v>419</v>
      </c>
      <c r="P3445">
        <v>-51</v>
      </c>
      <c r="Q3445" s="4">
        <v>-21369</v>
      </c>
      <c r="R3445">
        <v>0</v>
      </c>
      <c r="V3445">
        <v>0</v>
      </c>
      <c r="W3445">
        <v>0</v>
      </c>
      <c r="X3445">
        <v>0</v>
      </c>
      <c r="Y3445">
        <v>419</v>
      </c>
      <c r="Z3445">
        <v>419</v>
      </c>
      <c r="AA3445">
        <v>419</v>
      </c>
      <c r="AB3445" s="3">
        <v>42562</v>
      </c>
      <c r="AC3445" t="s">
        <v>53</v>
      </c>
      <c r="AD3445" t="s">
        <v>53</v>
      </c>
      <c r="AK3445">
        <v>0</v>
      </c>
      <c r="AU3445" s="3">
        <v>42397</v>
      </c>
      <c r="AV3445" s="3">
        <v>42397</v>
      </c>
      <c r="AW3445" t="s">
        <v>54</v>
      </c>
      <c r="AX3445" t="str">
        <f t="shared" si="407"/>
        <v>ALTPRO</v>
      </c>
      <c r="AY3445" t="s">
        <v>93</v>
      </c>
    </row>
    <row r="3446" spans="1:51">
      <c r="A3446">
        <v>106246</v>
      </c>
      <c r="B3446" t="s">
        <v>423</v>
      </c>
      <c r="C3446" t="str">
        <f>"01548180627"</f>
        <v>01548180627</v>
      </c>
      <c r="D3446" t="str">
        <f>"ZRGNNL83L62A783M"</f>
        <v>ZRGNNL83L62A783M</v>
      </c>
      <c r="E3446" t="s">
        <v>52</v>
      </c>
      <c r="F3446">
        <v>2016</v>
      </c>
      <c r="G3446" t="str">
        <f>"         FATTPA 2_16"</f>
        <v xml:space="preserve">         FATTPA 2_16</v>
      </c>
      <c r="H3446" s="3">
        <v>42388</v>
      </c>
      <c r="I3446" s="3">
        <v>42461</v>
      </c>
      <c r="J3446" s="3">
        <v>42458</v>
      </c>
      <c r="K3446" s="3">
        <v>42518</v>
      </c>
      <c r="L3446" s="1">
        <v>419</v>
      </c>
      <c r="M3446">
        <v>9</v>
      </c>
      <c r="N3446" s="5">
        <v>3771</v>
      </c>
      <c r="O3446">
        <v>419</v>
      </c>
      <c r="P3446">
        <v>9</v>
      </c>
      <c r="Q3446" s="4">
        <v>3771</v>
      </c>
      <c r="R3446">
        <v>0</v>
      </c>
      <c r="V3446">
        <v>0</v>
      </c>
      <c r="W3446">
        <v>419</v>
      </c>
      <c r="X3446">
        <v>0</v>
      </c>
      <c r="Y3446">
        <v>419</v>
      </c>
      <c r="Z3446">
        <v>419</v>
      </c>
      <c r="AA3446">
        <v>419</v>
      </c>
      <c r="AB3446" s="3">
        <v>42562</v>
      </c>
      <c r="AC3446" t="s">
        <v>53</v>
      </c>
      <c r="AD3446" t="s">
        <v>53</v>
      </c>
      <c r="AK3446">
        <v>0</v>
      </c>
      <c r="AU3446" s="3">
        <v>42527</v>
      </c>
      <c r="AV3446" s="3">
        <v>42527</v>
      </c>
      <c r="AW3446" t="s">
        <v>54</v>
      </c>
      <c r="AX3446" t="str">
        <f t="shared" si="407"/>
        <v>ALTPRO</v>
      </c>
      <c r="AY3446" t="s">
        <v>93</v>
      </c>
    </row>
    <row r="3447" spans="1:51">
      <c r="A3447">
        <v>106246</v>
      </c>
      <c r="B3447" t="s">
        <v>423</v>
      </c>
      <c r="C3447" t="str">
        <f>"01548180627"</f>
        <v>01548180627</v>
      </c>
      <c r="D3447" t="str">
        <f>"ZRGNNL83L62A783M"</f>
        <v>ZRGNNL83L62A783M</v>
      </c>
      <c r="E3447" t="s">
        <v>52</v>
      </c>
      <c r="F3447">
        <v>2016</v>
      </c>
      <c r="G3447" t="str">
        <f>"         FATTPA 3_16"</f>
        <v xml:space="preserve">         FATTPA 3_16</v>
      </c>
      <c r="H3447" s="3">
        <v>42431</v>
      </c>
      <c r="I3447" s="3">
        <v>42465</v>
      </c>
      <c r="J3447" s="3">
        <v>42464</v>
      </c>
      <c r="K3447" s="3">
        <v>42524</v>
      </c>
      <c r="L3447" s="1">
        <v>419</v>
      </c>
      <c r="M3447">
        <v>3</v>
      </c>
      <c r="N3447" s="5">
        <v>1257</v>
      </c>
      <c r="O3447">
        <v>419</v>
      </c>
      <c r="P3447">
        <v>3</v>
      </c>
      <c r="Q3447" s="4">
        <v>1257</v>
      </c>
      <c r="R3447">
        <v>0</v>
      </c>
      <c r="V3447">
        <v>0</v>
      </c>
      <c r="W3447">
        <v>419</v>
      </c>
      <c r="X3447">
        <v>0</v>
      </c>
      <c r="Y3447">
        <v>419</v>
      </c>
      <c r="Z3447">
        <v>419</v>
      </c>
      <c r="AA3447">
        <v>419</v>
      </c>
      <c r="AB3447" s="3">
        <v>42562</v>
      </c>
      <c r="AC3447" t="s">
        <v>53</v>
      </c>
      <c r="AD3447" t="s">
        <v>53</v>
      </c>
      <c r="AK3447">
        <v>0</v>
      </c>
      <c r="AU3447" s="3">
        <v>42527</v>
      </c>
      <c r="AV3447" s="3">
        <v>42527</v>
      </c>
      <c r="AW3447" t="s">
        <v>54</v>
      </c>
      <c r="AX3447" t="str">
        <f t="shared" si="407"/>
        <v>ALTPRO</v>
      </c>
      <c r="AY3447" t="s">
        <v>93</v>
      </c>
    </row>
    <row r="3448" spans="1:51">
      <c r="A3448">
        <v>106246</v>
      </c>
      <c r="B3448" t="s">
        <v>423</v>
      </c>
      <c r="C3448" t="str">
        <f>"01548180627"</f>
        <v>01548180627</v>
      </c>
      <c r="D3448" t="str">
        <f>"ZRGNNL83L62A783M"</f>
        <v>ZRGNNL83L62A783M</v>
      </c>
      <c r="E3448" t="s">
        <v>52</v>
      </c>
      <c r="F3448">
        <v>2016</v>
      </c>
      <c r="G3448" t="str">
        <f>"         FATTPA 4_16"</f>
        <v xml:space="preserve">         FATTPA 4_16</v>
      </c>
      <c r="H3448" s="3">
        <v>42464</v>
      </c>
      <c r="I3448" s="3">
        <v>42465</v>
      </c>
      <c r="J3448" s="3">
        <v>42464</v>
      </c>
      <c r="K3448" s="3">
        <v>42524</v>
      </c>
      <c r="L3448" s="1">
        <v>419</v>
      </c>
      <c r="M3448">
        <v>3</v>
      </c>
      <c r="N3448" s="5">
        <v>1257</v>
      </c>
      <c r="O3448">
        <v>419</v>
      </c>
      <c r="P3448">
        <v>3</v>
      </c>
      <c r="Q3448" s="4">
        <v>1257</v>
      </c>
      <c r="R3448">
        <v>0</v>
      </c>
      <c r="V3448">
        <v>419</v>
      </c>
      <c r="W3448">
        <v>419</v>
      </c>
      <c r="X3448">
        <v>419</v>
      </c>
      <c r="Y3448">
        <v>419</v>
      </c>
      <c r="Z3448">
        <v>419</v>
      </c>
      <c r="AA3448">
        <v>419</v>
      </c>
      <c r="AB3448" s="3">
        <v>42562</v>
      </c>
      <c r="AC3448" t="s">
        <v>53</v>
      </c>
      <c r="AD3448" t="s">
        <v>53</v>
      </c>
      <c r="AK3448">
        <v>0</v>
      </c>
      <c r="AU3448" s="3">
        <v>42527</v>
      </c>
      <c r="AV3448" s="3">
        <v>42527</v>
      </c>
      <c r="AW3448" t="s">
        <v>54</v>
      </c>
      <c r="AX3448" t="str">
        <f t="shared" si="407"/>
        <v>ALTPRO</v>
      </c>
      <c r="AY3448" t="s">
        <v>93</v>
      </c>
    </row>
    <row r="3449" spans="1:51">
      <c r="A3449">
        <v>106246</v>
      </c>
      <c r="B3449" t="s">
        <v>423</v>
      </c>
      <c r="C3449" t="str">
        <f>"01548180627"</f>
        <v>01548180627</v>
      </c>
      <c r="D3449" t="str">
        <f>"ZRGNNL83L62A783M"</f>
        <v>ZRGNNL83L62A783M</v>
      </c>
      <c r="E3449" t="s">
        <v>52</v>
      </c>
      <c r="F3449">
        <v>2016</v>
      </c>
      <c r="G3449" t="str">
        <f>"         FATTPA 5_16"</f>
        <v xml:space="preserve">         FATTPA 5_16</v>
      </c>
      <c r="H3449" s="3">
        <v>42486</v>
      </c>
      <c r="I3449" s="3">
        <v>42513</v>
      </c>
      <c r="J3449" s="3">
        <v>42509</v>
      </c>
      <c r="K3449" s="3">
        <v>42569</v>
      </c>
      <c r="L3449" s="1">
        <v>419</v>
      </c>
      <c r="M3449">
        <v>-42</v>
      </c>
      <c r="N3449" s="5">
        <v>-17598</v>
      </c>
      <c r="O3449">
        <v>419</v>
      </c>
      <c r="P3449">
        <v>-42</v>
      </c>
      <c r="Q3449" s="4">
        <v>-17598</v>
      </c>
      <c r="R3449">
        <v>0</v>
      </c>
      <c r="V3449">
        <v>419</v>
      </c>
      <c r="W3449">
        <v>419</v>
      </c>
      <c r="X3449">
        <v>419</v>
      </c>
      <c r="Y3449">
        <v>419</v>
      </c>
      <c r="Z3449">
        <v>419</v>
      </c>
      <c r="AA3449">
        <v>419</v>
      </c>
      <c r="AB3449" s="3">
        <v>42562</v>
      </c>
      <c r="AC3449" t="s">
        <v>53</v>
      </c>
      <c r="AD3449" t="s">
        <v>53</v>
      </c>
      <c r="AK3449">
        <v>0</v>
      </c>
      <c r="AU3449" s="3">
        <v>42527</v>
      </c>
      <c r="AV3449" s="3">
        <v>42527</v>
      </c>
      <c r="AW3449" t="s">
        <v>54</v>
      </c>
      <c r="AX3449" t="str">
        <f t="shared" si="407"/>
        <v>ALTPRO</v>
      </c>
      <c r="AY3449" t="s">
        <v>93</v>
      </c>
    </row>
    <row r="3450" spans="1:51" hidden="1">
      <c r="A3450">
        <v>106247</v>
      </c>
      <c r="B3450" t="s">
        <v>424</v>
      </c>
      <c r="C3450" t="str">
        <f>""</f>
        <v/>
      </c>
      <c r="D3450" t="str">
        <f>"DMRMDL72R42F799P"</f>
        <v>DMRMDL72R42F799P</v>
      </c>
      <c r="E3450" t="s">
        <v>52</v>
      </c>
      <c r="F3450">
        <v>2016</v>
      </c>
      <c r="G3450" t="str">
        <f>"                0120"</f>
        <v xml:space="preserve">                0120</v>
      </c>
      <c r="H3450" s="3">
        <v>42389</v>
      </c>
      <c r="I3450" s="3">
        <v>42390</v>
      </c>
      <c r="J3450" s="3">
        <v>42390</v>
      </c>
      <c r="K3450" s="3">
        <v>42450</v>
      </c>
      <c r="L3450"/>
      <c r="N3450"/>
      <c r="O3450">
        <v>500</v>
      </c>
      <c r="P3450">
        <v>-60</v>
      </c>
      <c r="Q3450" s="4">
        <v>-30000</v>
      </c>
      <c r="R3450">
        <v>0</v>
      </c>
      <c r="V3450">
        <v>0</v>
      </c>
      <c r="W3450">
        <v>0</v>
      </c>
      <c r="X3450">
        <v>0</v>
      </c>
      <c r="Y3450">
        <v>500</v>
      </c>
      <c r="Z3450">
        <v>500</v>
      </c>
      <c r="AA3450">
        <v>500</v>
      </c>
      <c r="AB3450" s="3">
        <v>42562</v>
      </c>
      <c r="AC3450" t="s">
        <v>53</v>
      </c>
      <c r="AD3450" t="s">
        <v>53</v>
      </c>
      <c r="AK3450">
        <v>0</v>
      </c>
      <c r="AU3450" s="3">
        <v>42390</v>
      </c>
      <c r="AV3450" s="3">
        <v>42390</v>
      </c>
      <c r="AW3450" t="s">
        <v>54</v>
      </c>
      <c r="AX3450" t="str">
        <f>"ALT"</f>
        <v>ALT</v>
      </c>
      <c r="AY3450" t="s">
        <v>72</v>
      </c>
    </row>
    <row r="3451" spans="1:51" hidden="1">
      <c r="A3451">
        <v>106247</v>
      </c>
      <c r="B3451" t="s">
        <v>424</v>
      </c>
      <c r="C3451" t="str">
        <f>""</f>
        <v/>
      </c>
      <c r="D3451" t="str">
        <f>"DMRMDL72R42F799P"</f>
        <v>DMRMDL72R42F799P</v>
      </c>
      <c r="E3451" t="s">
        <v>52</v>
      </c>
      <c r="F3451">
        <v>2016</v>
      </c>
      <c r="G3451" t="str">
        <f>"                0222"</f>
        <v xml:space="preserve">                0222</v>
      </c>
      <c r="H3451" s="3">
        <v>42422</v>
      </c>
      <c r="I3451" s="3">
        <v>42422</v>
      </c>
      <c r="J3451" s="3">
        <v>42422</v>
      </c>
      <c r="K3451" s="3">
        <v>42482</v>
      </c>
      <c r="L3451"/>
      <c r="N3451"/>
      <c r="O3451">
        <v>500</v>
      </c>
      <c r="P3451">
        <v>-58</v>
      </c>
      <c r="Q3451" s="4">
        <v>-29000</v>
      </c>
      <c r="R3451">
        <v>0</v>
      </c>
      <c r="V3451">
        <v>0</v>
      </c>
      <c r="W3451">
        <v>0</v>
      </c>
      <c r="X3451">
        <v>0</v>
      </c>
      <c r="Y3451">
        <v>500</v>
      </c>
      <c r="Z3451">
        <v>500</v>
      </c>
      <c r="AA3451">
        <v>500</v>
      </c>
      <c r="AB3451" s="3">
        <v>42562</v>
      </c>
      <c r="AC3451" t="s">
        <v>53</v>
      </c>
      <c r="AD3451" t="s">
        <v>53</v>
      </c>
      <c r="AK3451">
        <v>0</v>
      </c>
      <c r="AU3451" s="3">
        <v>42424</v>
      </c>
      <c r="AV3451" s="3">
        <v>42424</v>
      </c>
      <c r="AW3451" t="s">
        <v>54</v>
      </c>
      <c r="AX3451" t="str">
        <f>"ALT"</f>
        <v>ALT</v>
      </c>
      <c r="AY3451" t="s">
        <v>72</v>
      </c>
    </row>
    <row r="3452" spans="1:51" hidden="1">
      <c r="A3452">
        <v>106247</v>
      </c>
      <c r="B3452" t="s">
        <v>424</v>
      </c>
      <c r="C3452" t="str">
        <f>""</f>
        <v/>
      </c>
      <c r="D3452" t="str">
        <f>"DMRMDL72R42F799P"</f>
        <v>DMRMDL72R42F799P</v>
      </c>
      <c r="E3452" t="s">
        <v>52</v>
      </c>
      <c r="F3452">
        <v>2016</v>
      </c>
      <c r="G3452" t="str">
        <f>"                0321"</f>
        <v xml:space="preserve">                0321</v>
      </c>
      <c r="H3452" s="3">
        <v>42450</v>
      </c>
      <c r="I3452" s="3">
        <v>42450</v>
      </c>
      <c r="J3452" s="3">
        <v>42450</v>
      </c>
      <c r="K3452" s="3">
        <v>42510</v>
      </c>
      <c r="L3452"/>
      <c r="N3452"/>
      <c r="O3452">
        <v>500</v>
      </c>
      <c r="P3452">
        <v>-57</v>
      </c>
      <c r="Q3452" s="4">
        <v>-28500</v>
      </c>
      <c r="R3452">
        <v>0</v>
      </c>
      <c r="V3452">
        <v>0</v>
      </c>
      <c r="W3452">
        <v>0</v>
      </c>
      <c r="X3452">
        <v>0</v>
      </c>
      <c r="Y3452">
        <v>500</v>
      </c>
      <c r="Z3452">
        <v>500</v>
      </c>
      <c r="AA3452">
        <v>500</v>
      </c>
      <c r="AB3452" s="3">
        <v>42562</v>
      </c>
      <c r="AC3452" t="s">
        <v>53</v>
      </c>
      <c r="AD3452" t="s">
        <v>53</v>
      </c>
      <c r="AK3452">
        <v>0</v>
      </c>
      <c r="AU3452" s="3">
        <v>42453</v>
      </c>
      <c r="AV3452" s="3">
        <v>42453</v>
      </c>
      <c r="AW3452" t="s">
        <v>54</v>
      </c>
      <c r="AX3452" t="str">
        <f>"ALT"</f>
        <v>ALT</v>
      </c>
      <c r="AY3452" t="s">
        <v>72</v>
      </c>
    </row>
    <row r="3453" spans="1:51" hidden="1">
      <c r="A3453">
        <v>106247</v>
      </c>
      <c r="B3453" t="s">
        <v>424</v>
      </c>
      <c r="C3453" t="str">
        <f>""</f>
        <v/>
      </c>
      <c r="D3453" t="str">
        <f>"DMRMDL72R42F799P"</f>
        <v>DMRMDL72R42F799P</v>
      </c>
      <c r="E3453" t="s">
        <v>52</v>
      </c>
      <c r="F3453">
        <v>2016</v>
      </c>
      <c r="G3453" t="str">
        <f>"                0421"</f>
        <v xml:space="preserve">                0421</v>
      </c>
      <c r="H3453" s="3">
        <v>42481</v>
      </c>
      <c r="I3453" s="3">
        <v>42481</v>
      </c>
      <c r="J3453" s="3">
        <v>42481</v>
      </c>
      <c r="K3453" s="3">
        <v>42541</v>
      </c>
      <c r="L3453">
        <v>500</v>
      </c>
      <c r="M3453">
        <v>-60</v>
      </c>
      <c r="N3453" s="4">
        <v>-30000</v>
      </c>
      <c r="O3453">
        <v>500</v>
      </c>
      <c r="P3453">
        <v>-60</v>
      </c>
      <c r="Q3453" s="4">
        <v>-30000</v>
      </c>
      <c r="R3453">
        <v>0</v>
      </c>
      <c r="V3453">
        <v>500</v>
      </c>
      <c r="W3453">
        <v>500</v>
      </c>
      <c r="X3453">
        <v>500</v>
      </c>
      <c r="Y3453">
        <v>500</v>
      </c>
      <c r="Z3453">
        <v>500</v>
      </c>
      <c r="AA3453">
        <v>500</v>
      </c>
      <c r="AB3453" s="3">
        <v>42562</v>
      </c>
      <c r="AC3453" t="s">
        <v>53</v>
      </c>
      <c r="AD3453" t="s">
        <v>53</v>
      </c>
      <c r="AK3453">
        <v>0</v>
      </c>
      <c r="AU3453" s="3">
        <v>42481</v>
      </c>
      <c r="AV3453" s="3">
        <v>42481</v>
      </c>
      <c r="AW3453" t="s">
        <v>54</v>
      </c>
      <c r="AX3453" t="str">
        <f>"ALT"</f>
        <v>ALT</v>
      </c>
      <c r="AY3453" t="s">
        <v>72</v>
      </c>
    </row>
    <row r="3454" spans="1:51" hidden="1">
      <c r="A3454">
        <v>106247</v>
      </c>
      <c r="B3454" t="s">
        <v>424</v>
      </c>
      <c r="C3454" t="str">
        <f>""</f>
        <v/>
      </c>
      <c r="D3454" t="str">
        <f>"DMRMDL72R42F799P"</f>
        <v>DMRMDL72R42F799P</v>
      </c>
      <c r="E3454" t="s">
        <v>52</v>
      </c>
      <c r="F3454">
        <v>2016</v>
      </c>
      <c r="G3454" t="str">
        <f>"                0518"</f>
        <v xml:space="preserve">                0518</v>
      </c>
      <c r="H3454" s="3">
        <v>42508</v>
      </c>
      <c r="I3454" s="3">
        <v>42510</v>
      </c>
      <c r="J3454" s="3">
        <v>42510</v>
      </c>
      <c r="K3454" s="3">
        <v>42570</v>
      </c>
      <c r="L3454">
        <v>500</v>
      </c>
      <c r="M3454">
        <v>-57</v>
      </c>
      <c r="N3454" s="4">
        <v>-28500</v>
      </c>
      <c r="O3454">
        <v>500</v>
      </c>
      <c r="P3454">
        <v>-57</v>
      </c>
      <c r="Q3454" s="4">
        <v>-28500</v>
      </c>
      <c r="R3454">
        <v>0</v>
      </c>
      <c r="V3454">
        <v>500</v>
      </c>
      <c r="W3454">
        <v>500</v>
      </c>
      <c r="X3454">
        <v>500</v>
      </c>
      <c r="Y3454">
        <v>500</v>
      </c>
      <c r="Z3454">
        <v>500</v>
      </c>
      <c r="AA3454">
        <v>500</v>
      </c>
      <c r="AB3454" s="3">
        <v>42562</v>
      </c>
      <c r="AC3454" t="s">
        <v>53</v>
      </c>
      <c r="AD3454" t="s">
        <v>53</v>
      </c>
      <c r="AK3454">
        <v>0</v>
      </c>
      <c r="AU3454" s="3">
        <v>42513</v>
      </c>
      <c r="AV3454" s="3">
        <v>42513</v>
      </c>
      <c r="AW3454" t="s">
        <v>54</v>
      </c>
      <c r="AX3454" t="str">
        <f>"ALT"</f>
        <v>ALT</v>
      </c>
      <c r="AY3454" t="s">
        <v>72</v>
      </c>
    </row>
    <row r="3455" spans="1:51" hidden="1">
      <c r="A3455">
        <v>106248</v>
      </c>
      <c r="B3455" t="s">
        <v>425</v>
      </c>
      <c r="C3455" t="str">
        <f t="shared" ref="C3455:D3457" si="408">"01538600626"</f>
        <v>01538600626</v>
      </c>
      <c r="D3455" t="str">
        <f t="shared" si="408"/>
        <v>01538600626</v>
      </c>
      <c r="E3455" t="s">
        <v>52</v>
      </c>
      <c r="F3455">
        <v>2015</v>
      </c>
      <c r="G3455" t="str">
        <f>"                  94"</f>
        <v xml:space="preserve">                  94</v>
      </c>
      <c r="H3455" s="3">
        <v>42277</v>
      </c>
      <c r="I3455" s="3">
        <v>42286</v>
      </c>
      <c r="J3455" s="3">
        <v>42284</v>
      </c>
      <c r="K3455" s="3">
        <v>42344</v>
      </c>
      <c r="L3455"/>
      <c r="N3455"/>
      <c r="O3455">
        <v>301.27999999999997</v>
      </c>
      <c r="P3455">
        <v>59</v>
      </c>
      <c r="Q3455" s="4">
        <v>17775.52</v>
      </c>
      <c r="R3455">
        <v>66.28</v>
      </c>
      <c r="V3455">
        <v>0</v>
      </c>
      <c r="W3455">
        <v>0</v>
      </c>
      <c r="X3455">
        <v>0</v>
      </c>
      <c r="Y3455">
        <v>0</v>
      </c>
      <c r="Z3455">
        <v>0</v>
      </c>
      <c r="AA3455">
        <v>0</v>
      </c>
      <c r="AB3455" s="3">
        <v>42562</v>
      </c>
      <c r="AC3455" t="s">
        <v>53</v>
      </c>
      <c r="AD3455" t="s">
        <v>53</v>
      </c>
      <c r="AK3455">
        <v>66.28</v>
      </c>
      <c r="AU3455" s="3">
        <v>42403</v>
      </c>
      <c r="AV3455" s="3">
        <v>42403</v>
      </c>
      <c r="AW3455" t="s">
        <v>54</v>
      </c>
      <c r="AX3455" t="str">
        <f t="shared" ref="AX3455:AX3466" si="409">"FOR"</f>
        <v>FOR</v>
      </c>
      <c r="AY3455" t="s">
        <v>55</v>
      </c>
    </row>
    <row r="3456" spans="1:51" hidden="1">
      <c r="A3456">
        <v>106248</v>
      </c>
      <c r="B3456" t="s">
        <v>425</v>
      </c>
      <c r="C3456" t="str">
        <f t="shared" si="408"/>
        <v>01538600626</v>
      </c>
      <c r="D3456" t="str">
        <f t="shared" si="408"/>
        <v>01538600626</v>
      </c>
      <c r="E3456" t="s">
        <v>52</v>
      </c>
      <c r="F3456">
        <v>2015</v>
      </c>
      <c r="G3456" t="str">
        <f>"                 106"</f>
        <v xml:space="preserve">                 106</v>
      </c>
      <c r="H3456" s="3">
        <v>42307</v>
      </c>
      <c r="I3456" s="3">
        <v>42313</v>
      </c>
      <c r="J3456" s="3">
        <v>42312</v>
      </c>
      <c r="K3456" s="3">
        <v>42372</v>
      </c>
      <c r="L3456"/>
      <c r="N3456"/>
      <c r="O3456">
        <v>375.23</v>
      </c>
      <c r="P3456">
        <v>31</v>
      </c>
      <c r="Q3456" s="4">
        <v>11632.13</v>
      </c>
      <c r="R3456">
        <v>82.55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 s="3">
        <v>42562</v>
      </c>
      <c r="AC3456" t="s">
        <v>53</v>
      </c>
      <c r="AD3456" t="s">
        <v>53</v>
      </c>
      <c r="AJ3456">
        <v>82.55</v>
      </c>
      <c r="AK3456">
        <v>0</v>
      </c>
      <c r="AU3456" s="3">
        <v>42403</v>
      </c>
      <c r="AV3456" s="3">
        <v>42403</v>
      </c>
      <c r="AW3456" t="s">
        <v>54</v>
      </c>
      <c r="AX3456" t="str">
        <f t="shared" si="409"/>
        <v>FOR</v>
      </c>
      <c r="AY3456" t="s">
        <v>55</v>
      </c>
    </row>
    <row r="3457" spans="1:51" hidden="1">
      <c r="A3457">
        <v>106248</v>
      </c>
      <c r="B3457" t="s">
        <v>425</v>
      </c>
      <c r="C3457" t="str">
        <f t="shared" si="408"/>
        <v>01538600626</v>
      </c>
      <c r="D3457" t="str">
        <f t="shared" si="408"/>
        <v>01538600626</v>
      </c>
      <c r="E3457" t="s">
        <v>52</v>
      </c>
      <c r="F3457">
        <v>2015</v>
      </c>
      <c r="G3457" t="str">
        <f>"                 112"</f>
        <v xml:space="preserve">                 112</v>
      </c>
      <c r="H3457" s="3">
        <v>42338</v>
      </c>
      <c r="I3457" s="3">
        <v>42340</v>
      </c>
      <c r="J3457" s="3">
        <v>42340</v>
      </c>
      <c r="K3457" s="3">
        <v>42400</v>
      </c>
      <c r="L3457"/>
      <c r="N3457"/>
      <c r="O3457">
        <v>359.44</v>
      </c>
      <c r="P3457">
        <v>3</v>
      </c>
      <c r="Q3457" s="4">
        <v>1078.32</v>
      </c>
      <c r="R3457">
        <v>79.08</v>
      </c>
      <c r="V3457">
        <v>0</v>
      </c>
      <c r="W3457">
        <v>0</v>
      </c>
      <c r="X3457">
        <v>0</v>
      </c>
      <c r="Y3457">
        <v>0</v>
      </c>
      <c r="Z3457">
        <v>0</v>
      </c>
      <c r="AA3457">
        <v>0</v>
      </c>
      <c r="AB3457" s="3">
        <v>42562</v>
      </c>
      <c r="AC3457" t="s">
        <v>53</v>
      </c>
      <c r="AD3457" t="s">
        <v>53</v>
      </c>
      <c r="AJ3457">
        <v>79.08</v>
      </c>
      <c r="AK3457">
        <v>0</v>
      </c>
      <c r="AU3457" s="3">
        <v>42403</v>
      </c>
      <c r="AV3457" s="3">
        <v>42403</v>
      </c>
      <c r="AW3457" t="s">
        <v>54</v>
      </c>
      <c r="AX3457" t="str">
        <f t="shared" si="409"/>
        <v>FOR</v>
      </c>
      <c r="AY3457" t="s">
        <v>55</v>
      </c>
    </row>
    <row r="3458" spans="1:51" hidden="1">
      <c r="A3458">
        <v>106251</v>
      </c>
      <c r="B3458" t="s">
        <v>426</v>
      </c>
      <c r="C3458" t="str">
        <f t="shared" ref="C3458:C3466" si="410">"01296201005"</f>
        <v>01296201005</v>
      </c>
      <c r="D3458" t="str">
        <f t="shared" ref="D3458:D3466" si="411">"04742650585"</f>
        <v>04742650585</v>
      </c>
      <c r="E3458" t="s">
        <v>52</v>
      </c>
      <c r="F3458">
        <v>2015</v>
      </c>
      <c r="G3458" t="str">
        <f>"               10764"</f>
        <v xml:space="preserve">               10764</v>
      </c>
      <c r="H3458" s="3">
        <v>42076</v>
      </c>
      <c r="I3458" s="3">
        <v>42103</v>
      </c>
      <c r="J3458" s="3">
        <v>42103</v>
      </c>
      <c r="K3458" s="3">
        <v>42163</v>
      </c>
      <c r="L3458"/>
      <c r="N3458"/>
      <c r="O3458">
        <v>310</v>
      </c>
      <c r="P3458">
        <v>252</v>
      </c>
      <c r="Q3458" s="4">
        <v>78120</v>
      </c>
      <c r="R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 s="3">
        <v>42562</v>
      </c>
      <c r="AC3458" t="s">
        <v>53</v>
      </c>
      <c r="AD3458" t="s">
        <v>53</v>
      </c>
      <c r="AK3458">
        <v>0</v>
      </c>
      <c r="AU3458" s="3">
        <v>42415</v>
      </c>
      <c r="AV3458" s="3">
        <v>42415</v>
      </c>
      <c r="AW3458" t="s">
        <v>54</v>
      </c>
      <c r="AX3458" t="str">
        <f t="shared" si="409"/>
        <v>FOR</v>
      </c>
      <c r="AY3458" t="s">
        <v>55</v>
      </c>
    </row>
    <row r="3459" spans="1:51" hidden="1">
      <c r="A3459">
        <v>106251</v>
      </c>
      <c r="B3459" t="s">
        <v>426</v>
      </c>
      <c r="C3459" t="str">
        <f t="shared" si="410"/>
        <v>01296201005</v>
      </c>
      <c r="D3459" t="str">
        <f t="shared" si="411"/>
        <v>04742650585</v>
      </c>
      <c r="E3459" t="s">
        <v>52</v>
      </c>
      <c r="F3459">
        <v>2015</v>
      </c>
      <c r="G3459" t="str">
        <f>"               10974"</f>
        <v xml:space="preserve">               10974</v>
      </c>
      <c r="H3459" s="3">
        <v>42090</v>
      </c>
      <c r="I3459" s="3">
        <v>42103</v>
      </c>
      <c r="J3459" s="3">
        <v>42103</v>
      </c>
      <c r="K3459" s="3">
        <v>42163</v>
      </c>
      <c r="L3459"/>
      <c r="N3459"/>
      <c r="O3459">
        <v>270</v>
      </c>
      <c r="P3459">
        <v>252</v>
      </c>
      <c r="Q3459" s="4">
        <v>68040</v>
      </c>
      <c r="R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 s="3">
        <v>42562</v>
      </c>
      <c r="AC3459" t="s">
        <v>53</v>
      </c>
      <c r="AD3459" t="s">
        <v>53</v>
      </c>
      <c r="AK3459">
        <v>0</v>
      </c>
      <c r="AU3459" s="3">
        <v>42415</v>
      </c>
      <c r="AV3459" s="3">
        <v>42415</v>
      </c>
      <c r="AW3459" t="s">
        <v>54</v>
      </c>
      <c r="AX3459" t="str">
        <f t="shared" si="409"/>
        <v>FOR</v>
      </c>
      <c r="AY3459" t="s">
        <v>55</v>
      </c>
    </row>
    <row r="3460" spans="1:51" hidden="1">
      <c r="A3460">
        <v>106251</v>
      </c>
      <c r="B3460" t="s">
        <v>426</v>
      </c>
      <c r="C3460" t="str">
        <f t="shared" si="410"/>
        <v>01296201005</v>
      </c>
      <c r="D3460" t="str">
        <f t="shared" si="411"/>
        <v>04742650585</v>
      </c>
      <c r="E3460" t="s">
        <v>52</v>
      </c>
      <c r="F3460">
        <v>2015</v>
      </c>
      <c r="G3460" t="str">
        <f>"            11125/V2"</f>
        <v xml:space="preserve">            11125/V2</v>
      </c>
      <c r="H3460" s="3">
        <v>42103</v>
      </c>
      <c r="I3460" s="3">
        <v>42142</v>
      </c>
      <c r="J3460" s="3">
        <v>42137</v>
      </c>
      <c r="K3460" s="3">
        <v>42197</v>
      </c>
      <c r="L3460"/>
      <c r="N3460"/>
      <c r="O3460" s="4">
        <v>1720</v>
      </c>
      <c r="P3460">
        <v>234</v>
      </c>
      <c r="Q3460" s="4">
        <v>402480</v>
      </c>
      <c r="R3460">
        <v>0</v>
      </c>
      <c r="V3460">
        <v>0</v>
      </c>
      <c r="W3460">
        <v>0</v>
      </c>
      <c r="X3460">
        <v>0</v>
      </c>
      <c r="Y3460">
        <v>0</v>
      </c>
      <c r="Z3460">
        <v>0</v>
      </c>
      <c r="AA3460">
        <v>0</v>
      </c>
      <c r="AB3460" s="3">
        <v>42562</v>
      </c>
      <c r="AC3460" t="s">
        <v>53</v>
      </c>
      <c r="AD3460" t="s">
        <v>53</v>
      </c>
      <c r="AK3460">
        <v>0</v>
      </c>
      <c r="AU3460" s="3">
        <v>42431</v>
      </c>
      <c r="AV3460" s="3">
        <v>42431</v>
      </c>
      <c r="AW3460" t="s">
        <v>54</v>
      </c>
      <c r="AX3460" t="str">
        <f t="shared" si="409"/>
        <v>FOR</v>
      </c>
      <c r="AY3460" t="s">
        <v>55</v>
      </c>
    </row>
    <row r="3461" spans="1:51" hidden="1">
      <c r="A3461">
        <v>106251</v>
      </c>
      <c r="B3461" t="s">
        <v>426</v>
      </c>
      <c r="C3461" t="str">
        <f t="shared" si="410"/>
        <v>01296201005</v>
      </c>
      <c r="D3461" t="str">
        <f t="shared" si="411"/>
        <v>04742650585</v>
      </c>
      <c r="E3461" t="s">
        <v>52</v>
      </c>
      <c r="F3461">
        <v>2015</v>
      </c>
      <c r="G3461" t="str">
        <f>"            11502/V2"</f>
        <v xml:space="preserve">            11502/V2</v>
      </c>
      <c r="H3461" s="3">
        <v>42132</v>
      </c>
      <c r="I3461" s="3">
        <v>42158</v>
      </c>
      <c r="J3461" s="3">
        <v>42138</v>
      </c>
      <c r="K3461" s="3">
        <v>42198</v>
      </c>
      <c r="L3461"/>
      <c r="N3461"/>
      <c r="O3461">
        <v>192</v>
      </c>
      <c r="P3461">
        <v>254</v>
      </c>
      <c r="Q3461" s="4">
        <v>48768</v>
      </c>
      <c r="R3461">
        <v>0</v>
      </c>
      <c r="V3461">
        <v>0</v>
      </c>
      <c r="W3461">
        <v>0</v>
      </c>
      <c r="X3461">
        <v>0</v>
      </c>
      <c r="Y3461">
        <v>0</v>
      </c>
      <c r="Z3461">
        <v>0</v>
      </c>
      <c r="AA3461">
        <v>0</v>
      </c>
      <c r="AB3461" s="3">
        <v>42562</v>
      </c>
      <c r="AC3461" t="s">
        <v>53</v>
      </c>
      <c r="AD3461" t="s">
        <v>53</v>
      </c>
      <c r="AK3461">
        <v>0</v>
      </c>
      <c r="AU3461" s="3">
        <v>42452</v>
      </c>
      <c r="AV3461" s="3">
        <v>42452</v>
      </c>
      <c r="AW3461" t="s">
        <v>54</v>
      </c>
      <c r="AX3461" t="str">
        <f t="shared" si="409"/>
        <v>FOR</v>
      </c>
      <c r="AY3461" t="s">
        <v>55</v>
      </c>
    </row>
    <row r="3462" spans="1:51" hidden="1">
      <c r="A3462">
        <v>106251</v>
      </c>
      <c r="B3462" t="s">
        <v>426</v>
      </c>
      <c r="C3462" t="str">
        <f t="shared" si="410"/>
        <v>01296201005</v>
      </c>
      <c r="D3462" t="str">
        <f t="shared" si="411"/>
        <v>04742650585</v>
      </c>
      <c r="E3462" t="s">
        <v>52</v>
      </c>
      <c r="F3462">
        <v>2015</v>
      </c>
      <c r="G3462" t="str">
        <f>"            11581/V2"</f>
        <v xml:space="preserve">            11581/V2</v>
      </c>
      <c r="H3462" s="3">
        <v>42139</v>
      </c>
      <c r="I3462" s="3">
        <v>42163</v>
      </c>
      <c r="J3462" s="3">
        <v>42159</v>
      </c>
      <c r="K3462" s="3">
        <v>42219</v>
      </c>
      <c r="L3462"/>
      <c r="N3462"/>
      <c r="O3462">
        <v>270</v>
      </c>
      <c r="P3462">
        <v>233</v>
      </c>
      <c r="Q3462" s="4">
        <v>62910</v>
      </c>
      <c r="R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 s="3">
        <v>42562</v>
      </c>
      <c r="AC3462" t="s">
        <v>53</v>
      </c>
      <c r="AD3462" t="s">
        <v>53</v>
      </c>
      <c r="AK3462">
        <v>0</v>
      </c>
      <c r="AU3462" s="3">
        <v>42452</v>
      </c>
      <c r="AV3462" s="3">
        <v>42452</v>
      </c>
      <c r="AW3462" t="s">
        <v>54</v>
      </c>
      <c r="AX3462" t="str">
        <f t="shared" si="409"/>
        <v>FOR</v>
      </c>
      <c r="AY3462" t="s">
        <v>55</v>
      </c>
    </row>
    <row r="3463" spans="1:51">
      <c r="A3463">
        <v>106251</v>
      </c>
      <c r="B3463" t="s">
        <v>426</v>
      </c>
      <c r="C3463" t="str">
        <f t="shared" si="410"/>
        <v>01296201005</v>
      </c>
      <c r="D3463" t="str">
        <f t="shared" si="411"/>
        <v>04742650585</v>
      </c>
      <c r="E3463" t="s">
        <v>52</v>
      </c>
      <c r="F3463">
        <v>2015</v>
      </c>
      <c r="G3463" t="str">
        <f>"            11864/V2"</f>
        <v xml:space="preserve">            11864/V2</v>
      </c>
      <c r="H3463" s="3">
        <v>42163</v>
      </c>
      <c r="I3463" s="3">
        <v>42199</v>
      </c>
      <c r="J3463" s="3">
        <v>42198</v>
      </c>
      <c r="K3463" s="3">
        <v>42258</v>
      </c>
      <c r="L3463" s="1">
        <v>270</v>
      </c>
      <c r="M3463">
        <v>262</v>
      </c>
      <c r="N3463" s="5">
        <v>70740</v>
      </c>
      <c r="O3463">
        <v>270</v>
      </c>
      <c r="P3463">
        <v>262</v>
      </c>
      <c r="Q3463" s="4">
        <v>70740</v>
      </c>
      <c r="R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 s="3">
        <v>42562</v>
      </c>
      <c r="AC3463" t="s">
        <v>53</v>
      </c>
      <c r="AD3463" t="s">
        <v>53</v>
      </c>
      <c r="AK3463">
        <v>0</v>
      </c>
      <c r="AU3463" s="3">
        <v>42520</v>
      </c>
      <c r="AV3463" s="3">
        <v>42520</v>
      </c>
      <c r="AW3463" t="s">
        <v>54</v>
      </c>
      <c r="AX3463" t="str">
        <f t="shared" si="409"/>
        <v>FOR</v>
      </c>
      <c r="AY3463" t="s">
        <v>55</v>
      </c>
    </row>
    <row r="3464" spans="1:51">
      <c r="A3464">
        <v>106251</v>
      </c>
      <c r="B3464" t="s">
        <v>426</v>
      </c>
      <c r="C3464" t="str">
        <f t="shared" si="410"/>
        <v>01296201005</v>
      </c>
      <c r="D3464" t="str">
        <f t="shared" si="411"/>
        <v>04742650585</v>
      </c>
      <c r="E3464" t="s">
        <v>52</v>
      </c>
      <c r="F3464">
        <v>2015</v>
      </c>
      <c r="G3464" t="str">
        <f>"            12027/V2"</f>
        <v xml:space="preserve">            12027/V2</v>
      </c>
      <c r="H3464" s="3">
        <v>42174</v>
      </c>
      <c r="I3464" s="3">
        <v>42202</v>
      </c>
      <c r="J3464" s="3">
        <v>42201</v>
      </c>
      <c r="K3464" s="3">
        <v>42261</v>
      </c>
      <c r="L3464" s="1">
        <v>310</v>
      </c>
      <c r="M3464">
        <v>259</v>
      </c>
      <c r="N3464" s="5">
        <v>80290</v>
      </c>
      <c r="O3464">
        <v>310</v>
      </c>
      <c r="P3464">
        <v>259</v>
      </c>
      <c r="Q3464" s="4">
        <v>80290</v>
      </c>
      <c r="R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 s="3">
        <v>42562</v>
      </c>
      <c r="AC3464" t="s">
        <v>53</v>
      </c>
      <c r="AD3464" t="s">
        <v>53</v>
      </c>
      <c r="AK3464">
        <v>0</v>
      </c>
      <c r="AU3464" s="3">
        <v>42520</v>
      </c>
      <c r="AV3464" s="3">
        <v>42520</v>
      </c>
      <c r="AW3464" t="s">
        <v>54</v>
      </c>
      <c r="AX3464" t="str">
        <f t="shared" si="409"/>
        <v>FOR</v>
      </c>
      <c r="AY3464" t="s">
        <v>55</v>
      </c>
    </row>
    <row r="3465" spans="1:51">
      <c r="A3465">
        <v>106251</v>
      </c>
      <c r="B3465" t="s">
        <v>426</v>
      </c>
      <c r="C3465" t="str">
        <f t="shared" si="410"/>
        <v>01296201005</v>
      </c>
      <c r="D3465" t="str">
        <f t="shared" si="411"/>
        <v>04742650585</v>
      </c>
      <c r="E3465" t="s">
        <v>52</v>
      </c>
      <c r="F3465">
        <v>2015</v>
      </c>
      <c r="G3465" t="str">
        <f>"            12028/V2"</f>
        <v xml:space="preserve">            12028/V2</v>
      </c>
      <c r="H3465" s="3">
        <v>42174</v>
      </c>
      <c r="I3465" s="3">
        <v>42202</v>
      </c>
      <c r="J3465" s="3">
        <v>42201</v>
      </c>
      <c r="K3465" s="3">
        <v>42261</v>
      </c>
      <c r="L3465" s="1">
        <v>576</v>
      </c>
      <c r="M3465">
        <v>259</v>
      </c>
      <c r="N3465" s="5">
        <v>149184</v>
      </c>
      <c r="O3465">
        <v>576</v>
      </c>
      <c r="P3465">
        <v>259</v>
      </c>
      <c r="Q3465" s="4">
        <v>149184</v>
      </c>
      <c r="R3465">
        <v>0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 s="3">
        <v>42562</v>
      </c>
      <c r="AC3465" t="s">
        <v>53</v>
      </c>
      <c r="AD3465" t="s">
        <v>53</v>
      </c>
      <c r="AK3465">
        <v>0</v>
      </c>
      <c r="AU3465" s="3">
        <v>42520</v>
      </c>
      <c r="AV3465" s="3">
        <v>42520</v>
      </c>
      <c r="AW3465" t="s">
        <v>54</v>
      </c>
      <c r="AX3465" t="str">
        <f t="shared" si="409"/>
        <v>FOR</v>
      </c>
      <c r="AY3465" t="s">
        <v>55</v>
      </c>
    </row>
    <row r="3466" spans="1:51">
      <c r="A3466">
        <v>106251</v>
      </c>
      <c r="B3466" t="s">
        <v>426</v>
      </c>
      <c r="C3466" t="str">
        <f t="shared" si="410"/>
        <v>01296201005</v>
      </c>
      <c r="D3466" t="str">
        <f t="shared" si="411"/>
        <v>04742650585</v>
      </c>
      <c r="E3466" t="s">
        <v>52</v>
      </c>
      <c r="F3466">
        <v>2015</v>
      </c>
      <c r="G3466" t="str">
        <f>"            12214/V2"</f>
        <v xml:space="preserve">            12214/V2</v>
      </c>
      <c r="H3466" s="3">
        <v>42185</v>
      </c>
      <c r="I3466" s="3">
        <v>42199</v>
      </c>
      <c r="J3466" s="3">
        <v>42198</v>
      </c>
      <c r="K3466" s="3">
        <v>42258</v>
      </c>
      <c r="L3466" s="1">
        <v>310</v>
      </c>
      <c r="M3466">
        <v>262</v>
      </c>
      <c r="N3466" s="5">
        <v>81220</v>
      </c>
      <c r="O3466">
        <v>310</v>
      </c>
      <c r="P3466">
        <v>262</v>
      </c>
      <c r="Q3466" s="4">
        <v>81220</v>
      </c>
      <c r="R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 s="3">
        <v>42562</v>
      </c>
      <c r="AC3466" t="s">
        <v>53</v>
      </c>
      <c r="AD3466" t="s">
        <v>53</v>
      </c>
      <c r="AK3466">
        <v>0</v>
      </c>
      <c r="AU3466" s="3">
        <v>42520</v>
      </c>
      <c r="AV3466" s="3">
        <v>42520</v>
      </c>
      <c r="AW3466" t="s">
        <v>54</v>
      </c>
      <c r="AX3466" t="str">
        <f t="shared" si="409"/>
        <v>FOR</v>
      </c>
      <c r="AY3466" t="s">
        <v>55</v>
      </c>
    </row>
    <row r="3467" spans="1:51" hidden="1">
      <c r="A3467">
        <v>106268</v>
      </c>
      <c r="B3467" t="s">
        <v>427</v>
      </c>
      <c r="C3467" t="str">
        <f>"06855941214"</f>
        <v>06855941214</v>
      </c>
      <c r="D3467" t="str">
        <f>"MRZRNG74L70C495L"</f>
        <v>MRZRNG74L70C495L</v>
      </c>
      <c r="E3467" t="s">
        <v>52</v>
      </c>
      <c r="F3467">
        <v>2016</v>
      </c>
      <c r="G3467" t="str">
        <f>"         FATTPA 1_16"</f>
        <v xml:space="preserve">         FATTPA 1_16</v>
      </c>
      <c r="H3467" s="3">
        <v>42380</v>
      </c>
      <c r="I3467" s="3">
        <v>42382</v>
      </c>
      <c r="J3467" s="3">
        <v>42380</v>
      </c>
      <c r="K3467" s="3">
        <v>42440</v>
      </c>
      <c r="L3467"/>
      <c r="N3467"/>
      <c r="O3467" s="4">
        <v>2024.91</v>
      </c>
      <c r="P3467">
        <v>-43</v>
      </c>
      <c r="Q3467" s="4">
        <v>-87071.13</v>
      </c>
      <c r="R3467">
        <v>0</v>
      </c>
      <c r="V3467">
        <v>0</v>
      </c>
      <c r="W3467">
        <v>0</v>
      </c>
      <c r="X3467">
        <v>0</v>
      </c>
      <c r="Y3467" s="4">
        <v>2024.91</v>
      </c>
      <c r="Z3467" s="4">
        <v>2024.91</v>
      </c>
      <c r="AA3467" s="4">
        <v>2024.91</v>
      </c>
      <c r="AB3467" s="3">
        <v>42562</v>
      </c>
      <c r="AC3467" t="s">
        <v>53</v>
      </c>
      <c r="AD3467" t="s">
        <v>53</v>
      </c>
      <c r="AK3467">
        <v>0</v>
      </c>
      <c r="AU3467" s="3">
        <v>42397</v>
      </c>
      <c r="AV3467" s="3">
        <v>42397</v>
      </c>
      <c r="AW3467" t="s">
        <v>54</v>
      </c>
      <c r="AX3467" t="str">
        <f t="shared" ref="AX3467:AX3489" si="412">"ALTPRO"</f>
        <v>ALTPRO</v>
      </c>
      <c r="AY3467" t="s">
        <v>93</v>
      </c>
    </row>
    <row r="3468" spans="1:51" hidden="1">
      <c r="A3468">
        <v>106268</v>
      </c>
      <c r="B3468" t="s">
        <v>427</v>
      </c>
      <c r="C3468" t="str">
        <f>"06855941214"</f>
        <v>06855941214</v>
      </c>
      <c r="D3468" t="str">
        <f>"MRZRNG74L70C495L"</f>
        <v>MRZRNG74L70C495L</v>
      </c>
      <c r="E3468" t="s">
        <v>52</v>
      </c>
      <c r="F3468">
        <v>2016</v>
      </c>
      <c r="G3468" t="str">
        <f>"         FATTPA 2_16"</f>
        <v xml:space="preserve">         FATTPA 2_16</v>
      </c>
      <c r="H3468" s="3">
        <v>42410</v>
      </c>
      <c r="I3468" s="3">
        <v>42412</v>
      </c>
      <c r="J3468" s="3">
        <v>42410</v>
      </c>
      <c r="K3468" s="3">
        <v>42470</v>
      </c>
      <c r="L3468"/>
      <c r="N3468"/>
      <c r="O3468" s="4">
        <v>2024.91</v>
      </c>
      <c r="P3468">
        <v>-44</v>
      </c>
      <c r="Q3468" s="4">
        <v>-89096.04</v>
      </c>
      <c r="R3468">
        <v>0</v>
      </c>
      <c r="V3468">
        <v>0</v>
      </c>
      <c r="W3468">
        <v>0</v>
      </c>
      <c r="X3468">
        <v>0</v>
      </c>
      <c r="Y3468" s="4">
        <v>2024.91</v>
      </c>
      <c r="Z3468" s="4">
        <v>2024.91</v>
      </c>
      <c r="AA3468" s="4">
        <v>2024.91</v>
      </c>
      <c r="AB3468" s="3">
        <v>42562</v>
      </c>
      <c r="AC3468" t="s">
        <v>53</v>
      </c>
      <c r="AD3468" t="s">
        <v>53</v>
      </c>
      <c r="AK3468">
        <v>0</v>
      </c>
      <c r="AU3468" s="3">
        <v>42426</v>
      </c>
      <c r="AV3468" s="3">
        <v>42426</v>
      </c>
      <c r="AW3468" t="s">
        <v>54</v>
      </c>
      <c r="AX3468" t="str">
        <f t="shared" si="412"/>
        <v>ALTPRO</v>
      </c>
      <c r="AY3468" t="s">
        <v>93</v>
      </c>
    </row>
    <row r="3469" spans="1:51" hidden="1">
      <c r="A3469">
        <v>106268</v>
      </c>
      <c r="B3469" t="s">
        <v>427</v>
      </c>
      <c r="C3469" t="str">
        <f>"06855941214"</f>
        <v>06855941214</v>
      </c>
      <c r="D3469" t="str">
        <f>"MRZRNG74L70C495L"</f>
        <v>MRZRNG74L70C495L</v>
      </c>
      <c r="E3469" t="s">
        <v>52</v>
      </c>
      <c r="F3469">
        <v>2016</v>
      </c>
      <c r="G3469" t="str">
        <f>"         FATTPA 3_16"</f>
        <v xml:space="preserve">         FATTPA 3_16</v>
      </c>
      <c r="H3469" s="3">
        <v>42429</v>
      </c>
      <c r="I3469" s="3">
        <v>42431</v>
      </c>
      <c r="J3469" s="3">
        <v>42429</v>
      </c>
      <c r="K3469" s="3">
        <v>42489</v>
      </c>
      <c r="L3469"/>
      <c r="N3469"/>
      <c r="O3469" s="4">
        <v>2109.1999999999998</v>
      </c>
      <c r="P3469">
        <v>-38</v>
      </c>
      <c r="Q3469" s="4">
        <v>-80149.600000000006</v>
      </c>
      <c r="R3469">
        <v>0</v>
      </c>
      <c r="V3469">
        <v>0</v>
      </c>
      <c r="W3469">
        <v>0</v>
      </c>
      <c r="X3469">
        <v>0</v>
      </c>
      <c r="Y3469" s="4">
        <v>2109.1999999999998</v>
      </c>
      <c r="Z3469" s="4">
        <v>2109.1999999999998</v>
      </c>
      <c r="AA3469" s="4">
        <v>2109.1999999999998</v>
      </c>
      <c r="AB3469" s="3">
        <v>42562</v>
      </c>
      <c r="AC3469" t="s">
        <v>53</v>
      </c>
      <c r="AD3469" t="s">
        <v>53</v>
      </c>
      <c r="AK3469">
        <v>0</v>
      </c>
      <c r="AU3469" s="3">
        <v>42451</v>
      </c>
      <c r="AV3469" s="3">
        <v>42451</v>
      </c>
      <c r="AW3469" t="s">
        <v>54</v>
      </c>
      <c r="AX3469" t="str">
        <f t="shared" si="412"/>
        <v>ALTPRO</v>
      </c>
      <c r="AY3469" t="s">
        <v>93</v>
      </c>
    </row>
    <row r="3470" spans="1:51">
      <c r="A3470">
        <v>106268</v>
      </c>
      <c r="B3470" t="s">
        <v>427</v>
      </c>
      <c r="C3470" t="str">
        <f>"06855941214"</f>
        <v>06855941214</v>
      </c>
      <c r="D3470" t="str">
        <f>"MRZRNG74L70C495L"</f>
        <v>MRZRNG74L70C495L</v>
      </c>
      <c r="E3470" t="s">
        <v>52</v>
      </c>
      <c r="F3470">
        <v>2016</v>
      </c>
      <c r="G3470" t="str">
        <f>"         FATTPA 4_16"</f>
        <v xml:space="preserve">         FATTPA 4_16</v>
      </c>
      <c r="H3470" s="3">
        <v>42466</v>
      </c>
      <c r="I3470" s="3">
        <v>42467</v>
      </c>
      <c r="J3470" s="3">
        <v>42466</v>
      </c>
      <c r="K3470" s="3">
        <v>42526</v>
      </c>
      <c r="L3470" s="5">
        <v>2193.4899999999998</v>
      </c>
      <c r="M3470">
        <v>-39</v>
      </c>
      <c r="N3470" s="5">
        <v>-85546.11</v>
      </c>
      <c r="O3470" s="4">
        <v>2193.4899999999998</v>
      </c>
      <c r="P3470">
        <v>-39</v>
      </c>
      <c r="Q3470" s="4">
        <v>-85546.11</v>
      </c>
      <c r="R3470">
        <v>0</v>
      </c>
      <c r="V3470">
        <v>-547.87</v>
      </c>
      <c r="W3470" s="4">
        <v>2193.4899999999998</v>
      </c>
      <c r="X3470" s="4">
        <v>2193.4899999999998</v>
      </c>
      <c r="Y3470" s="4">
        <v>2193.4899999999998</v>
      </c>
      <c r="Z3470" s="4">
        <v>2193.4899999999998</v>
      </c>
      <c r="AA3470" s="4">
        <v>2193.4899999999998</v>
      </c>
      <c r="AB3470" s="3">
        <v>42562</v>
      </c>
      <c r="AC3470" t="s">
        <v>53</v>
      </c>
      <c r="AD3470" t="s">
        <v>53</v>
      </c>
      <c r="AK3470">
        <v>0</v>
      </c>
      <c r="AU3470" s="3">
        <v>42487</v>
      </c>
      <c r="AV3470" s="3">
        <v>42487</v>
      </c>
      <c r="AW3470" t="s">
        <v>54</v>
      </c>
      <c r="AX3470" t="str">
        <f t="shared" si="412"/>
        <v>ALTPRO</v>
      </c>
      <c r="AY3470" t="s">
        <v>93</v>
      </c>
    </row>
    <row r="3471" spans="1:51">
      <c r="A3471">
        <v>106268</v>
      </c>
      <c r="B3471" t="s">
        <v>427</v>
      </c>
      <c r="C3471" t="str">
        <f>"06855941214"</f>
        <v>06855941214</v>
      </c>
      <c r="D3471" t="str">
        <f>"MRZRNG74L70C495L"</f>
        <v>MRZRNG74L70C495L</v>
      </c>
      <c r="E3471" t="s">
        <v>52</v>
      </c>
      <c r="F3471">
        <v>2016</v>
      </c>
      <c r="G3471" t="str">
        <f>"         FATTPA 5_16"</f>
        <v xml:space="preserve">         FATTPA 5_16</v>
      </c>
      <c r="H3471" s="3">
        <v>42502</v>
      </c>
      <c r="I3471" s="3">
        <v>42507</v>
      </c>
      <c r="J3471" s="3">
        <v>42502</v>
      </c>
      <c r="K3471" s="3">
        <v>42562</v>
      </c>
      <c r="L3471" s="5">
        <v>2109.1999999999998</v>
      </c>
      <c r="M3471">
        <v>-46</v>
      </c>
      <c r="N3471" s="5">
        <v>-97023.2</v>
      </c>
      <c r="O3471" s="4">
        <v>2109.1999999999998</v>
      </c>
      <c r="P3471">
        <v>-46</v>
      </c>
      <c r="Q3471" s="4">
        <v>-97023.2</v>
      </c>
      <c r="R3471">
        <v>0</v>
      </c>
      <c r="V3471" s="4">
        <v>2109.1999999999998</v>
      </c>
      <c r="W3471" s="4">
        <v>2109.1999999999998</v>
      </c>
      <c r="X3471" s="4">
        <v>2109.1999999999998</v>
      </c>
      <c r="Y3471" s="4">
        <v>2109.1999999999998</v>
      </c>
      <c r="Z3471" s="4">
        <v>2109.1999999999998</v>
      </c>
      <c r="AA3471" s="4">
        <v>2109.1999999999998</v>
      </c>
      <c r="AB3471" s="3">
        <v>42562</v>
      </c>
      <c r="AC3471" t="s">
        <v>53</v>
      </c>
      <c r="AD3471" t="s">
        <v>53</v>
      </c>
      <c r="AK3471">
        <v>0</v>
      </c>
      <c r="AU3471" s="3">
        <v>42516</v>
      </c>
      <c r="AV3471" s="3">
        <v>42516</v>
      </c>
      <c r="AW3471" t="s">
        <v>54</v>
      </c>
      <c r="AX3471" t="str">
        <f t="shared" si="412"/>
        <v>ALTPRO</v>
      </c>
      <c r="AY3471" t="s">
        <v>93</v>
      </c>
    </row>
    <row r="3472" spans="1:51" hidden="1">
      <c r="A3472">
        <v>106269</v>
      </c>
      <c r="B3472" t="s">
        <v>428</v>
      </c>
      <c r="C3472" t="str">
        <f>"05148261216"</f>
        <v>05148261216</v>
      </c>
      <c r="D3472" t="str">
        <f>"DLLVCN78P27F839A"</f>
        <v>DLLVCN78P27F839A</v>
      </c>
      <c r="E3472" t="s">
        <v>52</v>
      </c>
      <c r="F3472">
        <v>2016</v>
      </c>
      <c r="G3472" t="str">
        <f>"         FATTPA 1_16"</f>
        <v xml:space="preserve">         FATTPA 1_16</v>
      </c>
      <c r="H3472" s="3">
        <v>42376</v>
      </c>
      <c r="I3472" s="3">
        <v>42377</v>
      </c>
      <c r="J3472" s="3">
        <v>42376</v>
      </c>
      <c r="K3472" s="3">
        <v>42436</v>
      </c>
      <c r="L3472"/>
      <c r="N3472"/>
      <c r="O3472" s="4">
        <v>2024.91</v>
      </c>
      <c r="P3472">
        <v>-39</v>
      </c>
      <c r="Q3472" s="4">
        <v>-78971.490000000005</v>
      </c>
      <c r="R3472">
        <v>0</v>
      </c>
      <c r="V3472">
        <v>0</v>
      </c>
      <c r="W3472">
        <v>0</v>
      </c>
      <c r="X3472">
        <v>0</v>
      </c>
      <c r="Y3472" s="4">
        <v>2024.91</v>
      </c>
      <c r="Z3472" s="4">
        <v>2024.91</v>
      </c>
      <c r="AA3472" s="4">
        <v>2024.91</v>
      </c>
      <c r="AB3472" s="3">
        <v>42562</v>
      </c>
      <c r="AC3472" t="s">
        <v>53</v>
      </c>
      <c r="AD3472" t="s">
        <v>53</v>
      </c>
      <c r="AK3472">
        <v>0</v>
      </c>
      <c r="AU3472" s="3">
        <v>42397</v>
      </c>
      <c r="AV3472" s="3">
        <v>42397</v>
      </c>
      <c r="AW3472" t="s">
        <v>54</v>
      </c>
      <c r="AX3472" t="str">
        <f t="shared" si="412"/>
        <v>ALTPRO</v>
      </c>
      <c r="AY3472" t="s">
        <v>93</v>
      </c>
    </row>
    <row r="3473" spans="1:51" hidden="1">
      <c r="A3473">
        <v>106269</v>
      </c>
      <c r="B3473" t="s">
        <v>428</v>
      </c>
      <c r="C3473" t="str">
        <f>"05148261216"</f>
        <v>05148261216</v>
      </c>
      <c r="D3473" t="str">
        <f>"DLLVCN78P27F839A"</f>
        <v>DLLVCN78P27F839A</v>
      </c>
      <c r="E3473" t="s">
        <v>52</v>
      </c>
      <c r="F3473">
        <v>2016</v>
      </c>
      <c r="G3473" t="str">
        <f>"         FATTPA 2_16"</f>
        <v xml:space="preserve">         FATTPA 2_16</v>
      </c>
      <c r="H3473" s="3">
        <v>42398</v>
      </c>
      <c r="I3473" s="3">
        <v>42402</v>
      </c>
      <c r="J3473" s="3">
        <v>42398</v>
      </c>
      <c r="K3473" s="3">
        <v>42458</v>
      </c>
      <c r="L3473"/>
      <c r="N3473"/>
      <c r="O3473" s="4">
        <v>2024.91</v>
      </c>
      <c r="P3473">
        <v>-54</v>
      </c>
      <c r="Q3473" s="4">
        <v>-109345.14</v>
      </c>
      <c r="R3473">
        <v>0</v>
      </c>
      <c r="V3473">
        <v>0</v>
      </c>
      <c r="W3473">
        <v>0</v>
      </c>
      <c r="X3473">
        <v>0</v>
      </c>
      <c r="Y3473" s="4">
        <v>2024.91</v>
      </c>
      <c r="Z3473" s="4">
        <v>2024.91</v>
      </c>
      <c r="AA3473" s="4">
        <v>2024.91</v>
      </c>
      <c r="AB3473" s="3">
        <v>42562</v>
      </c>
      <c r="AC3473" t="s">
        <v>53</v>
      </c>
      <c r="AD3473" t="s">
        <v>53</v>
      </c>
      <c r="AK3473">
        <v>0</v>
      </c>
      <c r="AU3473" s="3">
        <v>42404</v>
      </c>
      <c r="AV3473" s="3">
        <v>42404</v>
      </c>
      <c r="AW3473" t="s">
        <v>54</v>
      </c>
      <c r="AX3473" t="str">
        <f t="shared" si="412"/>
        <v>ALTPRO</v>
      </c>
      <c r="AY3473" t="s">
        <v>93</v>
      </c>
    </row>
    <row r="3474" spans="1:51" hidden="1">
      <c r="A3474">
        <v>106269</v>
      </c>
      <c r="B3474" t="s">
        <v>428</v>
      </c>
      <c r="C3474" t="str">
        <f>"05148261216"</f>
        <v>05148261216</v>
      </c>
      <c r="D3474" t="str">
        <f>"DLLVCN78P27F839A"</f>
        <v>DLLVCN78P27F839A</v>
      </c>
      <c r="E3474" t="s">
        <v>52</v>
      </c>
      <c r="F3474">
        <v>2016</v>
      </c>
      <c r="G3474" t="str">
        <f>"         FATTPA 3_16"</f>
        <v xml:space="preserve">         FATTPA 3_16</v>
      </c>
      <c r="H3474" s="3">
        <v>42429</v>
      </c>
      <c r="I3474" s="3">
        <v>42431</v>
      </c>
      <c r="J3474" s="3">
        <v>42429</v>
      </c>
      <c r="K3474" s="3">
        <v>42489</v>
      </c>
      <c r="L3474"/>
      <c r="N3474"/>
      <c r="O3474" s="4">
        <v>2109.1999999999998</v>
      </c>
      <c r="P3474">
        <v>-38</v>
      </c>
      <c r="Q3474" s="4">
        <v>-80149.600000000006</v>
      </c>
      <c r="R3474">
        <v>0</v>
      </c>
      <c r="V3474">
        <v>0</v>
      </c>
      <c r="W3474">
        <v>0</v>
      </c>
      <c r="X3474">
        <v>0</v>
      </c>
      <c r="Y3474" s="4">
        <v>2109.1999999999998</v>
      </c>
      <c r="Z3474" s="4">
        <v>2109.1999999999998</v>
      </c>
      <c r="AA3474" s="4">
        <v>2109.1999999999998</v>
      </c>
      <c r="AB3474" s="3">
        <v>42562</v>
      </c>
      <c r="AC3474" t="s">
        <v>53</v>
      </c>
      <c r="AD3474" t="s">
        <v>53</v>
      </c>
      <c r="AK3474">
        <v>0</v>
      </c>
      <c r="AU3474" s="3">
        <v>42451</v>
      </c>
      <c r="AV3474" s="3">
        <v>42451</v>
      </c>
      <c r="AW3474" t="s">
        <v>54</v>
      </c>
      <c r="AX3474" t="str">
        <f t="shared" si="412"/>
        <v>ALTPRO</v>
      </c>
      <c r="AY3474" t="s">
        <v>93</v>
      </c>
    </row>
    <row r="3475" spans="1:51">
      <c r="A3475">
        <v>106269</v>
      </c>
      <c r="B3475" t="s">
        <v>428</v>
      </c>
      <c r="C3475" t="str">
        <f>"05148261216"</f>
        <v>05148261216</v>
      </c>
      <c r="D3475" t="str">
        <f>"DLLVCN78P27F839A"</f>
        <v>DLLVCN78P27F839A</v>
      </c>
      <c r="E3475" t="s">
        <v>52</v>
      </c>
      <c r="F3475">
        <v>2016</v>
      </c>
      <c r="G3475" t="str">
        <f>"         FATTPA 4_16"</f>
        <v xml:space="preserve">         FATTPA 4_16</v>
      </c>
      <c r="H3475" s="3">
        <v>42461</v>
      </c>
      <c r="I3475" s="3">
        <v>42464</v>
      </c>
      <c r="J3475" s="3">
        <v>42461</v>
      </c>
      <c r="K3475" s="3">
        <v>42521</v>
      </c>
      <c r="L3475" s="5">
        <v>2193.4899999999998</v>
      </c>
      <c r="M3475">
        <v>-34</v>
      </c>
      <c r="N3475" s="5">
        <v>-74578.66</v>
      </c>
      <c r="O3475" s="4">
        <v>2193.4899999999998</v>
      </c>
      <c r="P3475">
        <v>-34</v>
      </c>
      <c r="Q3475" s="4">
        <v>-74578.66</v>
      </c>
      <c r="R3475">
        <v>0</v>
      </c>
      <c r="V3475">
        <v>-547.87</v>
      </c>
      <c r="W3475" s="4">
        <v>2193.4899999999998</v>
      </c>
      <c r="X3475" s="4">
        <v>2193.4899999999998</v>
      </c>
      <c r="Y3475" s="4">
        <v>2193.4899999999998</v>
      </c>
      <c r="Z3475" s="4">
        <v>2193.4899999999998</v>
      </c>
      <c r="AA3475" s="4">
        <v>2193.4899999999998</v>
      </c>
      <c r="AB3475" s="3">
        <v>42562</v>
      </c>
      <c r="AC3475" t="s">
        <v>53</v>
      </c>
      <c r="AD3475" t="s">
        <v>53</v>
      </c>
      <c r="AK3475">
        <v>0</v>
      </c>
      <c r="AU3475" s="3">
        <v>42487</v>
      </c>
      <c r="AV3475" s="3">
        <v>42487</v>
      </c>
      <c r="AW3475" t="s">
        <v>54</v>
      </c>
      <c r="AX3475" t="str">
        <f t="shared" si="412"/>
        <v>ALTPRO</v>
      </c>
      <c r="AY3475" t="s">
        <v>93</v>
      </c>
    </row>
    <row r="3476" spans="1:51">
      <c r="A3476">
        <v>106269</v>
      </c>
      <c r="B3476" t="s">
        <v>428</v>
      </c>
      <c r="C3476" t="str">
        <f>"05148261216"</f>
        <v>05148261216</v>
      </c>
      <c r="D3476" t="str">
        <f>"DLLVCN78P27F839A"</f>
        <v>DLLVCN78P27F839A</v>
      </c>
      <c r="E3476" t="s">
        <v>52</v>
      </c>
      <c r="F3476">
        <v>2016</v>
      </c>
      <c r="G3476" t="str">
        <f>"         FATTPA 5_16"</f>
        <v xml:space="preserve">         FATTPA 5_16</v>
      </c>
      <c r="H3476" s="3">
        <v>42496</v>
      </c>
      <c r="I3476" s="3">
        <v>42499</v>
      </c>
      <c r="J3476" s="3">
        <v>42496</v>
      </c>
      <c r="K3476" s="3">
        <v>42556</v>
      </c>
      <c r="L3476" s="5">
        <v>2109.1999999999998</v>
      </c>
      <c r="M3476">
        <v>-40</v>
      </c>
      <c r="N3476" s="5">
        <v>-84368</v>
      </c>
      <c r="O3476" s="4">
        <v>2109.1999999999998</v>
      </c>
      <c r="P3476">
        <v>-40</v>
      </c>
      <c r="Q3476" s="4">
        <v>-84368</v>
      </c>
      <c r="R3476">
        <v>0</v>
      </c>
      <c r="V3476" s="4">
        <v>2109.1999999999998</v>
      </c>
      <c r="W3476" s="4">
        <v>2109.1999999999998</v>
      </c>
      <c r="X3476" s="4">
        <v>2109.1999999999998</v>
      </c>
      <c r="Y3476" s="4">
        <v>2109.1999999999998</v>
      </c>
      <c r="Z3476" s="4">
        <v>2109.1999999999998</v>
      </c>
      <c r="AA3476" s="4">
        <v>2109.1999999999998</v>
      </c>
      <c r="AB3476" s="3">
        <v>42562</v>
      </c>
      <c r="AC3476" t="s">
        <v>53</v>
      </c>
      <c r="AD3476" t="s">
        <v>53</v>
      </c>
      <c r="AK3476">
        <v>0</v>
      </c>
      <c r="AU3476" s="3">
        <v>42516</v>
      </c>
      <c r="AV3476" s="3">
        <v>42516</v>
      </c>
      <c r="AW3476" t="s">
        <v>54</v>
      </c>
      <c r="AX3476" t="str">
        <f t="shared" si="412"/>
        <v>ALTPRO</v>
      </c>
      <c r="AY3476" t="s">
        <v>93</v>
      </c>
    </row>
    <row r="3477" spans="1:51" hidden="1">
      <c r="A3477">
        <v>106274</v>
      </c>
      <c r="B3477" t="s">
        <v>429</v>
      </c>
      <c r="C3477" t="str">
        <f>"01123081000"</f>
        <v>01123081000</v>
      </c>
      <c r="D3477" t="str">
        <f>"02828850582"</f>
        <v>02828850582</v>
      </c>
      <c r="E3477" t="s">
        <v>52</v>
      </c>
      <c r="F3477">
        <v>2016</v>
      </c>
      <c r="G3477" t="str">
        <f>"                0120"</f>
        <v xml:space="preserve">                0120</v>
      </c>
      <c r="H3477" s="3">
        <v>42389</v>
      </c>
      <c r="I3477" s="3">
        <v>42390</v>
      </c>
      <c r="J3477" s="3">
        <v>42390</v>
      </c>
      <c r="K3477" s="3">
        <v>42450</v>
      </c>
      <c r="L3477"/>
      <c r="N3477"/>
      <c r="O3477">
        <v>322.45999999999998</v>
      </c>
      <c r="P3477">
        <v>-60</v>
      </c>
      <c r="Q3477" s="4">
        <v>-19347.599999999999</v>
      </c>
      <c r="R3477">
        <v>0</v>
      </c>
      <c r="V3477">
        <v>0</v>
      </c>
      <c r="W3477">
        <v>0</v>
      </c>
      <c r="X3477">
        <v>0</v>
      </c>
      <c r="Y3477">
        <v>322.45999999999998</v>
      </c>
      <c r="Z3477">
        <v>322.45999999999998</v>
      </c>
      <c r="AA3477">
        <v>322.45999999999998</v>
      </c>
      <c r="AB3477" s="3">
        <v>42562</v>
      </c>
      <c r="AC3477" t="s">
        <v>53</v>
      </c>
      <c r="AD3477" t="s">
        <v>53</v>
      </c>
      <c r="AK3477">
        <v>0</v>
      </c>
      <c r="AU3477" s="3">
        <v>42390</v>
      </c>
      <c r="AV3477" s="3">
        <v>42390</v>
      </c>
      <c r="AW3477" t="s">
        <v>54</v>
      </c>
      <c r="AX3477" t="str">
        <f t="shared" si="412"/>
        <v>ALTPRO</v>
      </c>
      <c r="AY3477" t="s">
        <v>93</v>
      </c>
    </row>
    <row r="3478" spans="1:51" hidden="1">
      <c r="A3478">
        <v>106274</v>
      </c>
      <c r="B3478" t="s">
        <v>429</v>
      </c>
      <c r="C3478" t="str">
        <f>"01123081000"</f>
        <v>01123081000</v>
      </c>
      <c r="D3478" t="str">
        <f>"02828850582"</f>
        <v>02828850582</v>
      </c>
      <c r="E3478" t="s">
        <v>52</v>
      </c>
      <c r="F3478">
        <v>2016</v>
      </c>
      <c r="G3478" t="str">
        <f>"                0222"</f>
        <v xml:space="preserve">                0222</v>
      </c>
      <c r="H3478" s="3">
        <v>42422</v>
      </c>
      <c r="I3478" s="3">
        <v>42422</v>
      </c>
      <c r="J3478" s="3">
        <v>42422</v>
      </c>
      <c r="K3478" s="3">
        <v>42482</v>
      </c>
      <c r="L3478"/>
      <c r="N3478"/>
      <c r="O3478">
        <v>322.45999999999998</v>
      </c>
      <c r="P3478">
        <v>-58</v>
      </c>
      <c r="Q3478" s="4">
        <v>-18702.68</v>
      </c>
      <c r="R3478">
        <v>0</v>
      </c>
      <c r="V3478">
        <v>0</v>
      </c>
      <c r="W3478">
        <v>0</v>
      </c>
      <c r="X3478">
        <v>0</v>
      </c>
      <c r="Y3478">
        <v>322.45999999999998</v>
      </c>
      <c r="Z3478">
        <v>322.45999999999998</v>
      </c>
      <c r="AA3478">
        <v>322.45999999999998</v>
      </c>
      <c r="AB3478" s="3">
        <v>42562</v>
      </c>
      <c r="AC3478" t="s">
        <v>53</v>
      </c>
      <c r="AD3478" t="s">
        <v>53</v>
      </c>
      <c r="AK3478">
        <v>0</v>
      </c>
      <c r="AU3478" s="3">
        <v>42424</v>
      </c>
      <c r="AV3478" s="3">
        <v>42424</v>
      </c>
      <c r="AW3478" t="s">
        <v>54</v>
      </c>
      <c r="AX3478" t="str">
        <f t="shared" si="412"/>
        <v>ALTPRO</v>
      </c>
      <c r="AY3478" t="s">
        <v>93</v>
      </c>
    </row>
    <row r="3479" spans="1:51" hidden="1">
      <c r="A3479">
        <v>106274</v>
      </c>
      <c r="B3479" t="s">
        <v>429</v>
      </c>
      <c r="C3479" t="str">
        <f>"01123081000"</f>
        <v>01123081000</v>
      </c>
      <c r="D3479" t="str">
        <f>"02828850582"</f>
        <v>02828850582</v>
      </c>
      <c r="E3479" t="s">
        <v>52</v>
      </c>
      <c r="F3479">
        <v>2016</v>
      </c>
      <c r="G3479" t="str">
        <f>"                0321"</f>
        <v xml:space="preserve">                0321</v>
      </c>
      <c r="H3479" s="3">
        <v>42450</v>
      </c>
      <c r="I3479" s="3">
        <v>42450</v>
      </c>
      <c r="J3479" s="3">
        <v>42450</v>
      </c>
      <c r="K3479" s="3">
        <v>42510</v>
      </c>
      <c r="L3479"/>
      <c r="N3479"/>
      <c r="O3479">
        <v>322.45999999999998</v>
      </c>
      <c r="P3479">
        <v>-57</v>
      </c>
      <c r="Q3479" s="4">
        <v>-18380.22</v>
      </c>
      <c r="R3479">
        <v>0</v>
      </c>
      <c r="V3479">
        <v>0</v>
      </c>
      <c r="W3479">
        <v>0</v>
      </c>
      <c r="X3479">
        <v>0</v>
      </c>
      <c r="Y3479">
        <v>322.45999999999998</v>
      </c>
      <c r="Z3479">
        <v>322.45999999999998</v>
      </c>
      <c r="AA3479">
        <v>322.45999999999998</v>
      </c>
      <c r="AB3479" s="3">
        <v>42562</v>
      </c>
      <c r="AC3479" t="s">
        <v>53</v>
      </c>
      <c r="AD3479" t="s">
        <v>53</v>
      </c>
      <c r="AK3479">
        <v>0</v>
      </c>
      <c r="AU3479" s="3">
        <v>42453</v>
      </c>
      <c r="AV3479" s="3">
        <v>42453</v>
      </c>
      <c r="AW3479" t="s">
        <v>54</v>
      </c>
      <c r="AX3479" t="str">
        <f t="shared" si="412"/>
        <v>ALTPRO</v>
      </c>
      <c r="AY3479" t="s">
        <v>93</v>
      </c>
    </row>
    <row r="3480" spans="1:51" hidden="1">
      <c r="A3480">
        <v>106274</v>
      </c>
      <c r="B3480" t="s">
        <v>429</v>
      </c>
      <c r="C3480" t="str">
        <f>"01123081000"</f>
        <v>01123081000</v>
      </c>
      <c r="D3480" t="str">
        <f>"02828850582"</f>
        <v>02828850582</v>
      </c>
      <c r="E3480" t="s">
        <v>52</v>
      </c>
      <c r="F3480">
        <v>2016</v>
      </c>
      <c r="G3480" t="str">
        <f>"                0421"</f>
        <v xml:space="preserve">                0421</v>
      </c>
      <c r="H3480" s="3">
        <v>42481</v>
      </c>
      <c r="I3480" s="3">
        <v>42481</v>
      </c>
      <c r="J3480" s="3">
        <v>42481</v>
      </c>
      <c r="K3480" s="3">
        <v>42541</v>
      </c>
      <c r="L3480">
        <v>322.45999999999998</v>
      </c>
      <c r="M3480">
        <v>-60</v>
      </c>
      <c r="N3480" s="4">
        <v>-19347.599999999999</v>
      </c>
      <c r="O3480">
        <v>322.45999999999998</v>
      </c>
      <c r="P3480">
        <v>-60</v>
      </c>
      <c r="Q3480" s="4">
        <v>-19347.599999999999</v>
      </c>
      <c r="R3480">
        <v>0</v>
      </c>
      <c r="V3480">
        <v>322.45999999999998</v>
      </c>
      <c r="W3480">
        <v>322.45999999999998</v>
      </c>
      <c r="X3480">
        <v>322.45999999999998</v>
      </c>
      <c r="Y3480">
        <v>322.45999999999998</v>
      </c>
      <c r="Z3480">
        <v>322.45999999999998</v>
      </c>
      <c r="AA3480">
        <v>322.45999999999998</v>
      </c>
      <c r="AB3480" s="3">
        <v>42562</v>
      </c>
      <c r="AC3480" t="s">
        <v>53</v>
      </c>
      <c r="AD3480" t="s">
        <v>53</v>
      </c>
      <c r="AK3480">
        <v>0</v>
      </c>
      <c r="AU3480" s="3">
        <v>42481</v>
      </c>
      <c r="AV3480" s="3">
        <v>42481</v>
      </c>
      <c r="AW3480" t="s">
        <v>54</v>
      </c>
      <c r="AX3480" t="str">
        <f t="shared" si="412"/>
        <v>ALTPRO</v>
      </c>
      <c r="AY3480" t="s">
        <v>93</v>
      </c>
    </row>
    <row r="3481" spans="1:51" hidden="1">
      <c r="A3481">
        <v>106274</v>
      </c>
      <c r="B3481" t="s">
        <v>429</v>
      </c>
      <c r="C3481" t="str">
        <f>"01123081000"</f>
        <v>01123081000</v>
      </c>
      <c r="D3481" t="str">
        <f>"02828850582"</f>
        <v>02828850582</v>
      </c>
      <c r="E3481" t="s">
        <v>52</v>
      </c>
      <c r="F3481">
        <v>2016</v>
      </c>
      <c r="G3481" t="str">
        <f>"                0518"</f>
        <v xml:space="preserve">                0518</v>
      </c>
      <c r="H3481" s="3">
        <v>42508</v>
      </c>
      <c r="I3481" s="3">
        <v>42510</v>
      </c>
      <c r="J3481" s="3">
        <v>42510</v>
      </c>
      <c r="K3481" s="3">
        <v>42570</v>
      </c>
      <c r="L3481">
        <v>322.45999999999998</v>
      </c>
      <c r="M3481">
        <v>-57</v>
      </c>
      <c r="N3481" s="4">
        <v>-18380.22</v>
      </c>
      <c r="O3481">
        <v>322.45999999999998</v>
      </c>
      <c r="P3481">
        <v>-57</v>
      </c>
      <c r="Q3481" s="4">
        <v>-18380.22</v>
      </c>
      <c r="R3481">
        <v>0</v>
      </c>
      <c r="V3481">
        <v>322.45999999999998</v>
      </c>
      <c r="W3481">
        <v>322.45999999999998</v>
      </c>
      <c r="X3481">
        <v>322.45999999999998</v>
      </c>
      <c r="Y3481">
        <v>322.45999999999998</v>
      </c>
      <c r="Z3481">
        <v>322.45999999999998</v>
      </c>
      <c r="AA3481">
        <v>322.45999999999998</v>
      </c>
      <c r="AB3481" s="3">
        <v>42562</v>
      </c>
      <c r="AC3481" t="s">
        <v>53</v>
      </c>
      <c r="AD3481" t="s">
        <v>53</v>
      </c>
      <c r="AK3481">
        <v>0</v>
      </c>
      <c r="AU3481" s="3">
        <v>42513</v>
      </c>
      <c r="AV3481" s="3">
        <v>42513</v>
      </c>
      <c r="AW3481" t="s">
        <v>54</v>
      </c>
      <c r="AX3481" t="str">
        <f t="shared" si="412"/>
        <v>ALTPRO</v>
      </c>
      <c r="AY3481" t="s">
        <v>93</v>
      </c>
    </row>
    <row r="3482" spans="1:51">
      <c r="A3482">
        <v>106277</v>
      </c>
      <c r="B3482" t="s">
        <v>430</v>
      </c>
      <c r="C3482" t="str">
        <f>"01448280626"</f>
        <v>01448280626</v>
      </c>
      <c r="D3482" t="str">
        <f>"MDDGPP72A03I197J"</f>
        <v>MDDGPP72A03I197J</v>
      </c>
      <c r="E3482" t="s">
        <v>52</v>
      </c>
      <c r="F3482">
        <v>2016</v>
      </c>
      <c r="G3482" t="str">
        <f>"      000001-2016-FE"</f>
        <v xml:space="preserve">      000001-2016-FE</v>
      </c>
      <c r="H3482" s="3">
        <v>42445</v>
      </c>
      <c r="I3482" s="3">
        <v>42446</v>
      </c>
      <c r="J3482" s="3">
        <v>42445</v>
      </c>
      <c r="K3482" s="3">
        <v>42505</v>
      </c>
      <c r="L3482" s="5">
        <v>1455.14</v>
      </c>
      <c r="M3482">
        <v>-41</v>
      </c>
      <c r="N3482" s="5">
        <v>-59660.74</v>
      </c>
      <c r="O3482" s="4">
        <v>1455.14</v>
      </c>
      <c r="P3482">
        <v>-41</v>
      </c>
      <c r="Q3482" s="4">
        <v>-59660.74</v>
      </c>
      <c r="R3482">
        <v>0</v>
      </c>
      <c r="V3482">
        <v>0</v>
      </c>
      <c r="W3482">
        <v>0</v>
      </c>
      <c r="X3482">
        <v>0</v>
      </c>
      <c r="Y3482" s="4">
        <v>1455.14</v>
      </c>
      <c r="Z3482" s="4">
        <v>1455.14</v>
      </c>
      <c r="AA3482" s="4">
        <v>1455.14</v>
      </c>
      <c r="AB3482" s="3">
        <v>42562</v>
      </c>
      <c r="AC3482" t="s">
        <v>53</v>
      </c>
      <c r="AD3482" t="s">
        <v>53</v>
      </c>
      <c r="AK3482">
        <v>0</v>
      </c>
      <c r="AU3482" s="3">
        <v>42464</v>
      </c>
      <c r="AV3482" s="3">
        <v>42464</v>
      </c>
      <c r="AW3482" t="s">
        <v>54</v>
      </c>
      <c r="AX3482" t="str">
        <f t="shared" si="412"/>
        <v>ALTPRO</v>
      </c>
      <c r="AY3482" t="s">
        <v>93</v>
      </c>
    </row>
    <row r="3483" spans="1:51" hidden="1">
      <c r="A3483">
        <v>106280</v>
      </c>
      <c r="B3483" t="s">
        <v>431</v>
      </c>
      <c r="C3483" t="str">
        <f>"05993391217"</f>
        <v>05993391217</v>
      </c>
      <c r="D3483" t="str">
        <f>"RFCMDL74L54F839F"</f>
        <v>RFCMDL74L54F839F</v>
      </c>
      <c r="E3483" t="s">
        <v>52</v>
      </c>
      <c r="F3483">
        <v>2016</v>
      </c>
      <c r="G3483" t="str">
        <f>"                1/PA"</f>
        <v xml:space="preserve">                1/PA</v>
      </c>
      <c r="H3483" s="3">
        <v>42432</v>
      </c>
      <c r="I3483" s="3">
        <v>42438</v>
      </c>
      <c r="J3483" s="3">
        <v>42438</v>
      </c>
      <c r="K3483" s="3">
        <v>42498</v>
      </c>
      <c r="L3483"/>
      <c r="N3483"/>
      <c r="O3483" s="4">
        <v>4250</v>
      </c>
      <c r="P3483">
        <v>-47</v>
      </c>
      <c r="Q3483" s="4">
        <v>-199750</v>
      </c>
      <c r="R3483">
        <v>0</v>
      </c>
      <c r="V3483">
        <v>0</v>
      </c>
      <c r="W3483">
        <v>0</v>
      </c>
      <c r="X3483">
        <v>0</v>
      </c>
      <c r="Y3483" s="4">
        <v>4250</v>
      </c>
      <c r="Z3483" s="4">
        <v>4250</v>
      </c>
      <c r="AA3483" s="4">
        <v>4250</v>
      </c>
      <c r="AB3483" s="3">
        <v>42562</v>
      </c>
      <c r="AC3483" t="s">
        <v>53</v>
      </c>
      <c r="AD3483" t="s">
        <v>53</v>
      </c>
      <c r="AK3483">
        <v>0</v>
      </c>
      <c r="AU3483" s="3">
        <v>42451</v>
      </c>
      <c r="AV3483" s="3">
        <v>42451</v>
      </c>
      <c r="AW3483" t="s">
        <v>54</v>
      </c>
      <c r="AX3483" t="str">
        <f t="shared" si="412"/>
        <v>ALTPRO</v>
      </c>
      <c r="AY3483" t="s">
        <v>93</v>
      </c>
    </row>
    <row r="3484" spans="1:51" hidden="1">
      <c r="A3484">
        <v>106284</v>
      </c>
      <c r="B3484" t="s">
        <v>432</v>
      </c>
      <c r="C3484" t="str">
        <f>"01561490622"</f>
        <v>01561490622</v>
      </c>
      <c r="D3484" t="str">
        <f>"SLASLV84R55A783S"</f>
        <v>SLASLV84R55A783S</v>
      </c>
      <c r="E3484" t="s">
        <v>52</v>
      </c>
      <c r="F3484">
        <v>2015</v>
      </c>
      <c r="G3484" t="str">
        <f>"                   7"</f>
        <v xml:space="preserve">                   7</v>
      </c>
      <c r="H3484" s="3">
        <v>42360</v>
      </c>
      <c r="I3484" s="3">
        <v>42360</v>
      </c>
      <c r="J3484" s="3">
        <v>42360</v>
      </c>
      <c r="K3484" s="3">
        <v>42420</v>
      </c>
      <c r="L3484"/>
      <c r="N3484"/>
      <c r="O3484" s="4">
        <v>2502</v>
      </c>
      <c r="P3484">
        <v>-40</v>
      </c>
      <c r="Q3484" s="4">
        <v>-100080</v>
      </c>
      <c r="R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 s="3">
        <v>42562</v>
      </c>
      <c r="AC3484" t="s">
        <v>53</v>
      </c>
      <c r="AD3484" t="s">
        <v>53</v>
      </c>
      <c r="AK3484">
        <v>0</v>
      </c>
      <c r="AU3484" s="3">
        <v>42380</v>
      </c>
      <c r="AV3484" s="3">
        <v>42380</v>
      </c>
      <c r="AW3484" t="s">
        <v>54</v>
      </c>
      <c r="AX3484" t="str">
        <f t="shared" si="412"/>
        <v>ALTPRO</v>
      </c>
      <c r="AY3484" t="s">
        <v>93</v>
      </c>
    </row>
    <row r="3485" spans="1:51" hidden="1">
      <c r="A3485">
        <v>106284</v>
      </c>
      <c r="B3485" t="s">
        <v>432</v>
      </c>
      <c r="C3485" t="str">
        <f>"01561490622"</f>
        <v>01561490622</v>
      </c>
      <c r="D3485" t="str">
        <f>"SLASLV84R55A783S"</f>
        <v>SLASLV84R55A783S</v>
      </c>
      <c r="E3485" t="s">
        <v>52</v>
      </c>
      <c r="F3485">
        <v>2016</v>
      </c>
      <c r="G3485" t="str">
        <f>"         FATTPA 1_16"</f>
        <v xml:space="preserve">         FATTPA 1_16</v>
      </c>
      <c r="H3485" s="3">
        <v>42417</v>
      </c>
      <c r="I3485" s="3">
        <v>42418</v>
      </c>
      <c r="J3485" s="3">
        <v>42418</v>
      </c>
      <c r="K3485" s="3">
        <v>42478</v>
      </c>
      <c r="L3485"/>
      <c r="N3485"/>
      <c r="O3485" s="4">
        <v>1666.66</v>
      </c>
      <c r="P3485">
        <v>-52</v>
      </c>
      <c r="Q3485" s="4">
        <v>-86666.32</v>
      </c>
      <c r="R3485">
        <v>0</v>
      </c>
      <c r="V3485">
        <v>0</v>
      </c>
      <c r="W3485">
        <v>0</v>
      </c>
      <c r="X3485">
        <v>0</v>
      </c>
      <c r="Y3485" s="4">
        <v>1666.66</v>
      </c>
      <c r="Z3485" s="4">
        <v>1666.66</v>
      </c>
      <c r="AA3485" s="4">
        <v>1666.66</v>
      </c>
      <c r="AB3485" s="3">
        <v>42562</v>
      </c>
      <c r="AC3485" t="s">
        <v>53</v>
      </c>
      <c r="AD3485" t="s">
        <v>53</v>
      </c>
      <c r="AK3485">
        <v>0</v>
      </c>
      <c r="AU3485" s="3">
        <v>42426</v>
      </c>
      <c r="AV3485" s="3">
        <v>42426</v>
      </c>
      <c r="AW3485" t="s">
        <v>54</v>
      </c>
      <c r="AX3485" t="str">
        <f t="shared" si="412"/>
        <v>ALTPRO</v>
      </c>
      <c r="AY3485" t="s">
        <v>93</v>
      </c>
    </row>
    <row r="3486" spans="1:51" hidden="1">
      <c r="A3486">
        <v>106284</v>
      </c>
      <c r="B3486" t="s">
        <v>432</v>
      </c>
      <c r="C3486" t="str">
        <f>"01561490622"</f>
        <v>01561490622</v>
      </c>
      <c r="D3486" t="str">
        <f>"SLASLV84R55A783S"</f>
        <v>SLASLV84R55A783S</v>
      </c>
      <c r="E3486" t="s">
        <v>52</v>
      </c>
      <c r="F3486">
        <v>2016</v>
      </c>
      <c r="G3486" t="str">
        <f>"         FATTPA 2_16"</f>
        <v xml:space="preserve">         FATTPA 2_16</v>
      </c>
      <c r="H3486" s="3">
        <v>42422</v>
      </c>
      <c r="I3486" s="3">
        <v>42426</v>
      </c>
      <c r="J3486" s="3">
        <v>42424</v>
      </c>
      <c r="K3486" s="3">
        <v>42484</v>
      </c>
      <c r="L3486"/>
      <c r="N3486"/>
      <c r="O3486" s="4">
        <v>1398.17</v>
      </c>
      <c r="P3486">
        <v>-33</v>
      </c>
      <c r="Q3486" s="4">
        <v>-46139.61</v>
      </c>
      <c r="R3486">
        <v>0</v>
      </c>
      <c r="V3486">
        <v>0</v>
      </c>
      <c r="W3486">
        <v>0</v>
      </c>
      <c r="X3486">
        <v>0</v>
      </c>
      <c r="Y3486" s="4">
        <v>1398.17</v>
      </c>
      <c r="Z3486" s="4">
        <v>1398.17</v>
      </c>
      <c r="AA3486" s="4">
        <v>1398.17</v>
      </c>
      <c r="AB3486" s="3">
        <v>42562</v>
      </c>
      <c r="AC3486" t="s">
        <v>53</v>
      </c>
      <c r="AD3486" t="s">
        <v>53</v>
      </c>
      <c r="AK3486">
        <v>0</v>
      </c>
      <c r="AU3486" s="3">
        <v>42451</v>
      </c>
      <c r="AV3486" s="3">
        <v>42451</v>
      </c>
      <c r="AW3486" t="s">
        <v>54</v>
      </c>
      <c r="AX3486" t="str">
        <f t="shared" si="412"/>
        <v>ALTPRO</v>
      </c>
      <c r="AY3486" t="s">
        <v>93</v>
      </c>
    </row>
    <row r="3487" spans="1:51" hidden="1">
      <c r="A3487">
        <v>106285</v>
      </c>
      <c r="B3487" t="s">
        <v>433</v>
      </c>
      <c r="C3487" t="str">
        <f>"01561270628"</f>
        <v>01561270628</v>
      </c>
      <c r="D3487" t="str">
        <f>"PNCYLN80M56A783V"</f>
        <v>PNCYLN80M56A783V</v>
      </c>
      <c r="E3487" t="s">
        <v>52</v>
      </c>
      <c r="F3487">
        <v>2015</v>
      </c>
      <c r="G3487" t="str">
        <f>"                 4/E"</f>
        <v xml:space="preserve">                 4/E</v>
      </c>
      <c r="H3487" s="3">
        <v>42360</v>
      </c>
      <c r="I3487" s="3">
        <v>42360</v>
      </c>
      <c r="J3487" s="3">
        <v>42360</v>
      </c>
      <c r="K3487" s="3">
        <v>42420</v>
      </c>
      <c r="L3487"/>
      <c r="N3487"/>
      <c r="O3487" s="4">
        <v>2502</v>
      </c>
      <c r="P3487">
        <v>-40</v>
      </c>
      <c r="Q3487" s="4">
        <v>-100080</v>
      </c>
      <c r="R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 s="3">
        <v>42562</v>
      </c>
      <c r="AC3487" t="s">
        <v>53</v>
      </c>
      <c r="AD3487" t="s">
        <v>53</v>
      </c>
      <c r="AK3487">
        <v>0</v>
      </c>
      <c r="AU3487" s="3">
        <v>42380</v>
      </c>
      <c r="AV3487" s="3">
        <v>42380</v>
      </c>
      <c r="AW3487" t="s">
        <v>54</v>
      </c>
      <c r="AX3487" t="str">
        <f t="shared" si="412"/>
        <v>ALTPRO</v>
      </c>
      <c r="AY3487" t="s">
        <v>93</v>
      </c>
    </row>
    <row r="3488" spans="1:51" hidden="1">
      <c r="A3488">
        <v>106285</v>
      </c>
      <c r="B3488" t="s">
        <v>433</v>
      </c>
      <c r="C3488" t="str">
        <f>"01561270628"</f>
        <v>01561270628</v>
      </c>
      <c r="D3488" t="str">
        <f>"PNCYLN80M56A783V"</f>
        <v>PNCYLN80M56A783V</v>
      </c>
      <c r="E3488" t="s">
        <v>52</v>
      </c>
      <c r="F3488">
        <v>2016</v>
      </c>
      <c r="G3488" t="str">
        <f>"                 5/E"</f>
        <v xml:space="preserve">                 5/E</v>
      </c>
      <c r="H3488" s="3">
        <v>42417</v>
      </c>
      <c r="I3488" s="3">
        <v>42419</v>
      </c>
      <c r="J3488" s="3">
        <v>42417</v>
      </c>
      <c r="K3488" s="3">
        <v>42477</v>
      </c>
      <c r="L3488"/>
      <c r="N3488"/>
      <c r="O3488" s="4">
        <v>1666.66</v>
      </c>
      <c r="P3488">
        <v>-51</v>
      </c>
      <c r="Q3488" s="4">
        <v>-84999.66</v>
      </c>
      <c r="R3488">
        <v>0</v>
      </c>
      <c r="V3488">
        <v>0</v>
      </c>
      <c r="W3488">
        <v>0</v>
      </c>
      <c r="X3488">
        <v>0</v>
      </c>
      <c r="Y3488" s="4">
        <v>1666.66</v>
      </c>
      <c r="Z3488" s="4">
        <v>1666.66</v>
      </c>
      <c r="AA3488" s="4">
        <v>1666.66</v>
      </c>
      <c r="AB3488" s="3">
        <v>42562</v>
      </c>
      <c r="AC3488" t="s">
        <v>53</v>
      </c>
      <c r="AD3488" t="s">
        <v>53</v>
      </c>
      <c r="AK3488">
        <v>0</v>
      </c>
      <c r="AU3488" s="3">
        <v>42426</v>
      </c>
      <c r="AV3488" s="3">
        <v>42426</v>
      </c>
      <c r="AW3488" t="s">
        <v>54</v>
      </c>
      <c r="AX3488" t="str">
        <f t="shared" si="412"/>
        <v>ALTPRO</v>
      </c>
      <c r="AY3488" t="s">
        <v>93</v>
      </c>
    </row>
    <row r="3489" spans="1:51" hidden="1">
      <c r="A3489">
        <v>106285</v>
      </c>
      <c r="B3489" t="s">
        <v>433</v>
      </c>
      <c r="C3489" t="str">
        <f>"01561270628"</f>
        <v>01561270628</v>
      </c>
      <c r="D3489" t="str">
        <f>"PNCYLN80M56A783V"</f>
        <v>PNCYLN80M56A783V</v>
      </c>
      <c r="E3489" t="s">
        <v>52</v>
      </c>
      <c r="F3489">
        <v>2016</v>
      </c>
      <c r="G3489" t="str">
        <f>"                 6/E"</f>
        <v xml:space="preserve">                 6/E</v>
      </c>
      <c r="H3489" s="3">
        <v>42425</v>
      </c>
      <c r="I3489" s="3">
        <v>42426</v>
      </c>
      <c r="J3489" s="3">
        <v>42425</v>
      </c>
      <c r="K3489" s="3">
        <v>42485</v>
      </c>
      <c r="L3489"/>
      <c r="N3489"/>
      <c r="O3489" s="4">
        <v>1398.17</v>
      </c>
      <c r="P3489">
        <v>-34</v>
      </c>
      <c r="Q3489" s="4">
        <v>-47537.78</v>
      </c>
      <c r="R3489">
        <v>0</v>
      </c>
      <c r="V3489">
        <v>0</v>
      </c>
      <c r="W3489">
        <v>0</v>
      </c>
      <c r="X3489">
        <v>0</v>
      </c>
      <c r="Y3489" s="4">
        <v>1398.17</v>
      </c>
      <c r="Z3489" s="4">
        <v>1398.17</v>
      </c>
      <c r="AA3489" s="4">
        <v>1398.17</v>
      </c>
      <c r="AB3489" s="3">
        <v>42562</v>
      </c>
      <c r="AC3489" t="s">
        <v>53</v>
      </c>
      <c r="AD3489" t="s">
        <v>53</v>
      </c>
      <c r="AK3489">
        <v>0</v>
      </c>
      <c r="AU3489" s="3">
        <v>42451</v>
      </c>
      <c r="AV3489" s="3">
        <v>42451</v>
      </c>
      <c r="AW3489" t="s">
        <v>54</v>
      </c>
      <c r="AX3489" t="str">
        <f t="shared" si="412"/>
        <v>ALTPRO</v>
      </c>
      <c r="AY3489" t="s">
        <v>93</v>
      </c>
    </row>
    <row r="3490" spans="1:51" hidden="1">
      <c r="A3490">
        <v>106286</v>
      </c>
      <c r="B3490" t="s">
        <v>434</v>
      </c>
      <c r="C3490" t="str">
        <f t="shared" ref="C3490:D3493" si="413">"06566081219"</f>
        <v>06566081219</v>
      </c>
      <c r="D3490" t="str">
        <f t="shared" si="413"/>
        <v>06566081219</v>
      </c>
      <c r="E3490" t="s">
        <v>52</v>
      </c>
      <c r="F3490">
        <v>2015</v>
      </c>
      <c r="G3490" t="str">
        <f>"         FATTPA 6_15"</f>
        <v xml:space="preserve">         FATTPA 6_15</v>
      </c>
      <c r="H3490" s="3">
        <v>42292</v>
      </c>
      <c r="I3490" s="3">
        <v>42296</v>
      </c>
      <c r="J3490" s="3">
        <v>42293</v>
      </c>
      <c r="K3490" s="3">
        <v>42353</v>
      </c>
      <c r="L3490"/>
      <c r="N3490"/>
      <c r="O3490" s="4">
        <v>2250</v>
      </c>
      <c r="P3490">
        <v>63</v>
      </c>
      <c r="Q3490" s="4">
        <v>141750</v>
      </c>
      <c r="R3490">
        <v>0</v>
      </c>
      <c r="V3490">
        <v>0</v>
      </c>
      <c r="W3490">
        <v>0</v>
      </c>
      <c r="X3490">
        <v>0</v>
      </c>
      <c r="Y3490">
        <v>0</v>
      </c>
      <c r="Z3490">
        <v>0</v>
      </c>
      <c r="AA3490">
        <v>0</v>
      </c>
      <c r="AB3490" s="3">
        <v>42562</v>
      </c>
      <c r="AC3490" t="s">
        <v>53</v>
      </c>
      <c r="AD3490" t="s">
        <v>53</v>
      </c>
      <c r="AK3490">
        <v>0</v>
      </c>
      <c r="AU3490" s="3">
        <v>42416</v>
      </c>
      <c r="AV3490" s="3">
        <v>42416</v>
      </c>
      <c r="AW3490" t="s">
        <v>54</v>
      </c>
      <c r="AX3490" t="str">
        <f>"FOR"</f>
        <v>FOR</v>
      </c>
      <c r="AY3490" t="s">
        <v>55</v>
      </c>
    </row>
    <row r="3491" spans="1:51" hidden="1">
      <c r="A3491">
        <v>106286</v>
      </c>
      <c r="B3491" t="s">
        <v>434</v>
      </c>
      <c r="C3491" t="str">
        <f t="shared" si="413"/>
        <v>06566081219</v>
      </c>
      <c r="D3491" t="str">
        <f t="shared" si="413"/>
        <v>06566081219</v>
      </c>
      <c r="E3491" t="s">
        <v>52</v>
      </c>
      <c r="F3491">
        <v>2015</v>
      </c>
      <c r="G3491" t="str">
        <f>"         FATTPA 7_15"</f>
        <v xml:space="preserve">         FATTPA 7_15</v>
      </c>
      <c r="H3491" s="3">
        <v>42292</v>
      </c>
      <c r="I3491" s="3">
        <v>42296</v>
      </c>
      <c r="J3491" s="3">
        <v>42293</v>
      </c>
      <c r="K3491" s="3">
        <v>42353</v>
      </c>
      <c r="L3491"/>
      <c r="N3491"/>
      <c r="O3491" s="4">
        <v>2100</v>
      </c>
      <c r="P3491">
        <v>63</v>
      </c>
      <c r="Q3491" s="4">
        <v>132300</v>
      </c>
      <c r="R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 s="3">
        <v>42562</v>
      </c>
      <c r="AC3491" t="s">
        <v>53</v>
      </c>
      <c r="AD3491" t="s">
        <v>53</v>
      </c>
      <c r="AK3491">
        <v>0</v>
      </c>
      <c r="AU3491" s="3">
        <v>42416</v>
      </c>
      <c r="AV3491" s="3">
        <v>42416</v>
      </c>
      <c r="AW3491" t="s">
        <v>54</v>
      </c>
      <c r="AX3491" t="str">
        <f>"FOR"</f>
        <v>FOR</v>
      </c>
      <c r="AY3491" t="s">
        <v>55</v>
      </c>
    </row>
    <row r="3492" spans="1:51" hidden="1">
      <c r="A3492">
        <v>106286</v>
      </c>
      <c r="B3492" t="s">
        <v>434</v>
      </c>
      <c r="C3492" t="str">
        <f t="shared" si="413"/>
        <v>06566081219</v>
      </c>
      <c r="D3492" t="str">
        <f t="shared" si="413"/>
        <v>06566081219</v>
      </c>
      <c r="E3492" t="s">
        <v>52</v>
      </c>
      <c r="F3492">
        <v>2015</v>
      </c>
      <c r="G3492" t="str">
        <f>"        FATTPA 13_15"</f>
        <v xml:space="preserve">        FATTPA 13_15</v>
      </c>
      <c r="H3492" s="3">
        <v>42334</v>
      </c>
      <c r="I3492" s="3">
        <v>42338</v>
      </c>
      <c r="J3492" s="3">
        <v>42335</v>
      </c>
      <c r="K3492" s="3">
        <v>42395</v>
      </c>
      <c r="L3492"/>
      <c r="N3492"/>
      <c r="O3492" s="4">
        <v>4200</v>
      </c>
      <c r="P3492">
        <v>21</v>
      </c>
      <c r="Q3492" s="4">
        <v>88200</v>
      </c>
      <c r="R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 s="3">
        <v>42562</v>
      </c>
      <c r="AC3492" t="s">
        <v>53</v>
      </c>
      <c r="AD3492" t="s">
        <v>53</v>
      </c>
      <c r="AK3492">
        <v>0</v>
      </c>
      <c r="AU3492" s="3">
        <v>42416</v>
      </c>
      <c r="AV3492" s="3">
        <v>42416</v>
      </c>
      <c r="AW3492" t="s">
        <v>54</v>
      </c>
      <c r="AX3492" t="str">
        <f>"FOR"</f>
        <v>FOR</v>
      </c>
      <c r="AY3492" t="s">
        <v>55</v>
      </c>
    </row>
    <row r="3493" spans="1:51" hidden="1">
      <c r="A3493">
        <v>106286</v>
      </c>
      <c r="B3493" t="s">
        <v>434</v>
      </c>
      <c r="C3493" t="str">
        <f t="shared" si="413"/>
        <v>06566081219</v>
      </c>
      <c r="D3493" t="str">
        <f t="shared" si="413"/>
        <v>06566081219</v>
      </c>
      <c r="E3493" t="s">
        <v>52</v>
      </c>
      <c r="F3493">
        <v>2015</v>
      </c>
      <c r="G3493" t="str">
        <f>"        FATTPA 18_15"</f>
        <v xml:space="preserve">        FATTPA 18_15</v>
      </c>
      <c r="H3493" s="3">
        <v>42367</v>
      </c>
      <c r="I3493" s="3">
        <v>42367</v>
      </c>
      <c r="J3493" s="3">
        <v>42367</v>
      </c>
      <c r="K3493" s="3">
        <v>42427</v>
      </c>
      <c r="L3493"/>
      <c r="N3493"/>
      <c r="O3493" s="4">
        <v>2250</v>
      </c>
      <c r="P3493">
        <v>-11</v>
      </c>
      <c r="Q3493" s="4">
        <v>-24750</v>
      </c>
      <c r="R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 s="3">
        <v>42562</v>
      </c>
      <c r="AC3493" t="s">
        <v>53</v>
      </c>
      <c r="AD3493" t="s">
        <v>53</v>
      </c>
      <c r="AK3493">
        <v>0</v>
      </c>
      <c r="AU3493" s="3">
        <v>42416</v>
      </c>
      <c r="AV3493" s="3">
        <v>42416</v>
      </c>
      <c r="AW3493" t="s">
        <v>54</v>
      </c>
      <c r="AX3493" t="str">
        <f>"FOR"</f>
        <v>FOR</v>
      </c>
      <c r="AY3493" t="s">
        <v>55</v>
      </c>
    </row>
    <row r="3494" spans="1:51" hidden="1">
      <c r="A3494">
        <v>106291</v>
      </c>
      <c r="B3494" t="s">
        <v>435</v>
      </c>
      <c r="C3494" t="str">
        <f>""</f>
        <v/>
      </c>
      <c r="D3494" t="str">
        <f>"PNGNMR65L62C280A"</f>
        <v>PNGNMR65L62C280A</v>
      </c>
      <c r="E3494" t="s">
        <v>52</v>
      </c>
      <c r="F3494">
        <v>2016</v>
      </c>
      <c r="G3494" t="str">
        <f>"                0120"</f>
        <v xml:space="preserve">                0120</v>
      </c>
      <c r="H3494" s="3">
        <v>42389</v>
      </c>
      <c r="I3494" s="3">
        <v>42390</v>
      </c>
      <c r="J3494" s="3">
        <v>42390</v>
      </c>
      <c r="K3494" s="3">
        <v>42450</v>
      </c>
      <c r="L3494"/>
      <c r="N3494"/>
      <c r="O3494">
        <v>300</v>
      </c>
      <c r="P3494">
        <v>-60</v>
      </c>
      <c r="Q3494" s="4">
        <v>-18000</v>
      </c>
      <c r="R3494">
        <v>0</v>
      </c>
      <c r="V3494">
        <v>0</v>
      </c>
      <c r="W3494">
        <v>0</v>
      </c>
      <c r="X3494">
        <v>0</v>
      </c>
      <c r="Y3494">
        <v>300</v>
      </c>
      <c r="Z3494">
        <v>300</v>
      </c>
      <c r="AA3494">
        <v>300</v>
      </c>
      <c r="AB3494" s="3">
        <v>42562</v>
      </c>
      <c r="AC3494" t="s">
        <v>53</v>
      </c>
      <c r="AD3494" t="s">
        <v>53</v>
      </c>
      <c r="AK3494">
        <v>0</v>
      </c>
      <c r="AU3494" s="3">
        <v>42390</v>
      </c>
      <c r="AV3494" s="3">
        <v>42390</v>
      </c>
      <c r="AW3494" t="s">
        <v>54</v>
      </c>
      <c r="AX3494" t="str">
        <f t="shared" ref="AX3494:AX3503" si="414">"ALT"</f>
        <v>ALT</v>
      </c>
      <c r="AY3494" t="s">
        <v>72</v>
      </c>
    </row>
    <row r="3495" spans="1:51" hidden="1">
      <c r="A3495">
        <v>106291</v>
      </c>
      <c r="B3495" t="s">
        <v>435</v>
      </c>
      <c r="C3495" t="str">
        <f>""</f>
        <v/>
      </c>
      <c r="D3495" t="str">
        <f>"PNGNMR65L62C280A"</f>
        <v>PNGNMR65L62C280A</v>
      </c>
      <c r="E3495" t="s">
        <v>52</v>
      </c>
      <c r="F3495">
        <v>2016</v>
      </c>
      <c r="G3495" t="str">
        <f>"                0222"</f>
        <v xml:space="preserve">                0222</v>
      </c>
      <c r="H3495" s="3">
        <v>42422</v>
      </c>
      <c r="I3495" s="3">
        <v>42422</v>
      </c>
      <c r="J3495" s="3">
        <v>42422</v>
      </c>
      <c r="K3495" s="3">
        <v>42482</v>
      </c>
      <c r="L3495"/>
      <c r="N3495"/>
      <c r="O3495">
        <v>300</v>
      </c>
      <c r="P3495">
        <v>-58</v>
      </c>
      <c r="Q3495" s="4">
        <v>-17400</v>
      </c>
      <c r="R3495">
        <v>0</v>
      </c>
      <c r="V3495">
        <v>0</v>
      </c>
      <c r="W3495">
        <v>0</v>
      </c>
      <c r="X3495">
        <v>0</v>
      </c>
      <c r="Y3495">
        <v>300</v>
      </c>
      <c r="Z3495">
        <v>300</v>
      </c>
      <c r="AA3495">
        <v>300</v>
      </c>
      <c r="AB3495" s="3">
        <v>42562</v>
      </c>
      <c r="AC3495" t="s">
        <v>53</v>
      </c>
      <c r="AD3495" t="s">
        <v>53</v>
      </c>
      <c r="AK3495">
        <v>0</v>
      </c>
      <c r="AU3495" s="3">
        <v>42424</v>
      </c>
      <c r="AV3495" s="3">
        <v>42424</v>
      </c>
      <c r="AW3495" t="s">
        <v>54</v>
      </c>
      <c r="AX3495" t="str">
        <f t="shared" si="414"/>
        <v>ALT</v>
      </c>
      <c r="AY3495" t="s">
        <v>72</v>
      </c>
    </row>
    <row r="3496" spans="1:51" hidden="1">
      <c r="A3496">
        <v>106291</v>
      </c>
      <c r="B3496" t="s">
        <v>435</v>
      </c>
      <c r="C3496" t="str">
        <f>""</f>
        <v/>
      </c>
      <c r="D3496" t="str">
        <f>"PNGNMR65L62C280A"</f>
        <v>PNGNMR65L62C280A</v>
      </c>
      <c r="E3496" t="s">
        <v>52</v>
      </c>
      <c r="F3496">
        <v>2016</v>
      </c>
      <c r="G3496" t="str">
        <f>"                0321"</f>
        <v xml:space="preserve">                0321</v>
      </c>
      <c r="H3496" s="3">
        <v>42450</v>
      </c>
      <c r="I3496" s="3">
        <v>42450</v>
      </c>
      <c r="J3496" s="3">
        <v>42450</v>
      </c>
      <c r="K3496" s="3">
        <v>42510</v>
      </c>
      <c r="L3496"/>
      <c r="N3496"/>
      <c r="O3496">
        <v>300</v>
      </c>
      <c r="P3496">
        <v>-57</v>
      </c>
      <c r="Q3496" s="4">
        <v>-17100</v>
      </c>
      <c r="R3496">
        <v>0</v>
      </c>
      <c r="V3496">
        <v>0</v>
      </c>
      <c r="W3496">
        <v>0</v>
      </c>
      <c r="X3496">
        <v>0</v>
      </c>
      <c r="Y3496">
        <v>300</v>
      </c>
      <c r="Z3496">
        <v>300</v>
      </c>
      <c r="AA3496">
        <v>300</v>
      </c>
      <c r="AB3496" s="3">
        <v>42562</v>
      </c>
      <c r="AC3496" t="s">
        <v>53</v>
      </c>
      <c r="AD3496" t="s">
        <v>53</v>
      </c>
      <c r="AK3496">
        <v>0</v>
      </c>
      <c r="AU3496" s="3">
        <v>42453</v>
      </c>
      <c r="AV3496" s="3">
        <v>42453</v>
      </c>
      <c r="AW3496" t="s">
        <v>54</v>
      </c>
      <c r="AX3496" t="str">
        <f t="shared" si="414"/>
        <v>ALT</v>
      </c>
      <c r="AY3496" t="s">
        <v>72</v>
      </c>
    </row>
    <row r="3497" spans="1:51" hidden="1">
      <c r="A3497">
        <v>106291</v>
      </c>
      <c r="B3497" t="s">
        <v>435</v>
      </c>
      <c r="C3497" t="str">
        <f>""</f>
        <v/>
      </c>
      <c r="D3497" t="str">
        <f>"PNGNMR65L62C280A"</f>
        <v>PNGNMR65L62C280A</v>
      </c>
      <c r="E3497" t="s">
        <v>52</v>
      </c>
      <c r="F3497">
        <v>2016</v>
      </c>
      <c r="G3497" t="str">
        <f>"                0421"</f>
        <v xml:space="preserve">                0421</v>
      </c>
      <c r="H3497" s="3">
        <v>42481</v>
      </c>
      <c r="I3497" s="3">
        <v>42481</v>
      </c>
      <c r="J3497" s="3">
        <v>42481</v>
      </c>
      <c r="K3497" s="3">
        <v>42541</v>
      </c>
      <c r="L3497">
        <v>300</v>
      </c>
      <c r="M3497">
        <v>-60</v>
      </c>
      <c r="N3497" s="4">
        <v>-18000</v>
      </c>
      <c r="O3497">
        <v>300</v>
      </c>
      <c r="P3497">
        <v>-60</v>
      </c>
      <c r="Q3497" s="4">
        <v>-18000</v>
      </c>
      <c r="R3497">
        <v>0</v>
      </c>
      <c r="V3497">
        <v>300</v>
      </c>
      <c r="W3497">
        <v>300</v>
      </c>
      <c r="X3497">
        <v>300</v>
      </c>
      <c r="Y3497">
        <v>300</v>
      </c>
      <c r="Z3497">
        <v>300</v>
      </c>
      <c r="AA3497">
        <v>300</v>
      </c>
      <c r="AB3497" s="3">
        <v>42562</v>
      </c>
      <c r="AC3497" t="s">
        <v>53</v>
      </c>
      <c r="AD3497" t="s">
        <v>53</v>
      </c>
      <c r="AK3497">
        <v>0</v>
      </c>
      <c r="AU3497" s="3">
        <v>42481</v>
      </c>
      <c r="AV3497" s="3">
        <v>42481</v>
      </c>
      <c r="AW3497" t="s">
        <v>54</v>
      </c>
      <c r="AX3497" t="str">
        <f t="shared" si="414"/>
        <v>ALT</v>
      </c>
      <c r="AY3497" t="s">
        <v>72</v>
      </c>
    </row>
    <row r="3498" spans="1:51" hidden="1">
      <c r="A3498">
        <v>106291</v>
      </c>
      <c r="B3498" t="s">
        <v>435</v>
      </c>
      <c r="C3498" t="str">
        <f>""</f>
        <v/>
      </c>
      <c r="D3498" t="str">
        <f>"PNGNMR65L62C280A"</f>
        <v>PNGNMR65L62C280A</v>
      </c>
      <c r="E3498" t="s">
        <v>52</v>
      </c>
      <c r="F3498">
        <v>2016</v>
      </c>
      <c r="G3498" t="str">
        <f>"                0518"</f>
        <v xml:space="preserve">                0518</v>
      </c>
      <c r="H3498" s="3">
        <v>42508</v>
      </c>
      <c r="I3498" s="3">
        <v>42510</v>
      </c>
      <c r="J3498" s="3">
        <v>42510</v>
      </c>
      <c r="K3498" s="3">
        <v>42570</v>
      </c>
      <c r="L3498">
        <v>300</v>
      </c>
      <c r="M3498">
        <v>-57</v>
      </c>
      <c r="N3498" s="4">
        <v>-17100</v>
      </c>
      <c r="O3498">
        <v>300</v>
      </c>
      <c r="P3498">
        <v>-57</v>
      </c>
      <c r="Q3498" s="4">
        <v>-17100</v>
      </c>
      <c r="R3498">
        <v>0</v>
      </c>
      <c r="V3498">
        <v>300</v>
      </c>
      <c r="W3498">
        <v>300</v>
      </c>
      <c r="X3498">
        <v>300</v>
      </c>
      <c r="Y3498">
        <v>300</v>
      </c>
      <c r="Z3498">
        <v>300</v>
      </c>
      <c r="AA3498">
        <v>300</v>
      </c>
      <c r="AB3498" s="3">
        <v>42562</v>
      </c>
      <c r="AC3498" t="s">
        <v>53</v>
      </c>
      <c r="AD3498" t="s">
        <v>53</v>
      </c>
      <c r="AK3498">
        <v>0</v>
      </c>
      <c r="AU3498" s="3">
        <v>42513</v>
      </c>
      <c r="AV3498" s="3">
        <v>42513</v>
      </c>
      <c r="AW3498" t="s">
        <v>54</v>
      </c>
      <c r="AX3498" t="str">
        <f t="shared" si="414"/>
        <v>ALT</v>
      </c>
      <c r="AY3498" t="s">
        <v>72</v>
      </c>
    </row>
    <row r="3499" spans="1:51" hidden="1">
      <c r="A3499">
        <v>106295</v>
      </c>
      <c r="B3499" t="s">
        <v>436</v>
      </c>
      <c r="C3499" t="str">
        <f t="shared" ref="C3499:D3503" si="415">"02402101204"</f>
        <v>02402101204</v>
      </c>
      <c r="D3499" t="str">
        <f t="shared" si="415"/>
        <v>02402101204</v>
      </c>
      <c r="E3499" t="s">
        <v>52</v>
      </c>
      <c r="F3499">
        <v>2016</v>
      </c>
      <c r="G3499" t="str">
        <f>"                0120"</f>
        <v xml:space="preserve">                0120</v>
      </c>
      <c r="H3499" s="3">
        <v>42389</v>
      </c>
      <c r="I3499" s="3">
        <v>42390</v>
      </c>
      <c r="J3499" s="3">
        <v>42390</v>
      </c>
      <c r="K3499" s="3">
        <v>42450</v>
      </c>
      <c r="L3499"/>
      <c r="N3499"/>
      <c r="O3499">
        <v>850</v>
      </c>
      <c r="P3499">
        <v>-60</v>
      </c>
      <c r="Q3499" s="4">
        <v>-51000</v>
      </c>
      <c r="R3499">
        <v>0</v>
      </c>
      <c r="V3499">
        <v>0</v>
      </c>
      <c r="W3499">
        <v>0</v>
      </c>
      <c r="X3499">
        <v>0</v>
      </c>
      <c r="Y3499">
        <v>850</v>
      </c>
      <c r="Z3499">
        <v>850</v>
      </c>
      <c r="AA3499">
        <v>850</v>
      </c>
      <c r="AB3499" s="3">
        <v>42562</v>
      </c>
      <c r="AC3499" t="s">
        <v>53</v>
      </c>
      <c r="AD3499" t="s">
        <v>53</v>
      </c>
      <c r="AK3499">
        <v>0</v>
      </c>
      <c r="AU3499" s="3">
        <v>42390</v>
      </c>
      <c r="AV3499" s="3">
        <v>42390</v>
      </c>
      <c r="AW3499" t="s">
        <v>54</v>
      </c>
      <c r="AX3499" t="str">
        <f t="shared" si="414"/>
        <v>ALT</v>
      </c>
      <c r="AY3499" t="s">
        <v>72</v>
      </c>
    </row>
    <row r="3500" spans="1:51" hidden="1">
      <c r="A3500">
        <v>106295</v>
      </c>
      <c r="B3500" t="s">
        <v>436</v>
      </c>
      <c r="C3500" t="str">
        <f t="shared" si="415"/>
        <v>02402101204</v>
      </c>
      <c r="D3500" t="str">
        <f t="shared" si="415"/>
        <v>02402101204</v>
      </c>
      <c r="E3500" t="s">
        <v>52</v>
      </c>
      <c r="F3500">
        <v>2016</v>
      </c>
      <c r="G3500" t="str">
        <f>"                0222"</f>
        <v xml:space="preserve">                0222</v>
      </c>
      <c r="H3500" s="3">
        <v>42422</v>
      </c>
      <c r="I3500" s="3">
        <v>42422</v>
      </c>
      <c r="J3500" s="3">
        <v>42422</v>
      </c>
      <c r="K3500" s="3">
        <v>42482</v>
      </c>
      <c r="L3500"/>
      <c r="N3500"/>
      <c r="O3500">
        <v>850</v>
      </c>
      <c r="P3500">
        <v>-58</v>
      </c>
      <c r="Q3500" s="4">
        <v>-49300</v>
      </c>
      <c r="R3500">
        <v>0</v>
      </c>
      <c r="V3500">
        <v>0</v>
      </c>
      <c r="W3500">
        <v>0</v>
      </c>
      <c r="X3500">
        <v>0</v>
      </c>
      <c r="Y3500">
        <v>850</v>
      </c>
      <c r="Z3500">
        <v>850</v>
      </c>
      <c r="AA3500">
        <v>850</v>
      </c>
      <c r="AB3500" s="3">
        <v>42562</v>
      </c>
      <c r="AC3500" t="s">
        <v>53</v>
      </c>
      <c r="AD3500" t="s">
        <v>53</v>
      </c>
      <c r="AK3500">
        <v>0</v>
      </c>
      <c r="AU3500" s="3">
        <v>42424</v>
      </c>
      <c r="AV3500" s="3">
        <v>42424</v>
      </c>
      <c r="AW3500" t="s">
        <v>54</v>
      </c>
      <c r="AX3500" t="str">
        <f t="shared" si="414"/>
        <v>ALT</v>
      </c>
      <c r="AY3500" t="s">
        <v>72</v>
      </c>
    </row>
    <row r="3501" spans="1:51" hidden="1">
      <c r="A3501">
        <v>106295</v>
      </c>
      <c r="B3501" t="s">
        <v>436</v>
      </c>
      <c r="C3501" t="str">
        <f t="shared" si="415"/>
        <v>02402101204</v>
      </c>
      <c r="D3501" t="str">
        <f t="shared" si="415"/>
        <v>02402101204</v>
      </c>
      <c r="E3501" t="s">
        <v>52</v>
      </c>
      <c r="F3501">
        <v>2016</v>
      </c>
      <c r="G3501" t="str">
        <f>"                0321"</f>
        <v xml:space="preserve">                0321</v>
      </c>
      <c r="H3501" s="3">
        <v>42450</v>
      </c>
      <c r="I3501" s="3">
        <v>42450</v>
      </c>
      <c r="J3501" s="3">
        <v>42450</v>
      </c>
      <c r="K3501" s="3">
        <v>42510</v>
      </c>
      <c r="L3501"/>
      <c r="N3501"/>
      <c r="O3501">
        <v>850</v>
      </c>
      <c r="P3501">
        <v>-57</v>
      </c>
      <c r="Q3501" s="4">
        <v>-48450</v>
      </c>
      <c r="R3501">
        <v>0</v>
      </c>
      <c r="V3501">
        <v>0</v>
      </c>
      <c r="W3501">
        <v>0</v>
      </c>
      <c r="X3501">
        <v>0</v>
      </c>
      <c r="Y3501">
        <v>850</v>
      </c>
      <c r="Z3501">
        <v>850</v>
      </c>
      <c r="AA3501">
        <v>850</v>
      </c>
      <c r="AB3501" s="3">
        <v>42562</v>
      </c>
      <c r="AC3501" t="s">
        <v>53</v>
      </c>
      <c r="AD3501" t="s">
        <v>53</v>
      </c>
      <c r="AK3501">
        <v>0</v>
      </c>
      <c r="AU3501" s="3">
        <v>42453</v>
      </c>
      <c r="AV3501" s="3">
        <v>42453</v>
      </c>
      <c r="AW3501" t="s">
        <v>54</v>
      </c>
      <c r="AX3501" t="str">
        <f t="shared" si="414"/>
        <v>ALT</v>
      </c>
      <c r="AY3501" t="s">
        <v>72</v>
      </c>
    </row>
    <row r="3502" spans="1:51" hidden="1">
      <c r="A3502">
        <v>106295</v>
      </c>
      <c r="B3502" t="s">
        <v>436</v>
      </c>
      <c r="C3502" t="str">
        <f t="shared" si="415"/>
        <v>02402101204</v>
      </c>
      <c r="D3502" t="str">
        <f t="shared" si="415"/>
        <v>02402101204</v>
      </c>
      <c r="E3502" t="s">
        <v>52</v>
      </c>
      <c r="F3502">
        <v>2016</v>
      </c>
      <c r="G3502" t="str">
        <f>"                0421"</f>
        <v xml:space="preserve">                0421</v>
      </c>
      <c r="H3502" s="3">
        <v>42481</v>
      </c>
      <c r="I3502" s="3">
        <v>42481</v>
      </c>
      <c r="J3502" s="3">
        <v>42481</v>
      </c>
      <c r="K3502" s="3">
        <v>42541</v>
      </c>
      <c r="L3502">
        <v>850</v>
      </c>
      <c r="M3502">
        <v>-60</v>
      </c>
      <c r="N3502" s="4">
        <v>-51000</v>
      </c>
      <c r="O3502">
        <v>850</v>
      </c>
      <c r="P3502">
        <v>-60</v>
      </c>
      <c r="Q3502" s="4">
        <v>-51000</v>
      </c>
      <c r="R3502">
        <v>0</v>
      </c>
      <c r="V3502">
        <v>850</v>
      </c>
      <c r="W3502">
        <v>850</v>
      </c>
      <c r="X3502">
        <v>850</v>
      </c>
      <c r="Y3502">
        <v>850</v>
      </c>
      <c r="Z3502">
        <v>850</v>
      </c>
      <c r="AA3502">
        <v>850</v>
      </c>
      <c r="AB3502" s="3">
        <v>42562</v>
      </c>
      <c r="AC3502" t="s">
        <v>53</v>
      </c>
      <c r="AD3502" t="s">
        <v>53</v>
      </c>
      <c r="AK3502">
        <v>0</v>
      </c>
      <c r="AU3502" s="3">
        <v>42481</v>
      </c>
      <c r="AV3502" s="3">
        <v>42481</v>
      </c>
      <c r="AW3502" t="s">
        <v>54</v>
      </c>
      <c r="AX3502" t="str">
        <f t="shared" si="414"/>
        <v>ALT</v>
      </c>
      <c r="AY3502" t="s">
        <v>72</v>
      </c>
    </row>
    <row r="3503" spans="1:51" hidden="1">
      <c r="A3503">
        <v>106295</v>
      </c>
      <c r="B3503" t="s">
        <v>436</v>
      </c>
      <c r="C3503" t="str">
        <f t="shared" si="415"/>
        <v>02402101204</v>
      </c>
      <c r="D3503" t="str">
        <f t="shared" si="415"/>
        <v>02402101204</v>
      </c>
      <c r="E3503" t="s">
        <v>52</v>
      </c>
      <c r="F3503">
        <v>2016</v>
      </c>
      <c r="G3503" t="str">
        <f>"                0518"</f>
        <v xml:space="preserve">                0518</v>
      </c>
      <c r="H3503" s="3">
        <v>42508</v>
      </c>
      <c r="I3503" s="3">
        <v>42510</v>
      </c>
      <c r="J3503" s="3">
        <v>42510</v>
      </c>
      <c r="K3503" s="3">
        <v>42570</v>
      </c>
      <c r="L3503">
        <v>850</v>
      </c>
      <c r="M3503">
        <v>-57</v>
      </c>
      <c r="N3503" s="4">
        <v>-48450</v>
      </c>
      <c r="O3503">
        <v>850</v>
      </c>
      <c r="P3503">
        <v>-57</v>
      </c>
      <c r="Q3503" s="4">
        <v>-48450</v>
      </c>
      <c r="R3503">
        <v>0</v>
      </c>
      <c r="V3503">
        <v>850</v>
      </c>
      <c r="W3503">
        <v>850</v>
      </c>
      <c r="X3503">
        <v>850</v>
      </c>
      <c r="Y3503">
        <v>850</v>
      </c>
      <c r="Z3503">
        <v>850</v>
      </c>
      <c r="AA3503">
        <v>850</v>
      </c>
      <c r="AB3503" s="3">
        <v>42562</v>
      </c>
      <c r="AC3503" t="s">
        <v>53</v>
      </c>
      <c r="AD3503" t="s">
        <v>53</v>
      </c>
      <c r="AK3503">
        <v>0</v>
      </c>
      <c r="AU3503" s="3">
        <v>42513</v>
      </c>
      <c r="AV3503" s="3">
        <v>42513</v>
      </c>
      <c r="AW3503" t="s">
        <v>54</v>
      </c>
      <c r="AX3503" t="str">
        <f t="shared" si="414"/>
        <v>ALT</v>
      </c>
      <c r="AY3503" t="s">
        <v>72</v>
      </c>
    </row>
    <row r="3504" spans="1:51" hidden="1">
      <c r="A3504">
        <v>106298</v>
      </c>
      <c r="B3504" t="s">
        <v>437</v>
      </c>
      <c r="C3504" t="str">
        <f t="shared" ref="C3504:C3509" si="416">"05074110650"</f>
        <v>05074110650</v>
      </c>
      <c r="D3504" t="str">
        <f t="shared" ref="D3504:D3509" si="417">"GDCGRG72E08E919H"</f>
        <v>GDCGRG72E08E919H</v>
      </c>
      <c r="E3504" t="s">
        <v>52</v>
      </c>
      <c r="F3504">
        <v>2016</v>
      </c>
      <c r="G3504" t="str">
        <f>"         FATTPA 1_16"</f>
        <v xml:space="preserve">         FATTPA 1_16</v>
      </c>
      <c r="H3504" s="3">
        <v>42381</v>
      </c>
      <c r="I3504" s="3">
        <v>42382</v>
      </c>
      <c r="J3504" s="3">
        <v>42381</v>
      </c>
      <c r="K3504" s="3">
        <v>42441</v>
      </c>
      <c r="L3504"/>
      <c r="N3504"/>
      <c r="O3504" s="4">
        <v>1846.37</v>
      </c>
      <c r="P3504">
        <v>-44</v>
      </c>
      <c r="Q3504" s="4">
        <v>-81240.28</v>
      </c>
      <c r="R3504">
        <v>0</v>
      </c>
      <c r="V3504">
        <v>0</v>
      </c>
      <c r="W3504">
        <v>0</v>
      </c>
      <c r="X3504">
        <v>0</v>
      </c>
      <c r="Y3504">
        <v>-461.09</v>
      </c>
      <c r="Z3504" s="4">
        <v>1846.37</v>
      </c>
      <c r="AA3504" s="4">
        <v>1846.37</v>
      </c>
      <c r="AB3504" s="3">
        <v>42562</v>
      </c>
      <c r="AC3504" t="s">
        <v>53</v>
      </c>
      <c r="AD3504" t="s">
        <v>53</v>
      </c>
      <c r="AK3504">
        <v>0</v>
      </c>
      <c r="AU3504" s="3">
        <v>42397</v>
      </c>
      <c r="AV3504" s="3">
        <v>42397</v>
      </c>
      <c r="AW3504" t="s">
        <v>54</v>
      </c>
      <c r="AX3504" t="str">
        <f t="shared" ref="AX3504:AX3509" si="418">"ALTPRO"</f>
        <v>ALTPRO</v>
      </c>
      <c r="AY3504" t="s">
        <v>93</v>
      </c>
    </row>
    <row r="3505" spans="1:51" hidden="1">
      <c r="A3505">
        <v>106298</v>
      </c>
      <c r="B3505" t="s">
        <v>437</v>
      </c>
      <c r="C3505" t="str">
        <f t="shared" si="416"/>
        <v>05074110650</v>
      </c>
      <c r="D3505" t="str">
        <f t="shared" si="417"/>
        <v>GDCGRG72E08E919H</v>
      </c>
      <c r="E3505" t="s">
        <v>52</v>
      </c>
      <c r="F3505">
        <v>2016</v>
      </c>
      <c r="G3505" t="str">
        <f>"         FATTPA 2_16"</f>
        <v xml:space="preserve">         FATTPA 2_16</v>
      </c>
      <c r="H3505" s="3">
        <v>42403</v>
      </c>
      <c r="I3505" s="3">
        <v>42404</v>
      </c>
      <c r="J3505" s="3">
        <v>42403</v>
      </c>
      <c r="K3505" s="3">
        <v>42463</v>
      </c>
      <c r="L3505"/>
      <c r="N3505"/>
      <c r="O3505" s="4">
        <v>2024.91</v>
      </c>
      <c r="P3505">
        <v>-37</v>
      </c>
      <c r="Q3505" s="4">
        <v>-74921.67</v>
      </c>
      <c r="R3505">
        <v>0</v>
      </c>
      <c r="V3505">
        <v>0</v>
      </c>
      <c r="W3505">
        <v>0</v>
      </c>
      <c r="X3505">
        <v>0</v>
      </c>
      <c r="Y3505" s="4">
        <v>2024.91</v>
      </c>
      <c r="Z3505" s="4">
        <v>2024.91</v>
      </c>
      <c r="AA3505" s="4">
        <v>2024.91</v>
      </c>
      <c r="AB3505" s="3">
        <v>42562</v>
      </c>
      <c r="AC3505" t="s">
        <v>53</v>
      </c>
      <c r="AD3505" t="s">
        <v>53</v>
      </c>
      <c r="AK3505">
        <v>0</v>
      </c>
      <c r="AU3505" s="3">
        <v>42426</v>
      </c>
      <c r="AV3505" s="3">
        <v>42426</v>
      </c>
      <c r="AW3505" t="s">
        <v>54</v>
      </c>
      <c r="AX3505" t="str">
        <f t="shared" si="418"/>
        <v>ALTPRO</v>
      </c>
      <c r="AY3505" t="s">
        <v>93</v>
      </c>
    </row>
    <row r="3506" spans="1:51" hidden="1">
      <c r="A3506">
        <v>106298</v>
      </c>
      <c r="B3506" t="s">
        <v>437</v>
      </c>
      <c r="C3506" t="str">
        <f t="shared" si="416"/>
        <v>05074110650</v>
      </c>
      <c r="D3506" t="str">
        <f t="shared" si="417"/>
        <v>GDCGRG72E08E919H</v>
      </c>
      <c r="E3506" t="s">
        <v>52</v>
      </c>
      <c r="F3506">
        <v>2016</v>
      </c>
      <c r="G3506" t="str">
        <f>"         FATTPA 3_16"</f>
        <v xml:space="preserve">         FATTPA 3_16</v>
      </c>
      <c r="H3506" s="3">
        <v>42433</v>
      </c>
      <c r="I3506" s="3">
        <v>42436</v>
      </c>
      <c r="J3506" s="3">
        <v>42433</v>
      </c>
      <c r="K3506" s="3">
        <v>42493</v>
      </c>
      <c r="L3506"/>
      <c r="N3506"/>
      <c r="O3506" s="4">
        <v>2109.1999999999998</v>
      </c>
      <c r="P3506">
        <v>-42</v>
      </c>
      <c r="Q3506" s="4">
        <v>-88586.4</v>
      </c>
      <c r="R3506">
        <v>0</v>
      </c>
      <c r="V3506">
        <v>0</v>
      </c>
      <c r="W3506">
        <v>0</v>
      </c>
      <c r="X3506">
        <v>0</v>
      </c>
      <c r="Y3506" s="4">
        <v>2109.1999999999998</v>
      </c>
      <c r="Z3506" s="4">
        <v>2109.1999999999998</v>
      </c>
      <c r="AA3506" s="4">
        <v>2109.1999999999998</v>
      </c>
      <c r="AB3506" s="3">
        <v>42562</v>
      </c>
      <c r="AC3506" t="s">
        <v>53</v>
      </c>
      <c r="AD3506" t="s">
        <v>53</v>
      </c>
      <c r="AK3506">
        <v>0</v>
      </c>
      <c r="AU3506" s="3">
        <v>42451</v>
      </c>
      <c r="AV3506" s="3">
        <v>42451</v>
      </c>
      <c r="AW3506" t="s">
        <v>54</v>
      </c>
      <c r="AX3506" t="str">
        <f t="shared" si="418"/>
        <v>ALTPRO</v>
      </c>
      <c r="AY3506" t="s">
        <v>93</v>
      </c>
    </row>
    <row r="3507" spans="1:51">
      <c r="A3507">
        <v>106298</v>
      </c>
      <c r="B3507" t="s">
        <v>437</v>
      </c>
      <c r="C3507" t="str">
        <f t="shared" si="416"/>
        <v>05074110650</v>
      </c>
      <c r="D3507" t="str">
        <f t="shared" si="417"/>
        <v>GDCGRG72E08E919H</v>
      </c>
      <c r="E3507" t="s">
        <v>52</v>
      </c>
      <c r="F3507">
        <v>2016</v>
      </c>
      <c r="G3507" t="str">
        <f>"         FATTPA 4_16"</f>
        <v xml:space="preserve">         FATTPA 4_16</v>
      </c>
      <c r="H3507" s="3">
        <v>42471</v>
      </c>
      <c r="I3507" s="3">
        <v>42471</v>
      </c>
      <c r="J3507" s="3">
        <v>42471</v>
      </c>
      <c r="K3507" s="3">
        <v>42531</v>
      </c>
      <c r="L3507" s="5">
        <v>1994.71</v>
      </c>
      <c r="M3507">
        <v>-44</v>
      </c>
      <c r="N3507" s="5">
        <v>-87767.24</v>
      </c>
      <c r="O3507" s="4">
        <v>1994.71</v>
      </c>
      <c r="P3507">
        <v>-44</v>
      </c>
      <c r="Q3507" s="4">
        <v>-87767.24</v>
      </c>
      <c r="R3507">
        <v>0</v>
      </c>
      <c r="V3507">
        <v>-498.18</v>
      </c>
      <c r="W3507" s="4">
        <v>1994.71</v>
      </c>
      <c r="X3507" s="4">
        <v>1994.71</v>
      </c>
      <c r="Y3507" s="4">
        <v>1994.71</v>
      </c>
      <c r="Z3507" s="4">
        <v>1994.71</v>
      </c>
      <c r="AA3507" s="4">
        <v>1994.71</v>
      </c>
      <c r="AB3507" s="3">
        <v>42562</v>
      </c>
      <c r="AC3507" t="s">
        <v>53</v>
      </c>
      <c r="AD3507" t="s">
        <v>53</v>
      </c>
      <c r="AK3507">
        <v>0</v>
      </c>
      <c r="AU3507" s="3">
        <v>42487</v>
      </c>
      <c r="AV3507" s="3">
        <v>42487</v>
      </c>
      <c r="AW3507" t="s">
        <v>54</v>
      </c>
      <c r="AX3507" t="str">
        <f t="shared" si="418"/>
        <v>ALTPRO</v>
      </c>
      <c r="AY3507" t="s">
        <v>93</v>
      </c>
    </row>
    <row r="3508" spans="1:51">
      <c r="A3508">
        <v>106298</v>
      </c>
      <c r="B3508" t="s">
        <v>437</v>
      </c>
      <c r="C3508" t="str">
        <f t="shared" si="416"/>
        <v>05074110650</v>
      </c>
      <c r="D3508" t="str">
        <f t="shared" si="417"/>
        <v>GDCGRG72E08E919H</v>
      </c>
      <c r="E3508" t="s">
        <v>52</v>
      </c>
      <c r="F3508">
        <v>2016</v>
      </c>
      <c r="G3508" t="str">
        <f>"         FATTPA 5_16"</f>
        <v xml:space="preserve">         FATTPA 5_16</v>
      </c>
      <c r="H3508" s="3">
        <v>42492</v>
      </c>
      <c r="I3508" s="3">
        <v>42493</v>
      </c>
      <c r="J3508" s="3">
        <v>42493</v>
      </c>
      <c r="K3508" s="3">
        <v>42553</v>
      </c>
      <c r="L3508" s="5">
        <v>2109.1999999999998</v>
      </c>
      <c r="M3508">
        <v>-37</v>
      </c>
      <c r="N3508" s="5">
        <v>-78040.399999999994</v>
      </c>
      <c r="O3508" s="4">
        <v>2109.1999999999998</v>
      </c>
      <c r="P3508">
        <v>-37</v>
      </c>
      <c r="Q3508" s="4">
        <v>-78040.399999999994</v>
      </c>
      <c r="R3508">
        <v>0</v>
      </c>
      <c r="V3508" s="4">
        <v>2109.1999999999998</v>
      </c>
      <c r="W3508" s="4">
        <v>2109.1999999999998</v>
      </c>
      <c r="X3508" s="4">
        <v>2109.1999999999998</v>
      </c>
      <c r="Y3508" s="4">
        <v>2109.1999999999998</v>
      </c>
      <c r="Z3508" s="4">
        <v>2109.1999999999998</v>
      </c>
      <c r="AA3508" s="4">
        <v>2109.1999999999998</v>
      </c>
      <c r="AB3508" s="3">
        <v>42562</v>
      </c>
      <c r="AC3508" t="s">
        <v>53</v>
      </c>
      <c r="AD3508" t="s">
        <v>53</v>
      </c>
      <c r="AK3508">
        <v>0</v>
      </c>
      <c r="AU3508" s="3">
        <v>42516</v>
      </c>
      <c r="AV3508" s="3">
        <v>42516</v>
      </c>
      <c r="AW3508" t="s">
        <v>54</v>
      </c>
      <c r="AX3508" t="str">
        <f t="shared" si="418"/>
        <v>ALTPRO</v>
      </c>
      <c r="AY3508" t="s">
        <v>93</v>
      </c>
    </row>
    <row r="3509" spans="1:51">
      <c r="A3509">
        <v>106298</v>
      </c>
      <c r="B3509" t="s">
        <v>437</v>
      </c>
      <c r="C3509" t="str">
        <f t="shared" si="416"/>
        <v>05074110650</v>
      </c>
      <c r="D3509" t="str">
        <f t="shared" si="417"/>
        <v>GDCGRG72E08E919H</v>
      </c>
      <c r="E3509" t="s">
        <v>52</v>
      </c>
      <c r="F3509">
        <v>2016</v>
      </c>
      <c r="G3509" t="str">
        <f>"         FATTPA 6_16"</f>
        <v xml:space="preserve">         FATTPA 6_16</v>
      </c>
      <c r="H3509" s="3">
        <v>42522</v>
      </c>
      <c r="I3509" s="3">
        <v>42527</v>
      </c>
      <c r="J3509" s="3">
        <v>42522</v>
      </c>
      <c r="K3509" s="3">
        <v>42582</v>
      </c>
      <c r="L3509" s="5">
        <v>1613.87</v>
      </c>
      <c r="M3509">
        <v>-54</v>
      </c>
      <c r="N3509" s="5">
        <v>-87148.98</v>
      </c>
      <c r="O3509" s="4">
        <v>1613.87</v>
      </c>
      <c r="P3509">
        <v>-54</v>
      </c>
      <c r="Q3509" s="4">
        <v>-87148.98</v>
      </c>
      <c r="R3509">
        <v>0</v>
      </c>
      <c r="V3509" s="4">
        <v>1613.87</v>
      </c>
      <c r="W3509" s="4">
        <v>1613.87</v>
      </c>
      <c r="X3509" s="4">
        <v>1613.87</v>
      </c>
      <c r="Y3509" s="4">
        <v>1613.87</v>
      </c>
      <c r="Z3509" s="4">
        <v>1613.87</v>
      </c>
      <c r="AA3509" s="4">
        <v>1613.87</v>
      </c>
      <c r="AB3509" s="3">
        <v>42562</v>
      </c>
      <c r="AC3509" t="s">
        <v>53</v>
      </c>
      <c r="AD3509" t="s">
        <v>53</v>
      </c>
      <c r="AK3509">
        <v>0</v>
      </c>
      <c r="AU3509" s="3">
        <v>42528</v>
      </c>
      <c r="AV3509" s="3">
        <v>42528</v>
      </c>
      <c r="AW3509" t="s">
        <v>54</v>
      </c>
      <c r="AX3509" t="str">
        <f t="shared" si="418"/>
        <v>ALTPRO</v>
      </c>
      <c r="AY3509" t="s">
        <v>93</v>
      </c>
    </row>
    <row r="3510" spans="1:51">
      <c r="A3510">
        <v>106300</v>
      </c>
      <c r="B3510" t="s">
        <v>438</v>
      </c>
      <c r="C3510" t="str">
        <f>"00876220633"</f>
        <v>00876220633</v>
      </c>
      <c r="D3510" t="str">
        <f>"00876220633"</f>
        <v>00876220633</v>
      </c>
      <c r="E3510" t="s">
        <v>52</v>
      </c>
      <c r="F3510">
        <v>2015</v>
      </c>
      <c r="G3510" t="str">
        <f>"            VE018-62"</f>
        <v xml:space="preserve">            VE018-62</v>
      </c>
      <c r="H3510" s="3">
        <v>42275</v>
      </c>
      <c r="I3510" s="3">
        <v>42282</v>
      </c>
      <c r="J3510" s="3">
        <v>42277</v>
      </c>
      <c r="K3510" s="3">
        <v>42337</v>
      </c>
      <c r="L3510" s="5">
        <v>13079.37</v>
      </c>
      <c r="M3510">
        <v>127</v>
      </c>
      <c r="N3510" s="5">
        <v>1661079.99</v>
      </c>
      <c r="O3510" s="4">
        <v>13079.37</v>
      </c>
      <c r="P3510">
        <v>127</v>
      </c>
      <c r="Q3510" s="4">
        <v>1661079.99</v>
      </c>
      <c r="R3510">
        <v>0</v>
      </c>
      <c r="V3510">
        <v>0</v>
      </c>
      <c r="W3510">
        <v>0</v>
      </c>
      <c r="X3510">
        <v>0</v>
      </c>
      <c r="Y3510">
        <v>0</v>
      </c>
      <c r="Z3510">
        <v>0</v>
      </c>
      <c r="AA3510">
        <v>0</v>
      </c>
      <c r="AB3510" s="3">
        <v>42562</v>
      </c>
      <c r="AC3510" t="s">
        <v>53</v>
      </c>
      <c r="AD3510" t="s">
        <v>53</v>
      </c>
      <c r="AK3510">
        <v>0</v>
      </c>
      <c r="AU3510" s="3">
        <v>42464</v>
      </c>
      <c r="AV3510" s="3">
        <v>42464</v>
      </c>
      <c r="AW3510" t="s">
        <v>54</v>
      </c>
      <c r="AX3510" t="str">
        <f>"ALT"</f>
        <v>ALT</v>
      </c>
      <c r="AY3510" t="s">
        <v>72</v>
      </c>
    </row>
    <row r="3511" spans="1:51">
      <c r="A3511">
        <v>106300</v>
      </c>
      <c r="B3511" t="s">
        <v>438</v>
      </c>
      <c r="C3511" t="str">
        <f>"00876220633"</f>
        <v>00876220633</v>
      </c>
      <c r="D3511" t="str">
        <f>"00876220633"</f>
        <v>00876220633</v>
      </c>
      <c r="E3511" t="s">
        <v>52</v>
      </c>
      <c r="F3511">
        <v>2016</v>
      </c>
      <c r="G3511" t="str">
        <f>"            VE018-19"</f>
        <v xml:space="preserve">            VE018-19</v>
      </c>
      <c r="H3511" s="3">
        <v>42426</v>
      </c>
      <c r="I3511" s="3">
        <v>42429</v>
      </c>
      <c r="J3511" s="3">
        <v>42426</v>
      </c>
      <c r="K3511" s="3">
        <v>42486</v>
      </c>
      <c r="L3511" s="5">
        <v>11974.37</v>
      </c>
      <c r="M3511">
        <v>1</v>
      </c>
      <c r="N3511" s="5">
        <v>11974.37</v>
      </c>
      <c r="O3511" s="4">
        <v>11974.37</v>
      </c>
      <c r="P3511">
        <v>1</v>
      </c>
      <c r="Q3511" s="4">
        <v>11974.37</v>
      </c>
      <c r="R3511">
        <v>0</v>
      </c>
      <c r="V3511">
        <v>0</v>
      </c>
      <c r="W3511">
        <v>0</v>
      </c>
      <c r="X3511">
        <v>0</v>
      </c>
      <c r="Y3511">
        <v>0</v>
      </c>
      <c r="Z3511" s="4">
        <v>14608.73</v>
      </c>
      <c r="AA3511" s="4">
        <v>14608.73</v>
      </c>
      <c r="AB3511" s="3">
        <v>42562</v>
      </c>
      <c r="AC3511" t="s">
        <v>53</v>
      </c>
      <c r="AD3511" t="s">
        <v>53</v>
      </c>
      <c r="AK3511">
        <v>0</v>
      </c>
      <c r="AU3511" s="3">
        <v>42487</v>
      </c>
      <c r="AV3511" s="3">
        <v>42487</v>
      </c>
      <c r="AW3511" t="s">
        <v>54</v>
      </c>
      <c r="AX3511" t="str">
        <f>"ALT"</f>
        <v>ALT</v>
      </c>
      <c r="AY3511" t="s">
        <v>72</v>
      </c>
    </row>
    <row r="3512" spans="1:51" hidden="1">
      <c r="A3512">
        <v>106302</v>
      </c>
      <c r="B3512" t="s">
        <v>439</v>
      </c>
      <c r="C3512" t="str">
        <f t="shared" ref="C3512:C3517" si="419">"01472540622"</f>
        <v>01472540622</v>
      </c>
      <c r="D3512" t="str">
        <f t="shared" ref="D3512:D3517" si="420">"FLPRST82L62A783N"</f>
        <v>FLPRST82L62A783N</v>
      </c>
      <c r="E3512" t="s">
        <v>52</v>
      </c>
      <c r="F3512">
        <v>2015</v>
      </c>
      <c r="G3512" t="str">
        <f>"         FATTPA 8_15"</f>
        <v xml:space="preserve">         FATTPA 8_15</v>
      </c>
      <c r="H3512" s="3">
        <v>42347</v>
      </c>
      <c r="I3512" s="3">
        <v>42369</v>
      </c>
      <c r="J3512" s="3">
        <v>42369</v>
      </c>
      <c r="K3512" s="3">
        <v>42429</v>
      </c>
      <c r="L3512"/>
      <c r="N3512"/>
      <c r="O3512">
        <v>418.67</v>
      </c>
      <c r="P3512">
        <v>-32</v>
      </c>
      <c r="Q3512" s="4">
        <v>-13397.44</v>
      </c>
      <c r="R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 s="3">
        <v>42562</v>
      </c>
      <c r="AC3512" t="s">
        <v>53</v>
      </c>
      <c r="AD3512" t="s">
        <v>53</v>
      </c>
      <c r="AK3512">
        <v>0</v>
      </c>
      <c r="AU3512" s="3">
        <v>42397</v>
      </c>
      <c r="AV3512" s="3">
        <v>42397</v>
      </c>
      <c r="AW3512" t="s">
        <v>54</v>
      </c>
      <c r="AX3512" t="str">
        <f t="shared" ref="AX3512:AX3522" si="421">"ALTPRO"</f>
        <v>ALTPRO</v>
      </c>
      <c r="AY3512" t="s">
        <v>93</v>
      </c>
    </row>
    <row r="3513" spans="1:51" hidden="1">
      <c r="A3513">
        <v>106302</v>
      </c>
      <c r="B3513" t="s">
        <v>439</v>
      </c>
      <c r="C3513" t="str">
        <f t="shared" si="419"/>
        <v>01472540622</v>
      </c>
      <c r="D3513" t="str">
        <f t="shared" si="420"/>
        <v>FLPRST82L62A783N</v>
      </c>
      <c r="E3513" t="s">
        <v>52</v>
      </c>
      <c r="F3513">
        <v>2016</v>
      </c>
      <c r="G3513" t="str">
        <f>"         FATTPA 1_16"</f>
        <v xml:space="preserve">         FATTPA 1_16</v>
      </c>
      <c r="H3513" s="3">
        <v>42382</v>
      </c>
      <c r="I3513" s="3">
        <v>42390</v>
      </c>
      <c r="J3513" s="3">
        <v>42390</v>
      </c>
      <c r="K3513" s="3">
        <v>42450</v>
      </c>
      <c r="L3513"/>
      <c r="N3513"/>
      <c r="O3513">
        <v>418.67</v>
      </c>
      <c r="P3513">
        <v>-53</v>
      </c>
      <c r="Q3513" s="4">
        <v>-22189.51</v>
      </c>
      <c r="R3513">
        <v>0</v>
      </c>
      <c r="V3513">
        <v>0</v>
      </c>
      <c r="W3513">
        <v>0</v>
      </c>
      <c r="X3513">
        <v>0</v>
      </c>
      <c r="Y3513">
        <v>418.67</v>
      </c>
      <c r="Z3513">
        <v>418.67</v>
      </c>
      <c r="AA3513">
        <v>418.67</v>
      </c>
      <c r="AB3513" s="3">
        <v>42562</v>
      </c>
      <c r="AC3513" t="s">
        <v>53</v>
      </c>
      <c r="AD3513" t="s">
        <v>53</v>
      </c>
      <c r="AK3513">
        <v>0</v>
      </c>
      <c r="AU3513" s="3">
        <v>42397</v>
      </c>
      <c r="AV3513" s="3">
        <v>42397</v>
      </c>
      <c r="AW3513" t="s">
        <v>54</v>
      </c>
      <c r="AX3513" t="str">
        <f t="shared" si="421"/>
        <v>ALTPRO</v>
      </c>
      <c r="AY3513" t="s">
        <v>93</v>
      </c>
    </row>
    <row r="3514" spans="1:51">
      <c r="A3514">
        <v>106302</v>
      </c>
      <c r="B3514" t="s">
        <v>439</v>
      </c>
      <c r="C3514" t="str">
        <f t="shared" si="419"/>
        <v>01472540622</v>
      </c>
      <c r="D3514" t="str">
        <f t="shared" si="420"/>
        <v>FLPRST82L62A783N</v>
      </c>
      <c r="E3514" t="s">
        <v>52</v>
      </c>
      <c r="F3514">
        <v>2016</v>
      </c>
      <c r="G3514" t="str">
        <f>"         FATTPA 2_16"</f>
        <v xml:space="preserve">         FATTPA 2_16</v>
      </c>
      <c r="H3514" s="3">
        <v>42417</v>
      </c>
      <c r="I3514" s="3">
        <v>42509</v>
      </c>
      <c r="J3514" s="3">
        <v>42508</v>
      </c>
      <c r="K3514" s="3">
        <v>42568</v>
      </c>
      <c r="L3514" s="1">
        <v>418.67</v>
      </c>
      <c r="M3514">
        <v>-41</v>
      </c>
      <c r="N3514" s="5">
        <v>-17165.47</v>
      </c>
      <c r="O3514">
        <v>418.67</v>
      </c>
      <c r="P3514">
        <v>-41</v>
      </c>
      <c r="Q3514" s="4">
        <v>-17165.47</v>
      </c>
      <c r="R3514">
        <v>0</v>
      </c>
      <c r="V3514">
        <v>0</v>
      </c>
      <c r="W3514">
        <v>418.67</v>
      </c>
      <c r="X3514">
        <v>0</v>
      </c>
      <c r="Y3514">
        <v>418.67</v>
      </c>
      <c r="Z3514">
        <v>418.67</v>
      </c>
      <c r="AA3514">
        <v>418.67</v>
      </c>
      <c r="AB3514" s="3">
        <v>42562</v>
      </c>
      <c r="AC3514" t="s">
        <v>53</v>
      </c>
      <c r="AD3514" t="s">
        <v>53</v>
      </c>
      <c r="AK3514">
        <v>0</v>
      </c>
      <c r="AU3514" s="3">
        <v>42527</v>
      </c>
      <c r="AV3514" s="3">
        <v>42527</v>
      </c>
      <c r="AW3514" t="s">
        <v>54</v>
      </c>
      <c r="AX3514" t="str">
        <f t="shared" si="421"/>
        <v>ALTPRO</v>
      </c>
      <c r="AY3514" t="s">
        <v>93</v>
      </c>
    </row>
    <row r="3515" spans="1:51">
      <c r="A3515">
        <v>106302</v>
      </c>
      <c r="B3515" t="s">
        <v>439</v>
      </c>
      <c r="C3515" t="str">
        <f t="shared" si="419"/>
        <v>01472540622</v>
      </c>
      <c r="D3515" t="str">
        <f t="shared" si="420"/>
        <v>FLPRST82L62A783N</v>
      </c>
      <c r="E3515" t="s">
        <v>52</v>
      </c>
      <c r="F3515">
        <v>2016</v>
      </c>
      <c r="G3515" t="str">
        <f>"         FATTPA 3_16"</f>
        <v xml:space="preserve">         FATTPA 3_16</v>
      </c>
      <c r="H3515" s="3">
        <v>42473</v>
      </c>
      <c r="I3515" s="3">
        <v>42475</v>
      </c>
      <c r="J3515" s="3">
        <v>42473</v>
      </c>
      <c r="K3515" s="3">
        <v>42533</v>
      </c>
      <c r="L3515" s="1">
        <v>418.67</v>
      </c>
      <c r="M3515">
        <v>-6</v>
      </c>
      <c r="N3515" s="5">
        <v>-2512.02</v>
      </c>
      <c r="O3515">
        <v>418.67</v>
      </c>
      <c r="P3515">
        <v>-6</v>
      </c>
      <c r="Q3515" s="4">
        <v>-2512.02</v>
      </c>
      <c r="R3515">
        <v>0</v>
      </c>
      <c r="V3515">
        <v>418.67</v>
      </c>
      <c r="W3515">
        <v>418.67</v>
      </c>
      <c r="X3515">
        <v>418.67</v>
      </c>
      <c r="Y3515">
        <v>418.67</v>
      </c>
      <c r="Z3515">
        <v>418.67</v>
      </c>
      <c r="AA3515">
        <v>418.67</v>
      </c>
      <c r="AB3515" s="3">
        <v>42562</v>
      </c>
      <c r="AC3515" t="s">
        <v>53</v>
      </c>
      <c r="AD3515" t="s">
        <v>53</v>
      </c>
      <c r="AK3515">
        <v>0</v>
      </c>
      <c r="AU3515" s="3">
        <v>42527</v>
      </c>
      <c r="AV3515" s="3">
        <v>42527</v>
      </c>
      <c r="AW3515" t="s">
        <v>54</v>
      </c>
      <c r="AX3515" t="str">
        <f t="shared" si="421"/>
        <v>ALTPRO</v>
      </c>
      <c r="AY3515" t="s">
        <v>93</v>
      </c>
    </row>
    <row r="3516" spans="1:51">
      <c r="A3516">
        <v>106302</v>
      </c>
      <c r="B3516" t="s">
        <v>439</v>
      </c>
      <c r="C3516" t="str">
        <f t="shared" si="419"/>
        <v>01472540622</v>
      </c>
      <c r="D3516" t="str">
        <f t="shared" si="420"/>
        <v>FLPRST82L62A783N</v>
      </c>
      <c r="E3516" t="s">
        <v>52</v>
      </c>
      <c r="F3516">
        <v>2016</v>
      </c>
      <c r="G3516" t="str">
        <f>"         FATTPA 4_16"</f>
        <v xml:space="preserve">         FATTPA 4_16</v>
      </c>
      <c r="H3516" s="3">
        <v>42473</v>
      </c>
      <c r="I3516" s="3">
        <v>42475</v>
      </c>
      <c r="J3516" s="3">
        <v>42473</v>
      </c>
      <c r="K3516" s="3">
        <v>42533</v>
      </c>
      <c r="L3516" s="1">
        <v>418.67</v>
      </c>
      <c r="M3516">
        <v>-6</v>
      </c>
      <c r="N3516" s="5">
        <v>-2512.02</v>
      </c>
      <c r="O3516">
        <v>418.67</v>
      </c>
      <c r="P3516">
        <v>-6</v>
      </c>
      <c r="Q3516" s="4">
        <v>-2512.02</v>
      </c>
      <c r="R3516">
        <v>0</v>
      </c>
      <c r="V3516">
        <v>418.67</v>
      </c>
      <c r="W3516">
        <v>418.67</v>
      </c>
      <c r="X3516">
        <v>418.67</v>
      </c>
      <c r="Y3516">
        <v>418.67</v>
      </c>
      <c r="Z3516">
        <v>418.67</v>
      </c>
      <c r="AA3516">
        <v>418.67</v>
      </c>
      <c r="AB3516" s="3">
        <v>42562</v>
      </c>
      <c r="AC3516" t="s">
        <v>53</v>
      </c>
      <c r="AD3516" t="s">
        <v>53</v>
      </c>
      <c r="AK3516">
        <v>0</v>
      </c>
      <c r="AU3516" s="3">
        <v>42527</v>
      </c>
      <c r="AV3516" s="3">
        <v>42527</v>
      </c>
      <c r="AW3516" t="s">
        <v>54</v>
      </c>
      <c r="AX3516" t="str">
        <f t="shared" si="421"/>
        <v>ALTPRO</v>
      </c>
      <c r="AY3516" t="s">
        <v>93</v>
      </c>
    </row>
    <row r="3517" spans="1:51">
      <c r="A3517">
        <v>106302</v>
      </c>
      <c r="B3517" t="s">
        <v>439</v>
      </c>
      <c r="C3517" t="str">
        <f t="shared" si="419"/>
        <v>01472540622</v>
      </c>
      <c r="D3517" t="str">
        <f t="shared" si="420"/>
        <v>FLPRST82L62A783N</v>
      </c>
      <c r="E3517" t="s">
        <v>52</v>
      </c>
      <c r="F3517">
        <v>2016</v>
      </c>
      <c r="G3517" t="str">
        <f>"         FATTPA 5_16"</f>
        <v xml:space="preserve">         FATTPA 5_16</v>
      </c>
      <c r="H3517" s="3">
        <v>42508</v>
      </c>
      <c r="I3517" s="3">
        <v>42509</v>
      </c>
      <c r="J3517" s="3">
        <v>42508</v>
      </c>
      <c r="K3517" s="3">
        <v>42568</v>
      </c>
      <c r="L3517" s="1">
        <v>418.67</v>
      </c>
      <c r="M3517">
        <v>-41</v>
      </c>
      <c r="N3517" s="5">
        <v>-17165.47</v>
      </c>
      <c r="O3517">
        <v>418.67</v>
      </c>
      <c r="P3517">
        <v>-41</v>
      </c>
      <c r="Q3517" s="4">
        <v>-17165.47</v>
      </c>
      <c r="R3517">
        <v>0</v>
      </c>
      <c r="V3517">
        <v>418.67</v>
      </c>
      <c r="W3517">
        <v>418.67</v>
      </c>
      <c r="X3517">
        <v>418.67</v>
      </c>
      <c r="Y3517">
        <v>418.67</v>
      </c>
      <c r="Z3517">
        <v>418.67</v>
      </c>
      <c r="AA3517">
        <v>418.67</v>
      </c>
      <c r="AB3517" s="3">
        <v>42562</v>
      </c>
      <c r="AC3517" t="s">
        <v>53</v>
      </c>
      <c r="AD3517" t="s">
        <v>53</v>
      </c>
      <c r="AK3517">
        <v>0</v>
      </c>
      <c r="AU3517" s="3">
        <v>42527</v>
      </c>
      <c r="AV3517" s="3">
        <v>42527</v>
      </c>
      <c r="AW3517" t="s">
        <v>54</v>
      </c>
      <c r="AX3517" t="str">
        <f t="shared" si="421"/>
        <v>ALTPRO</v>
      </c>
      <c r="AY3517" t="s">
        <v>93</v>
      </c>
    </row>
    <row r="3518" spans="1:51" hidden="1">
      <c r="A3518">
        <v>106315</v>
      </c>
      <c r="B3518" t="s">
        <v>440</v>
      </c>
      <c r="C3518" t="str">
        <f>"01572840625"</f>
        <v>01572840625</v>
      </c>
      <c r="D3518" t="str">
        <f>"TRNGPP73S45A783A"</f>
        <v>TRNGPP73S45A783A</v>
      </c>
      <c r="E3518" t="s">
        <v>52</v>
      </c>
      <c r="F3518">
        <v>2016</v>
      </c>
      <c r="G3518" t="str">
        <f>"      000001-2016-FE"</f>
        <v xml:space="preserve">      000001-2016-FE</v>
      </c>
      <c r="H3518" s="3">
        <v>42381</v>
      </c>
      <c r="I3518" s="3">
        <v>42382</v>
      </c>
      <c r="J3518" s="3">
        <v>42381</v>
      </c>
      <c r="K3518" s="3">
        <v>42441</v>
      </c>
      <c r="L3518"/>
      <c r="N3518"/>
      <c r="O3518" s="4">
        <v>2162.7600000000002</v>
      </c>
      <c r="P3518">
        <v>-44</v>
      </c>
      <c r="Q3518" s="4">
        <v>-95161.44</v>
      </c>
      <c r="R3518">
        <v>0</v>
      </c>
      <c r="V3518">
        <v>0</v>
      </c>
      <c r="W3518">
        <v>0</v>
      </c>
      <c r="X3518">
        <v>0</v>
      </c>
      <c r="Y3518">
        <v>0</v>
      </c>
      <c r="Z3518" s="4">
        <v>2162.7600000000002</v>
      </c>
      <c r="AA3518" s="4">
        <v>2162.7600000000002</v>
      </c>
      <c r="AB3518" s="3">
        <v>42562</v>
      </c>
      <c r="AC3518" t="s">
        <v>53</v>
      </c>
      <c r="AD3518" t="s">
        <v>53</v>
      </c>
      <c r="AK3518">
        <v>0</v>
      </c>
      <c r="AU3518" s="3">
        <v>42397</v>
      </c>
      <c r="AV3518" s="3">
        <v>42397</v>
      </c>
      <c r="AW3518" t="s">
        <v>54</v>
      </c>
      <c r="AX3518" t="str">
        <f t="shared" si="421"/>
        <v>ALTPRO</v>
      </c>
      <c r="AY3518" t="s">
        <v>93</v>
      </c>
    </row>
    <row r="3519" spans="1:51" hidden="1">
      <c r="A3519">
        <v>106315</v>
      </c>
      <c r="B3519" t="s">
        <v>440</v>
      </c>
      <c r="C3519" t="str">
        <f>"01572840625"</f>
        <v>01572840625</v>
      </c>
      <c r="D3519" t="str">
        <f>"TRNGPP73S45A783A"</f>
        <v>TRNGPP73S45A783A</v>
      </c>
      <c r="E3519" t="s">
        <v>52</v>
      </c>
      <c r="F3519">
        <v>2016</v>
      </c>
      <c r="G3519" t="str">
        <f>"      000002-2016-FE"</f>
        <v xml:space="preserve">      000002-2016-FE</v>
      </c>
      <c r="H3519" s="3">
        <v>42405</v>
      </c>
      <c r="I3519" s="3">
        <v>42408</v>
      </c>
      <c r="J3519" s="3">
        <v>42405</v>
      </c>
      <c r="K3519" s="3">
        <v>42465</v>
      </c>
      <c r="L3519"/>
      <c r="N3519"/>
      <c r="O3519" s="4">
        <v>2283.9299999999998</v>
      </c>
      <c r="P3519">
        <v>-39</v>
      </c>
      <c r="Q3519" s="4">
        <v>-89073.27</v>
      </c>
      <c r="R3519">
        <v>0</v>
      </c>
      <c r="V3519">
        <v>0</v>
      </c>
      <c r="W3519">
        <v>0</v>
      </c>
      <c r="X3519">
        <v>0</v>
      </c>
      <c r="Y3519" s="4">
        <v>2283.9299999999998</v>
      </c>
      <c r="Z3519" s="4">
        <v>2283.9299999999998</v>
      </c>
      <c r="AA3519" s="4">
        <v>2283.9299999999998</v>
      </c>
      <c r="AB3519" s="3">
        <v>42562</v>
      </c>
      <c r="AC3519" t="s">
        <v>53</v>
      </c>
      <c r="AD3519" t="s">
        <v>53</v>
      </c>
      <c r="AK3519">
        <v>0</v>
      </c>
      <c r="AU3519" s="3">
        <v>42426</v>
      </c>
      <c r="AV3519" s="3">
        <v>42426</v>
      </c>
      <c r="AW3519" t="s">
        <v>54</v>
      </c>
      <c r="AX3519" t="str">
        <f t="shared" si="421"/>
        <v>ALTPRO</v>
      </c>
      <c r="AY3519" t="s">
        <v>93</v>
      </c>
    </row>
    <row r="3520" spans="1:51" hidden="1">
      <c r="A3520">
        <v>106315</v>
      </c>
      <c r="B3520" t="s">
        <v>440</v>
      </c>
      <c r="C3520" t="str">
        <f>"01572840625"</f>
        <v>01572840625</v>
      </c>
      <c r="D3520" t="str">
        <f>"TRNGPP73S45A783A"</f>
        <v>TRNGPP73S45A783A</v>
      </c>
      <c r="E3520" t="s">
        <v>52</v>
      </c>
      <c r="F3520">
        <v>2016</v>
      </c>
      <c r="G3520" t="str">
        <f>"      000003-2016-FE"</f>
        <v xml:space="preserve">      000003-2016-FE</v>
      </c>
      <c r="H3520" s="3">
        <v>42433</v>
      </c>
      <c r="I3520" s="3">
        <v>42436</v>
      </c>
      <c r="J3520" s="3">
        <v>42433</v>
      </c>
      <c r="K3520" s="3">
        <v>42493</v>
      </c>
      <c r="L3520"/>
      <c r="N3520"/>
      <c r="O3520" s="4">
        <v>2543.64</v>
      </c>
      <c r="P3520">
        <v>-42</v>
      </c>
      <c r="Q3520" s="4">
        <v>-106832.88</v>
      </c>
      <c r="R3520">
        <v>0</v>
      </c>
      <c r="V3520">
        <v>0</v>
      </c>
      <c r="W3520">
        <v>0</v>
      </c>
      <c r="X3520">
        <v>0</v>
      </c>
      <c r="Y3520" s="4">
        <v>2543.64</v>
      </c>
      <c r="Z3520" s="4">
        <v>2543.64</v>
      </c>
      <c r="AA3520" s="4">
        <v>2543.64</v>
      </c>
      <c r="AB3520" s="3">
        <v>42562</v>
      </c>
      <c r="AC3520" t="s">
        <v>53</v>
      </c>
      <c r="AD3520" t="s">
        <v>53</v>
      </c>
      <c r="AK3520">
        <v>0</v>
      </c>
      <c r="AU3520" s="3">
        <v>42451</v>
      </c>
      <c r="AV3520" s="3">
        <v>42451</v>
      </c>
      <c r="AW3520" t="s">
        <v>54</v>
      </c>
      <c r="AX3520" t="str">
        <f t="shared" si="421"/>
        <v>ALTPRO</v>
      </c>
      <c r="AY3520" t="s">
        <v>93</v>
      </c>
    </row>
    <row r="3521" spans="1:51">
      <c r="A3521">
        <v>106315</v>
      </c>
      <c r="B3521" t="s">
        <v>440</v>
      </c>
      <c r="C3521" t="str">
        <f>"01572840625"</f>
        <v>01572840625</v>
      </c>
      <c r="D3521" t="str">
        <f>"TRNGPP73S45A783A"</f>
        <v>TRNGPP73S45A783A</v>
      </c>
      <c r="E3521" t="s">
        <v>52</v>
      </c>
      <c r="F3521">
        <v>2016</v>
      </c>
      <c r="G3521" t="str">
        <f>"      000004-2016-FE"</f>
        <v xml:space="preserve">      000004-2016-FE</v>
      </c>
      <c r="H3521" s="3">
        <v>42465</v>
      </c>
      <c r="I3521" s="3">
        <v>42466</v>
      </c>
      <c r="J3521" s="3">
        <v>42465</v>
      </c>
      <c r="K3521" s="3">
        <v>42525</v>
      </c>
      <c r="L3521" s="5">
        <v>2379.98</v>
      </c>
      <c r="M3521">
        <v>-38</v>
      </c>
      <c r="N3521" s="5">
        <v>-90439.24</v>
      </c>
      <c r="O3521" s="4">
        <v>2379.98</v>
      </c>
      <c r="P3521">
        <v>-38</v>
      </c>
      <c r="Q3521" s="4">
        <v>-90439.24</v>
      </c>
      <c r="R3521">
        <v>0</v>
      </c>
      <c r="V3521">
        <v>0</v>
      </c>
      <c r="W3521" s="4">
        <v>2379.98</v>
      </c>
      <c r="X3521" s="4">
        <v>2379.98</v>
      </c>
      <c r="Y3521" s="4">
        <v>2379.98</v>
      </c>
      <c r="Z3521" s="4">
        <v>2379.98</v>
      </c>
      <c r="AA3521" s="4">
        <v>2379.98</v>
      </c>
      <c r="AB3521" s="3">
        <v>42562</v>
      </c>
      <c r="AC3521" t="s">
        <v>53</v>
      </c>
      <c r="AD3521" t="s">
        <v>53</v>
      </c>
      <c r="AK3521">
        <v>0</v>
      </c>
      <c r="AU3521" s="3">
        <v>42487</v>
      </c>
      <c r="AV3521" s="3">
        <v>42487</v>
      </c>
      <c r="AW3521" t="s">
        <v>54</v>
      </c>
      <c r="AX3521" t="str">
        <f t="shared" si="421"/>
        <v>ALTPRO</v>
      </c>
      <c r="AY3521" t="s">
        <v>93</v>
      </c>
    </row>
    <row r="3522" spans="1:51">
      <c r="A3522">
        <v>106315</v>
      </c>
      <c r="B3522" t="s">
        <v>440</v>
      </c>
      <c r="C3522" t="str">
        <f>"01572840625"</f>
        <v>01572840625</v>
      </c>
      <c r="D3522" t="str">
        <f>"TRNGPP73S45A783A"</f>
        <v>TRNGPP73S45A783A</v>
      </c>
      <c r="E3522" t="s">
        <v>52</v>
      </c>
      <c r="F3522">
        <v>2016</v>
      </c>
      <c r="G3522" t="str">
        <f>"      000005-2016-FE"</f>
        <v xml:space="preserve">      000005-2016-FE</v>
      </c>
      <c r="H3522" s="3">
        <v>42496</v>
      </c>
      <c r="I3522" s="3">
        <v>42499</v>
      </c>
      <c r="J3522" s="3">
        <v>42496</v>
      </c>
      <c r="K3522" s="3">
        <v>42556</v>
      </c>
      <c r="L3522" s="5">
        <v>2534.86</v>
      </c>
      <c r="M3522">
        <v>-40</v>
      </c>
      <c r="N3522" s="5">
        <v>-101394.4</v>
      </c>
      <c r="O3522" s="4">
        <v>2534.86</v>
      </c>
      <c r="P3522">
        <v>-40</v>
      </c>
      <c r="Q3522" s="4">
        <v>-101394.4</v>
      </c>
      <c r="R3522">
        <v>0</v>
      </c>
      <c r="V3522" s="4">
        <v>2534.86</v>
      </c>
      <c r="W3522" s="4">
        <v>2534.86</v>
      </c>
      <c r="X3522" s="4">
        <v>2534.86</v>
      </c>
      <c r="Y3522" s="4">
        <v>2534.86</v>
      </c>
      <c r="Z3522" s="4">
        <v>2534.86</v>
      </c>
      <c r="AA3522" s="4">
        <v>2534.86</v>
      </c>
      <c r="AB3522" s="3">
        <v>42562</v>
      </c>
      <c r="AC3522" t="s">
        <v>53</v>
      </c>
      <c r="AD3522" t="s">
        <v>53</v>
      </c>
      <c r="AK3522">
        <v>0</v>
      </c>
      <c r="AU3522" s="3">
        <v>42516</v>
      </c>
      <c r="AV3522" s="3">
        <v>42516</v>
      </c>
      <c r="AW3522" t="s">
        <v>54</v>
      </c>
      <c r="AX3522" t="str">
        <f t="shared" si="421"/>
        <v>ALTPRO</v>
      </c>
      <c r="AY3522" t="s">
        <v>93</v>
      </c>
    </row>
    <row r="3523" spans="1:51" hidden="1">
      <c r="A3523">
        <v>106319</v>
      </c>
      <c r="B3523" t="s">
        <v>441</v>
      </c>
      <c r="C3523" t="str">
        <f>"07858440964"</f>
        <v>07858440964</v>
      </c>
      <c r="D3523" t="str">
        <f>"07858440964"</f>
        <v>07858440964</v>
      </c>
      <c r="E3523" t="s">
        <v>52</v>
      </c>
      <c r="F3523">
        <v>2015</v>
      </c>
      <c r="G3523" t="str">
        <f>"          0000000371"</f>
        <v xml:space="preserve">          0000000371</v>
      </c>
      <c r="H3523" s="3">
        <v>42073</v>
      </c>
      <c r="I3523" s="3">
        <v>42283</v>
      </c>
      <c r="J3523" s="3">
        <v>42282</v>
      </c>
      <c r="K3523" s="3">
        <v>42342</v>
      </c>
      <c r="L3523"/>
      <c r="N3523"/>
      <c r="O3523" s="4">
        <v>10797.48</v>
      </c>
      <c r="P3523">
        <v>61</v>
      </c>
      <c r="Q3523" s="4">
        <v>658646.28</v>
      </c>
      <c r="R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 s="3">
        <v>42562</v>
      </c>
      <c r="AC3523" t="s">
        <v>53</v>
      </c>
      <c r="AD3523" t="s">
        <v>53</v>
      </c>
      <c r="AK3523">
        <v>0</v>
      </c>
      <c r="AU3523" s="3">
        <v>42403</v>
      </c>
      <c r="AV3523" s="3">
        <v>42403</v>
      </c>
      <c r="AW3523" t="s">
        <v>54</v>
      </c>
      <c r="AX3523" t="str">
        <f>"FOR"</f>
        <v>FOR</v>
      </c>
      <c r="AY3523" t="s">
        <v>55</v>
      </c>
    </row>
    <row r="3524" spans="1:51" hidden="1">
      <c r="A3524">
        <v>106319</v>
      </c>
      <c r="B3524" t="s">
        <v>441</v>
      </c>
      <c r="C3524" t="str">
        <f>"07858440964"</f>
        <v>07858440964</v>
      </c>
      <c r="D3524" t="str">
        <f>"07858440964"</f>
        <v>07858440964</v>
      </c>
      <c r="E3524" t="s">
        <v>52</v>
      </c>
      <c r="F3524">
        <v>2015</v>
      </c>
      <c r="G3524" t="str">
        <f>"          0000000550"</f>
        <v xml:space="preserve">          0000000550</v>
      </c>
      <c r="H3524" s="3">
        <v>42097</v>
      </c>
      <c r="I3524" s="3">
        <v>42108</v>
      </c>
      <c r="J3524" s="3">
        <v>42107</v>
      </c>
      <c r="K3524" s="3">
        <v>42167</v>
      </c>
      <c r="L3524"/>
      <c r="N3524"/>
      <c r="O3524" s="4">
        <v>3599.16</v>
      </c>
      <c r="P3524">
        <v>236</v>
      </c>
      <c r="Q3524" s="4">
        <v>849401.76</v>
      </c>
      <c r="R3524">
        <v>0</v>
      </c>
      <c r="V3524">
        <v>0</v>
      </c>
      <c r="W3524">
        <v>0</v>
      </c>
      <c r="X3524">
        <v>0</v>
      </c>
      <c r="Y3524">
        <v>0</v>
      </c>
      <c r="Z3524">
        <v>0</v>
      </c>
      <c r="AA3524">
        <v>0</v>
      </c>
      <c r="AB3524" s="3">
        <v>42562</v>
      </c>
      <c r="AC3524" t="s">
        <v>53</v>
      </c>
      <c r="AD3524" t="s">
        <v>53</v>
      </c>
      <c r="AK3524">
        <v>0</v>
      </c>
      <c r="AU3524" s="3">
        <v>42403</v>
      </c>
      <c r="AV3524" s="3">
        <v>42403</v>
      </c>
      <c r="AW3524" t="s">
        <v>54</v>
      </c>
      <c r="AX3524" t="str">
        <f>"FOR"</f>
        <v>FOR</v>
      </c>
      <c r="AY3524" t="s">
        <v>55</v>
      </c>
    </row>
    <row r="3525" spans="1:51" hidden="1">
      <c r="A3525">
        <v>106320</v>
      </c>
      <c r="B3525" t="s">
        <v>442</v>
      </c>
      <c r="C3525" t="str">
        <f>"07718031219"</f>
        <v>07718031219</v>
      </c>
      <c r="D3525" t="str">
        <f>"CQVFBA75S07H703O"</f>
        <v>CQVFBA75S07H703O</v>
      </c>
      <c r="E3525" t="s">
        <v>52</v>
      </c>
      <c r="F3525">
        <v>2016</v>
      </c>
      <c r="G3525" t="str">
        <f>"                 1/E"</f>
        <v xml:space="preserve">                 1/E</v>
      </c>
      <c r="H3525" s="3">
        <v>42377</v>
      </c>
      <c r="I3525" s="3">
        <v>42382</v>
      </c>
      <c r="J3525" s="3">
        <v>42381</v>
      </c>
      <c r="K3525" s="3">
        <v>42441</v>
      </c>
      <c r="L3525"/>
      <c r="N3525"/>
      <c r="O3525" s="4">
        <v>3002</v>
      </c>
      <c r="P3525">
        <v>-15</v>
      </c>
      <c r="Q3525" s="4">
        <v>-45030</v>
      </c>
      <c r="R3525">
        <v>0</v>
      </c>
      <c r="V3525">
        <v>0</v>
      </c>
      <c r="W3525">
        <v>0</v>
      </c>
      <c r="X3525">
        <v>0</v>
      </c>
      <c r="Y3525" s="4">
        <v>3002</v>
      </c>
      <c r="Z3525" s="4">
        <v>3002</v>
      </c>
      <c r="AA3525" s="4">
        <v>3002</v>
      </c>
      <c r="AB3525" s="3">
        <v>42562</v>
      </c>
      <c r="AC3525" t="s">
        <v>53</v>
      </c>
      <c r="AD3525" t="s">
        <v>53</v>
      </c>
      <c r="AK3525">
        <v>0</v>
      </c>
      <c r="AU3525" s="3">
        <v>42426</v>
      </c>
      <c r="AV3525" s="3">
        <v>42426</v>
      </c>
      <c r="AW3525" t="s">
        <v>54</v>
      </c>
      <c r="AX3525" t="str">
        <f>"ALTPRO"</f>
        <v>ALTPRO</v>
      </c>
      <c r="AY3525" t="s">
        <v>93</v>
      </c>
    </row>
    <row r="3526" spans="1:51" hidden="1">
      <c r="A3526">
        <v>106330</v>
      </c>
      <c r="B3526" t="s">
        <v>443</v>
      </c>
      <c r="C3526" t="str">
        <f t="shared" ref="C3526:D3529" si="422">"02717470641"</f>
        <v>02717470641</v>
      </c>
      <c r="D3526" t="str">
        <f t="shared" si="422"/>
        <v>02717470641</v>
      </c>
      <c r="E3526" t="s">
        <v>52</v>
      </c>
      <c r="F3526">
        <v>2014</v>
      </c>
      <c r="G3526" t="str">
        <f>"                  67"</f>
        <v xml:space="preserve">                  67</v>
      </c>
      <c r="H3526" s="3">
        <v>41977</v>
      </c>
      <c r="I3526" s="3">
        <v>41978</v>
      </c>
      <c r="J3526" s="3">
        <v>41978</v>
      </c>
      <c r="K3526" s="3">
        <v>42038</v>
      </c>
      <c r="L3526"/>
      <c r="N3526"/>
      <c r="O3526">
        <v>529.48</v>
      </c>
      <c r="P3526">
        <v>366</v>
      </c>
      <c r="Q3526" s="4">
        <v>193789.68</v>
      </c>
      <c r="R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 s="3">
        <v>42562</v>
      </c>
      <c r="AC3526" t="s">
        <v>53</v>
      </c>
      <c r="AD3526" t="s">
        <v>53</v>
      </c>
      <c r="AK3526">
        <v>0</v>
      </c>
      <c r="AU3526" s="3">
        <v>42404</v>
      </c>
      <c r="AV3526" s="3">
        <v>42404</v>
      </c>
      <c r="AW3526" t="s">
        <v>54</v>
      </c>
      <c r="AX3526" t="str">
        <f t="shared" ref="AX3526:AX3537" si="423">"FOR"</f>
        <v>FOR</v>
      </c>
      <c r="AY3526" t="s">
        <v>55</v>
      </c>
    </row>
    <row r="3527" spans="1:51" hidden="1">
      <c r="A3527">
        <v>106330</v>
      </c>
      <c r="B3527" t="s">
        <v>443</v>
      </c>
      <c r="C3527" t="str">
        <f t="shared" si="422"/>
        <v>02717470641</v>
      </c>
      <c r="D3527" t="str">
        <f t="shared" si="422"/>
        <v>02717470641</v>
      </c>
      <c r="E3527" t="s">
        <v>52</v>
      </c>
      <c r="F3527">
        <v>2015</v>
      </c>
      <c r="G3527" t="str">
        <f>"                  14"</f>
        <v xml:space="preserve">                  14</v>
      </c>
      <c r="H3527" s="3">
        <v>42058</v>
      </c>
      <c r="I3527" s="3">
        <v>42059</v>
      </c>
      <c r="J3527" s="3">
        <v>42059</v>
      </c>
      <c r="K3527" s="3">
        <v>42119</v>
      </c>
      <c r="L3527"/>
      <c r="N3527"/>
      <c r="O3527">
        <v>434</v>
      </c>
      <c r="P3527">
        <v>285</v>
      </c>
      <c r="Q3527" s="4">
        <v>123690</v>
      </c>
      <c r="R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 s="3">
        <v>42562</v>
      </c>
      <c r="AC3527" t="s">
        <v>53</v>
      </c>
      <c r="AD3527" t="s">
        <v>53</v>
      </c>
      <c r="AK3527">
        <v>0</v>
      </c>
      <c r="AU3527" s="3">
        <v>42404</v>
      </c>
      <c r="AV3527" s="3">
        <v>42404</v>
      </c>
      <c r="AW3527" t="s">
        <v>54</v>
      </c>
      <c r="AX3527" t="str">
        <f t="shared" si="423"/>
        <v>FOR</v>
      </c>
      <c r="AY3527" t="s">
        <v>55</v>
      </c>
    </row>
    <row r="3528" spans="1:51" hidden="1">
      <c r="A3528">
        <v>106330</v>
      </c>
      <c r="B3528" t="s">
        <v>443</v>
      </c>
      <c r="C3528" t="str">
        <f t="shared" si="422"/>
        <v>02717470641</v>
      </c>
      <c r="D3528" t="str">
        <f t="shared" si="422"/>
        <v>02717470641</v>
      </c>
      <c r="E3528" t="s">
        <v>52</v>
      </c>
      <c r="F3528">
        <v>2015</v>
      </c>
      <c r="G3528" t="str">
        <f>"             07/2015"</f>
        <v xml:space="preserve">             07/2015</v>
      </c>
      <c r="H3528" s="3">
        <v>42166</v>
      </c>
      <c r="I3528" s="3">
        <v>42174</v>
      </c>
      <c r="J3528" s="3">
        <v>42173</v>
      </c>
      <c r="K3528" s="3">
        <v>42233</v>
      </c>
      <c r="L3528"/>
      <c r="N3528"/>
      <c r="O3528">
        <v>874</v>
      </c>
      <c r="P3528">
        <v>171</v>
      </c>
      <c r="Q3528" s="4">
        <v>149454</v>
      </c>
      <c r="R3528">
        <v>0</v>
      </c>
      <c r="V3528">
        <v>0</v>
      </c>
      <c r="W3528">
        <v>0</v>
      </c>
      <c r="X3528">
        <v>0</v>
      </c>
      <c r="Y3528">
        <v>0</v>
      </c>
      <c r="Z3528">
        <v>0</v>
      </c>
      <c r="AA3528">
        <v>0</v>
      </c>
      <c r="AB3528" s="3">
        <v>42562</v>
      </c>
      <c r="AC3528" t="s">
        <v>53</v>
      </c>
      <c r="AD3528" t="s">
        <v>53</v>
      </c>
      <c r="AK3528">
        <v>0</v>
      </c>
      <c r="AU3528" s="3">
        <v>42404</v>
      </c>
      <c r="AV3528" s="3">
        <v>42404</v>
      </c>
      <c r="AW3528" t="s">
        <v>54</v>
      </c>
      <c r="AX3528" t="str">
        <f t="shared" si="423"/>
        <v>FOR</v>
      </c>
      <c r="AY3528" t="s">
        <v>55</v>
      </c>
    </row>
    <row r="3529" spans="1:51" hidden="1">
      <c r="A3529">
        <v>106330</v>
      </c>
      <c r="B3529" t="s">
        <v>443</v>
      </c>
      <c r="C3529" t="str">
        <f t="shared" si="422"/>
        <v>02717470641</v>
      </c>
      <c r="D3529" t="str">
        <f t="shared" si="422"/>
        <v>02717470641</v>
      </c>
      <c r="E3529" t="s">
        <v>52</v>
      </c>
      <c r="F3529">
        <v>2015</v>
      </c>
      <c r="G3529" t="str">
        <f>"             18/2015"</f>
        <v xml:space="preserve">             18/2015</v>
      </c>
      <c r="H3529" s="3">
        <v>42275</v>
      </c>
      <c r="I3529" s="3">
        <v>42275</v>
      </c>
      <c r="J3529" s="3">
        <v>42275</v>
      </c>
      <c r="K3529" s="3">
        <v>42335</v>
      </c>
      <c r="L3529"/>
      <c r="N3529"/>
      <c r="O3529">
        <v>874</v>
      </c>
      <c r="P3529">
        <v>69</v>
      </c>
      <c r="Q3529" s="4">
        <v>60306</v>
      </c>
      <c r="R3529">
        <v>0</v>
      </c>
      <c r="V3529">
        <v>0</v>
      </c>
      <c r="W3529">
        <v>0</v>
      </c>
      <c r="X3529">
        <v>0</v>
      </c>
      <c r="Y3529">
        <v>0</v>
      </c>
      <c r="Z3529">
        <v>0</v>
      </c>
      <c r="AA3529">
        <v>0</v>
      </c>
      <c r="AB3529" s="3">
        <v>42562</v>
      </c>
      <c r="AC3529" t="s">
        <v>53</v>
      </c>
      <c r="AD3529" t="s">
        <v>53</v>
      </c>
      <c r="AK3529">
        <v>0</v>
      </c>
      <c r="AU3529" s="3">
        <v>42404</v>
      </c>
      <c r="AV3529" s="3">
        <v>42404</v>
      </c>
      <c r="AW3529" t="s">
        <v>54</v>
      </c>
      <c r="AX3529" t="str">
        <f t="shared" si="423"/>
        <v>FOR</v>
      </c>
      <c r="AY3529" t="s">
        <v>55</v>
      </c>
    </row>
    <row r="3530" spans="1:51">
      <c r="A3530">
        <v>106340</v>
      </c>
      <c r="B3530" t="s">
        <v>444</v>
      </c>
      <c r="C3530" t="str">
        <f t="shared" ref="C3530:D3537" si="424">"07235590960"</f>
        <v>07235590960</v>
      </c>
      <c r="D3530" t="str">
        <f t="shared" si="424"/>
        <v>07235590960</v>
      </c>
      <c r="E3530" t="s">
        <v>52</v>
      </c>
      <c r="F3530">
        <v>2014</v>
      </c>
      <c r="G3530" t="str">
        <f>"            14001110"</f>
        <v xml:space="preserve">            14001110</v>
      </c>
      <c r="H3530" s="3">
        <v>41703</v>
      </c>
      <c r="I3530" s="3">
        <v>42040</v>
      </c>
      <c r="J3530" s="3">
        <v>42040</v>
      </c>
      <c r="K3530" s="3">
        <v>42100</v>
      </c>
      <c r="L3530" s="5">
        <v>1985.5</v>
      </c>
      <c r="M3530">
        <v>364</v>
      </c>
      <c r="N3530" s="5">
        <v>722722</v>
      </c>
      <c r="O3530" s="4">
        <v>1985.5</v>
      </c>
      <c r="P3530">
        <v>364</v>
      </c>
      <c r="Q3530" s="4">
        <v>722722</v>
      </c>
      <c r="R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 s="3">
        <v>42562</v>
      </c>
      <c r="AC3530" t="s">
        <v>53</v>
      </c>
      <c r="AD3530" t="s">
        <v>53</v>
      </c>
      <c r="AK3530">
        <v>0</v>
      </c>
      <c r="AU3530" s="3">
        <v>42464</v>
      </c>
      <c r="AV3530" s="3">
        <v>42464</v>
      </c>
      <c r="AW3530" t="s">
        <v>54</v>
      </c>
      <c r="AX3530" t="str">
        <f t="shared" si="423"/>
        <v>FOR</v>
      </c>
      <c r="AY3530" t="s">
        <v>55</v>
      </c>
    </row>
    <row r="3531" spans="1:51" hidden="1">
      <c r="A3531">
        <v>106340</v>
      </c>
      <c r="B3531" t="s">
        <v>444</v>
      </c>
      <c r="C3531" t="str">
        <f t="shared" si="424"/>
        <v>07235590960</v>
      </c>
      <c r="D3531" t="str">
        <f t="shared" si="424"/>
        <v>07235590960</v>
      </c>
      <c r="E3531" t="s">
        <v>52</v>
      </c>
      <c r="F3531">
        <v>2015</v>
      </c>
      <c r="G3531" t="str">
        <f>"            15001143"</f>
        <v xml:space="preserve">            15001143</v>
      </c>
      <c r="H3531" s="3">
        <v>42045</v>
      </c>
      <c r="I3531" s="3">
        <v>42048</v>
      </c>
      <c r="J3531" s="3">
        <v>42048</v>
      </c>
      <c r="K3531" s="3">
        <v>42108</v>
      </c>
      <c r="L3531"/>
      <c r="N3531"/>
      <c r="O3531" s="4">
        <v>1900</v>
      </c>
      <c r="P3531">
        <v>300</v>
      </c>
      <c r="Q3531" s="4">
        <v>570000</v>
      </c>
      <c r="R3531">
        <v>0</v>
      </c>
      <c r="V3531">
        <v>0</v>
      </c>
      <c r="W3531">
        <v>0</v>
      </c>
      <c r="X3531">
        <v>0</v>
      </c>
      <c r="Y3531">
        <v>0</v>
      </c>
      <c r="Z3531">
        <v>0</v>
      </c>
      <c r="AA3531">
        <v>0</v>
      </c>
      <c r="AB3531" s="3">
        <v>42562</v>
      </c>
      <c r="AC3531" t="s">
        <v>53</v>
      </c>
      <c r="AD3531" t="s">
        <v>53</v>
      </c>
      <c r="AK3531">
        <v>0</v>
      </c>
      <c r="AU3531" s="3">
        <v>42408</v>
      </c>
      <c r="AV3531" s="3">
        <v>42408</v>
      </c>
      <c r="AW3531" t="s">
        <v>54</v>
      </c>
      <c r="AX3531" t="str">
        <f t="shared" si="423"/>
        <v>FOR</v>
      </c>
      <c r="AY3531" t="s">
        <v>55</v>
      </c>
    </row>
    <row r="3532" spans="1:51">
      <c r="A3532">
        <v>106340</v>
      </c>
      <c r="B3532" t="s">
        <v>444</v>
      </c>
      <c r="C3532" t="str">
        <f t="shared" si="424"/>
        <v>07235590960</v>
      </c>
      <c r="D3532" t="str">
        <f t="shared" si="424"/>
        <v>07235590960</v>
      </c>
      <c r="E3532" t="s">
        <v>52</v>
      </c>
      <c r="F3532">
        <v>2015</v>
      </c>
      <c r="G3532" t="str">
        <f>"            15001195"</f>
        <v xml:space="preserve">            15001195</v>
      </c>
      <c r="H3532" s="3">
        <v>42047</v>
      </c>
      <c r="I3532" s="3">
        <v>42054</v>
      </c>
      <c r="J3532" s="3">
        <v>42054</v>
      </c>
      <c r="K3532" s="3">
        <v>42114</v>
      </c>
      <c r="L3532" s="5">
        <v>1900</v>
      </c>
      <c r="M3532">
        <v>413</v>
      </c>
      <c r="N3532" s="5">
        <v>784700</v>
      </c>
      <c r="O3532" s="4">
        <v>1900</v>
      </c>
      <c r="P3532">
        <v>413</v>
      </c>
      <c r="Q3532" s="4">
        <v>784700</v>
      </c>
      <c r="R3532">
        <v>190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 s="3">
        <v>42562</v>
      </c>
      <c r="AC3532" t="s">
        <v>53</v>
      </c>
      <c r="AD3532" t="s">
        <v>53</v>
      </c>
      <c r="AK3532">
        <v>190</v>
      </c>
      <c r="AU3532" s="3">
        <v>42527</v>
      </c>
      <c r="AV3532" s="3">
        <v>42527</v>
      </c>
      <c r="AW3532" t="s">
        <v>54</v>
      </c>
      <c r="AX3532" t="str">
        <f t="shared" si="423"/>
        <v>FOR</v>
      </c>
      <c r="AY3532" t="s">
        <v>55</v>
      </c>
    </row>
    <row r="3533" spans="1:51" hidden="1">
      <c r="A3533">
        <v>106340</v>
      </c>
      <c r="B3533" t="s">
        <v>444</v>
      </c>
      <c r="C3533" t="str">
        <f t="shared" si="424"/>
        <v>07235590960</v>
      </c>
      <c r="D3533" t="str">
        <f t="shared" si="424"/>
        <v>07235590960</v>
      </c>
      <c r="E3533" t="s">
        <v>52</v>
      </c>
      <c r="F3533">
        <v>2015</v>
      </c>
      <c r="G3533" t="str">
        <f>"            15001785"</f>
        <v xml:space="preserve">            15001785</v>
      </c>
      <c r="H3533" s="3">
        <v>42068</v>
      </c>
      <c r="I3533" s="3">
        <v>42081</v>
      </c>
      <c r="J3533" s="3">
        <v>42081</v>
      </c>
      <c r="K3533" s="3">
        <v>42141</v>
      </c>
      <c r="L3533"/>
      <c r="N3533"/>
      <c r="O3533">
        <v>475</v>
      </c>
      <c r="P3533">
        <v>267</v>
      </c>
      <c r="Q3533" s="4">
        <v>126825</v>
      </c>
      <c r="R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 s="3">
        <v>42562</v>
      </c>
      <c r="AC3533" t="s">
        <v>53</v>
      </c>
      <c r="AD3533" t="s">
        <v>53</v>
      </c>
      <c r="AK3533">
        <v>0</v>
      </c>
      <c r="AU3533" s="3">
        <v>42408</v>
      </c>
      <c r="AV3533" s="3">
        <v>42408</v>
      </c>
      <c r="AW3533" t="s">
        <v>54</v>
      </c>
      <c r="AX3533" t="str">
        <f t="shared" si="423"/>
        <v>FOR</v>
      </c>
      <c r="AY3533" t="s">
        <v>55</v>
      </c>
    </row>
    <row r="3534" spans="1:51" hidden="1">
      <c r="A3534">
        <v>106340</v>
      </c>
      <c r="B3534" t="s">
        <v>444</v>
      </c>
      <c r="C3534" t="str">
        <f t="shared" si="424"/>
        <v>07235590960</v>
      </c>
      <c r="D3534" t="str">
        <f t="shared" si="424"/>
        <v>07235590960</v>
      </c>
      <c r="E3534" t="s">
        <v>52</v>
      </c>
      <c r="F3534">
        <v>2015</v>
      </c>
      <c r="G3534" t="str">
        <f>"            15001800"</f>
        <v xml:space="preserve">            15001800</v>
      </c>
      <c r="H3534" s="3">
        <v>42068</v>
      </c>
      <c r="I3534" s="3">
        <v>42080</v>
      </c>
      <c r="J3534" s="3">
        <v>42080</v>
      </c>
      <c r="K3534" s="3">
        <v>42140</v>
      </c>
      <c r="L3534"/>
      <c r="N3534"/>
      <c r="O3534">
        <v>475</v>
      </c>
      <c r="P3534">
        <v>268</v>
      </c>
      <c r="Q3534" s="4">
        <v>127300</v>
      </c>
      <c r="R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 s="3">
        <v>42562</v>
      </c>
      <c r="AC3534" t="s">
        <v>53</v>
      </c>
      <c r="AD3534" t="s">
        <v>53</v>
      </c>
      <c r="AK3534">
        <v>0</v>
      </c>
      <c r="AU3534" s="3">
        <v>42408</v>
      </c>
      <c r="AV3534" s="3">
        <v>42408</v>
      </c>
      <c r="AW3534" t="s">
        <v>54</v>
      </c>
      <c r="AX3534" t="str">
        <f t="shared" si="423"/>
        <v>FOR</v>
      </c>
      <c r="AY3534" t="s">
        <v>55</v>
      </c>
    </row>
    <row r="3535" spans="1:51" hidden="1">
      <c r="A3535">
        <v>106340</v>
      </c>
      <c r="B3535" t="s">
        <v>444</v>
      </c>
      <c r="C3535" t="str">
        <f t="shared" si="424"/>
        <v>07235590960</v>
      </c>
      <c r="D3535" t="str">
        <f t="shared" si="424"/>
        <v>07235590960</v>
      </c>
      <c r="E3535" t="s">
        <v>52</v>
      </c>
      <c r="F3535">
        <v>2015</v>
      </c>
      <c r="G3535" t="str">
        <f>"            15002123"</f>
        <v xml:space="preserve">            15002123</v>
      </c>
      <c r="H3535" s="3">
        <v>42079</v>
      </c>
      <c r="I3535" s="3">
        <v>42086</v>
      </c>
      <c r="J3535" s="3">
        <v>42086</v>
      </c>
      <c r="K3535" s="3">
        <v>42146</v>
      </c>
      <c r="L3535"/>
      <c r="N3535"/>
      <c r="O3535" s="4">
        <v>1900</v>
      </c>
      <c r="P3535">
        <v>262</v>
      </c>
      <c r="Q3535" s="4">
        <v>497800</v>
      </c>
      <c r="R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 s="3">
        <v>42562</v>
      </c>
      <c r="AC3535" t="s">
        <v>53</v>
      </c>
      <c r="AD3535" t="s">
        <v>53</v>
      </c>
      <c r="AK3535">
        <v>0</v>
      </c>
      <c r="AU3535" s="3">
        <v>42408</v>
      </c>
      <c r="AV3535" s="3">
        <v>42408</v>
      </c>
      <c r="AW3535" t="s">
        <v>54</v>
      </c>
      <c r="AX3535" t="str">
        <f t="shared" si="423"/>
        <v>FOR</v>
      </c>
      <c r="AY3535" t="s">
        <v>55</v>
      </c>
    </row>
    <row r="3536" spans="1:51" hidden="1">
      <c r="A3536">
        <v>106340</v>
      </c>
      <c r="B3536" t="s">
        <v>444</v>
      </c>
      <c r="C3536" t="str">
        <f t="shared" si="424"/>
        <v>07235590960</v>
      </c>
      <c r="D3536" t="str">
        <f t="shared" si="424"/>
        <v>07235590960</v>
      </c>
      <c r="E3536" t="s">
        <v>52</v>
      </c>
      <c r="F3536">
        <v>2015</v>
      </c>
      <c r="G3536" t="str">
        <f>"            15002124"</f>
        <v xml:space="preserve">            15002124</v>
      </c>
      <c r="H3536" s="3">
        <v>42079</v>
      </c>
      <c r="I3536" s="3">
        <v>42086</v>
      </c>
      <c r="J3536" s="3">
        <v>42086</v>
      </c>
      <c r="K3536" s="3">
        <v>42146</v>
      </c>
      <c r="L3536"/>
      <c r="N3536"/>
      <c r="O3536" s="4">
        <v>1900</v>
      </c>
      <c r="P3536">
        <v>262</v>
      </c>
      <c r="Q3536" s="4">
        <v>497800</v>
      </c>
      <c r="R3536">
        <v>0</v>
      </c>
      <c r="V3536">
        <v>0</v>
      </c>
      <c r="W3536">
        <v>0</v>
      </c>
      <c r="X3536">
        <v>0</v>
      </c>
      <c r="Y3536">
        <v>0</v>
      </c>
      <c r="Z3536">
        <v>0</v>
      </c>
      <c r="AA3536">
        <v>0</v>
      </c>
      <c r="AB3536" s="3">
        <v>42562</v>
      </c>
      <c r="AC3536" t="s">
        <v>53</v>
      </c>
      <c r="AD3536" t="s">
        <v>53</v>
      </c>
      <c r="AK3536">
        <v>0</v>
      </c>
      <c r="AU3536" s="3">
        <v>42408</v>
      </c>
      <c r="AV3536" s="3">
        <v>42408</v>
      </c>
      <c r="AW3536" t="s">
        <v>54</v>
      </c>
      <c r="AX3536" t="str">
        <f t="shared" si="423"/>
        <v>FOR</v>
      </c>
      <c r="AY3536" t="s">
        <v>55</v>
      </c>
    </row>
    <row r="3537" spans="1:51" hidden="1">
      <c r="A3537">
        <v>106340</v>
      </c>
      <c r="B3537" t="s">
        <v>444</v>
      </c>
      <c r="C3537" t="str">
        <f t="shared" si="424"/>
        <v>07235590960</v>
      </c>
      <c r="D3537" t="str">
        <f t="shared" si="424"/>
        <v>07235590960</v>
      </c>
      <c r="E3537" t="s">
        <v>52</v>
      </c>
      <c r="F3537">
        <v>2015</v>
      </c>
      <c r="G3537" t="str">
        <f>"            15002267"</f>
        <v xml:space="preserve">            15002267</v>
      </c>
      <c r="H3537" s="3">
        <v>42082</v>
      </c>
      <c r="I3537" s="3">
        <v>42089</v>
      </c>
      <c r="J3537" s="3">
        <v>42089</v>
      </c>
      <c r="K3537" s="3">
        <v>42149</v>
      </c>
      <c r="L3537"/>
      <c r="N3537"/>
      <c r="O3537" s="4">
        <v>1900</v>
      </c>
      <c r="P3537">
        <v>259</v>
      </c>
      <c r="Q3537" s="4">
        <v>492100</v>
      </c>
      <c r="R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 s="3">
        <v>42562</v>
      </c>
      <c r="AC3537" t="s">
        <v>53</v>
      </c>
      <c r="AD3537" t="s">
        <v>53</v>
      </c>
      <c r="AK3537">
        <v>0</v>
      </c>
      <c r="AU3537" s="3">
        <v>42408</v>
      </c>
      <c r="AV3537" s="3">
        <v>42408</v>
      </c>
      <c r="AW3537" t="s">
        <v>54</v>
      </c>
      <c r="AX3537" t="str">
        <f t="shared" si="423"/>
        <v>FOR</v>
      </c>
      <c r="AY3537" t="s">
        <v>55</v>
      </c>
    </row>
    <row r="3538" spans="1:51" hidden="1">
      <c r="A3538">
        <v>106343</v>
      </c>
      <c r="B3538" t="s">
        <v>445</v>
      </c>
      <c r="C3538" t="str">
        <f>"01636040626"</f>
        <v>01636040626</v>
      </c>
      <c r="D3538" t="str">
        <f>"TMTGLC82C29A783D"</f>
        <v>TMTGLC82C29A783D</v>
      </c>
      <c r="E3538" t="s">
        <v>52</v>
      </c>
      <c r="F3538">
        <v>2016</v>
      </c>
      <c r="G3538" t="str">
        <f>"         FATTPA 1_16"</f>
        <v xml:space="preserve">         FATTPA 1_16</v>
      </c>
      <c r="H3538" s="3">
        <v>42380</v>
      </c>
      <c r="I3538" s="3">
        <v>42382</v>
      </c>
      <c r="J3538" s="3">
        <v>42380</v>
      </c>
      <c r="K3538" s="3">
        <v>42440</v>
      </c>
      <c r="L3538"/>
      <c r="N3538"/>
      <c r="O3538">
        <v>500</v>
      </c>
      <c r="P3538">
        <v>-43</v>
      </c>
      <c r="Q3538" s="4">
        <v>-21500</v>
      </c>
      <c r="R3538">
        <v>0</v>
      </c>
      <c r="V3538">
        <v>0</v>
      </c>
      <c r="W3538">
        <v>0</v>
      </c>
      <c r="X3538">
        <v>0</v>
      </c>
      <c r="Y3538">
        <v>500</v>
      </c>
      <c r="Z3538">
        <v>500</v>
      </c>
      <c r="AA3538">
        <v>500</v>
      </c>
      <c r="AB3538" s="3">
        <v>42562</v>
      </c>
      <c r="AC3538" t="s">
        <v>53</v>
      </c>
      <c r="AD3538" t="s">
        <v>53</v>
      </c>
      <c r="AK3538">
        <v>0</v>
      </c>
      <c r="AU3538" s="3">
        <v>42397</v>
      </c>
      <c r="AV3538" s="3">
        <v>42397</v>
      </c>
      <c r="AW3538" t="s">
        <v>54</v>
      </c>
      <c r="AX3538" t="str">
        <f t="shared" ref="AX3538:AX3547" si="425">"ALTPRO"</f>
        <v>ALTPRO</v>
      </c>
      <c r="AY3538" t="s">
        <v>93</v>
      </c>
    </row>
    <row r="3539" spans="1:51" hidden="1">
      <c r="A3539">
        <v>106343</v>
      </c>
      <c r="B3539" t="s">
        <v>445</v>
      </c>
      <c r="C3539" t="str">
        <f>"01636040626"</f>
        <v>01636040626</v>
      </c>
      <c r="D3539" t="str">
        <f>"TMTGLC82C29A783D"</f>
        <v>TMTGLC82C29A783D</v>
      </c>
      <c r="E3539" t="s">
        <v>52</v>
      </c>
      <c r="F3539">
        <v>2016</v>
      </c>
      <c r="G3539" t="str">
        <f>"         FATTPA 2_16"</f>
        <v xml:space="preserve">         FATTPA 2_16</v>
      </c>
      <c r="H3539" s="3">
        <v>42404</v>
      </c>
      <c r="I3539" s="3">
        <v>42408</v>
      </c>
      <c r="J3539" s="3">
        <v>42404</v>
      </c>
      <c r="K3539" s="3">
        <v>42464</v>
      </c>
      <c r="L3539"/>
      <c r="N3539"/>
      <c r="O3539">
        <v>502</v>
      </c>
      <c r="P3539">
        <v>-13</v>
      </c>
      <c r="Q3539" s="4">
        <v>-6526</v>
      </c>
      <c r="R3539">
        <v>0</v>
      </c>
      <c r="V3539">
        <v>0</v>
      </c>
      <c r="W3539">
        <v>0</v>
      </c>
      <c r="X3539">
        <v>0</v>
      </c>
      <c r="Y3539">
        <v>502</v>
      </c>
      <c r="Z3539">
        <v>502</v>
      </c>
      <c r="AA3539">
        <v>502</v>
      </c>
      <c r="AB3539" s="3">
        <v>42562</v>
      </c>
      <c r="AC3539" t="s">
        <v>53</v>
      </c>
      <c r="AD3539" t="s">
        <v>53</v>
      </c>
      <c r="AK3539">
        <v>0</v>
      </c>
      <c r="AU3539" s="3">
        <v>42451</v>
      </c>
      <c r="AV3539" s="3">
        <v>42451</v>
      </c>
      <c r="AW3539" t="s">
        <v>54</v>
      </c>
      <c r="AX3539" t="str">
        <f t="shared" si="425"/>
        <v>ALTPRO</v>
      </c>
      <c r="AY3539" t="s">
        <v>93</v>
      </c>
    </row>
    <row r="3540" spans="1:51">
      <c r="A3540">
        <v>106343</v>
      </c>
      <c r="B3540" t="s">
        <v>445</v>
      </c>
      <c r="C3540" t="str">
        <f>"01636040626"</f>
        <v>01636040626</v>
      </c>
      <c r="D3540" t="str">
        <f>"TMTGLC82C29A783D"</f>
        <v>TMTGLC82C29A783D</v>
      </c>
      <c r="E3540" t="s">
        <v>52</v>
      </c>
      <c r="F3540">
        <v>2016</v>
      </c>
      <c r="G3540" t="str">
        <f>"         FATTPA 3_16"</f>
        <v xml:space="preserve">         FATTPA 3_16</v>
      </c>
      <c r="H3540" s="3">
        <v>42436</v>
      </c>
      <c r="I3540" s="3">
        <v>42436</v>
      </c>
      <c r="J3540" s="3">
        <v>42436</v>
      </c>
      <c r="K3540" s="3">
        <v>42496</v>
      </c>
      <c r="L3540" s="1">
        <v>502</v>
      </c>
      <c r="M3540">
        <v>-9</v>
      </c>
      <c r="N3540" s="5">
        <v>-4518</v>
      </c>
      <c r="O3540">
        <v>502</v>
      </c>
      <c r="P3540">
        <v>-9</v>
      </c>
      <c r="Q3540" s="4">
        <v>-4518</v>
      </c>
      <c r="R3540">
        <v>0</v>
      </c>
      <c r="V3540">
        <v>0</v>
      </c>
      <c r="W3540">
        <v>0</v>
      </c>
      <c r="X3540">
        <v>0</v>
      </c>
      <c r="Y3540">
        <v>502</v>
      </c>
      <c r="Z3540">
        <v>502</v>
      </c>
      <c r="AA3540">
        <v>502</v>
      </c>
      <c r="AB3540" s="3">
        <v>42562</v>
      </c>
      <c r="AC3540" t="s">
        <v>53</v>
      </c>
      <c r="AD3540" t="s">
        <v>53</v>
      </c>
      <c r="AK3540">
        <v>0</v>
      </c>
      <c r="AU3540" s="3">
        <v>42487</v>
      </c>
      <c r="AV3540" s="3">
        <v>42487</v>
      </c>
      <c r="AW3540" t="s">
        <v>54</v>
      </c>
      <c r="AX3540" t="str">
        <f t="shared" si="425"/>
        <v>ALTPRO</v>
      </c>
      <c r="AY3540" t="s">
        <v>93</v>
      </c>
    </row>
    <row r="3541" spans="1:51">
      <c r="A3541">
        <v>106343</v>
      </c>
      <c r="B3541" t="s">
        <v>445</v>
      </c>
      <c r="C3541" t="str">
        <f>"01636040626"</f>
        <v>01636040626</v>
      </c>
      <c r="D3541" t="str">
        <f>"TMTGLC82C29A783D"</f>
        <v>TMTGLC82C29A783D</v>
      </c>
      <c r="E3541" t="s">
        <v>52</v>
      </c>
      <c r="F3541">
        <v>2016</v>
      </c>
      <c r="G3541" t="str">
        <f>"         FATTPA 4_16"</f>
        <v xml:space="preserve">         FATTPA 4_16</v>
      </c>
      <c r="H3541" s="3">
        <v>42467</v>
      </c>
      <c r="I3541" s="3">
        <v>42467</v>
      </c>
      <c r="J3541" s="3">
        <v>42467</v>
      </c>
      <c r="K3541" s="3">
        <v>42527</v>
      </c>
      <c r="L3541" s="1">
        <v>502</v>
      </c>
      <c r="M3541">
        <v>-40</v>
      </c>
      <c r="N3541" s="5">
        <v>-20080</v>
      </c>
      <c r="O3541">
        <v>502</v>
      </c>
      <c r="P3541">
        <v>-40</v>
      </c>
      <c r="Q3541" s="4">
        <v>-20080</v>
      </c>
      <c r="R3541">
        <v>0</v>
      </c>
      <c r="V3541">
        <v>0</v>
      </c>
      <c r="W3541">
        <v>502</v>
      </c>
      <c r="X3541">
        <v>502</v>
      </c>
      <c r="Y3541">
        <v>502</v>
      </c>
      <c r="Z3541">
        <v>502</v>
      </c>
      <c r="AA3541">
        <v>502</v>
      </c>
      <c r="AB3541" s="3">
        <v>42562</v>
      </c>
      <c r="AC3541" t="s">
        <v>53</v>
      </c>
      <c r="AD3541" t="s">
        <v>53</v>
      </c>
      <c r="AK3541">
        <v>0</v>
      </c>
      <c r="AU3541" s="3">
        <v>42487</v>
      </c>
      <c r="AV3541" s="3">
        <v>42487</v>
      </c>
      <c r="AW3541" t="s">
        <v>54</v>
      </c>
      <c r="AX3541" t="str">
        <f t="shared" si="425"/>
        <v>ALTPRO</v>
      </c>
      <c r="AY3541" t="s">
        <v>93</v>
      </c>
    </row>
    <row r="3542" spans="1:51">
      <c r="A3542">
        <v>106343</v>
      </c>
      <c r="B3542" t="s">
        <v>445</v>
      </c>
      <c r="C3542" t="str">
        <f>"01636040626"</f>
        <v>01636040626</v>
      </c>
      <c r="D3542" t="str">
        <f>"TMTGLC82C29A783D"</f>
        <v>TMTGLC82C29A783D</v>
      </c>
      <c r="E3542" t="s">
        <v>52</v>
      </c>
      <c r="F3542">
        <v>2016</v>
      </c>
      <c r="G3542" t="str">
        <f>"         FATTPA 5_16"</f>
        <v xml:space="preserve">         FATTPA 5_16</v>
      </c>
      <c r="H3542" s="3">
        <v>42499</v>
      </c>
      <c r="I3542" s="3">
        <v>42499</v>
      </c>
      <c r="J3542" s="3">
        <v>42499</v>
      </c>
      <c r="K3542" s="3">
        <v>42559</v>
      </c>
      <c r="L3542" s="1">
        <v>502</v>
      </c>
      <c r="M3542">
        <v>-32</v>
      </c>
      <c r="N3542" s="5">
        <v>-16064</v>
      </c>
      <c r="O3542">
        <v>502</v>
      </c>
      <c r="P3542">
        <v>-32</v>
      </c>
      <c r="Q3542" s="4">
        <v>-16064</v>
      </c>
      <c r="R3542">
        <v>0</v>
      </c>
      <c r="V3542">
        <v>502</v>
      </c>
      <c r="W3542">
        <v>502</v>
      </c>
      <c r="X3542">
        <v>502</v>
      </c>
      <c r="Y3542">
        <v>502</v>
      </c>
      <c r="Z3542">
        <v>502</v>
      </c>
      <c r="AA3542">
        <v>502</v>
      </c>
      <c r="AB3542" s="3">
        <v>42562</v>
      </c>
      <c r="AC3542" t="s">
        <v>53</v>
      </c>
      <c r="AD3542" t="s">
        <v>53</v>
      </c>
      <c r="AK3542">
        <v>0</v>
      </c>
      <c r="AU3542" s="3">
        <v>42527</v>
      </c>
      <c r="AV3542" s="3">
        <v>42527</v>
      </c>
      <c r="AW3542" t="s">
        <v>54</v>
      </c>
      <c r="AX3542" t="str">
        <f t="shared" si="425"/>
        <v>ALTPRO</v>
      </c>
      <c r="AY3542" t="s">
        <v>93</v>
      </c>
    </row>
    <row r="3543" spans="1:51" hidden="1">
      <c r="A3543">
        <v>106348</v>
      </c>
      <c r="B3543" t="s">
        <v>446</v>
      </c>
      <c r="C3543" t="str">
        <f>"01568130627"</f>
        <v>01568130627</v>
      </c>
      <c r="D3543" t="str">
        <f>"BTAPRI81H69I197T"</f>
        <v>BTAPRI81H69I197T</v>
      </c>
      <c r="E3543" t="s">
        <v>52</v>
      </c>
      <c r="F3543">
        <v>2016</v>
      </c>
      <c r="G3543" t="str">
        <f>"         FATTPA 1_16"</f>
        <v xml:space="preserve">         FATTPA 1_16</v>
      </c>
      <c r="H3543" s="3">
        <v>42373</v>
      </c>
      <c r="I3543" s="3">
        <v>42377</v>
      </c>
      <c r="J3543" s="3">
        <v>42373</v>
      </c>
      <c r="K3543" s="3">
        <v>42433</v>
      </c>
      <c r="L3543"/>
      <c r="N3543"/>
      <c r="O3543" s="4">
        <v>2530.64</v>
      </c>
      <c r="P3543">
        <v>-36</v>
      </c>
      <c r="Q3543" s="4">
        <v>-91103.039999999994</v>
      </c>
      <c r="R3543">
        <v>0</v>
      </c>
      <c r="V3543">
        <v>0</v>
      </c>
      <c r="W3543">
        <v>0</v>
      </c>
      <c r="X3543">
        <v>0</v>
      </c>
      <c r="Y3543">
        <v>0</v>
      </c>
      <c r="Z3543" s="4">
        <v>2530.64</v>
      </c>
      <c r="AA3543" s="4">
        <v>2530.64</v>
      </c>
      <c r="AB3543" s="3">
        <v>42562</v>
      </c>
      <c r="AC3543" t="s">
        <v>53</v>
      </c>
      <c r="AD3543" t="s">
        <v>53</v>
      </c>
      <c r="AK3543">
        <v>0</v>
      </c>
      <c r="AU3543" s="3">
        <v>42397</v>
      </c>
      <c r="AV3543" s="3">
        <v>42397</v>
      </c>
      <c r="AW3543" t="s">
        <v>54</v>
      </c>
      <c r="AX3543" t="str">
        <f t="shared" si="425"/>
        <v>ALTPRO</v>
      </c>
      <c r="AY3543" t="s">
        <v>93</v>
      </c>
    </row>
    <row r="3544" spans="1:51" hidden="1">
      <c r="A3544">
        <v>106348</v>
      </c>
      <c r="B3544" t="s">
        <v>446</v>
      </c>
      <c r="C3544" t="str">
        <f>"01568130627"</f>
        <v>01568130627</v>
      </c>
      <c r="D3544" t="str">
        <f>"BTAPRI81H69I197T"</f>
        <v>BTAPRI81H69I197T</v>
      </c>
      <c r="E3544" t="s">
        <v>52</v>
      </c>
      <c r="F3544">
        <v>2016</v>
      </c>
      <c r="G3544" t="str">
        <f>"         FATTPA 2_16"</f>
        <v xml:space="preserve">         FATTPA 2_16</v>
      </c>
      <c r="H3544" s="3">
        <v>42403</v>
      </c>
      <c r="I3544" s="3">
        <v>42404</v>
      </c>
      <c r="J3544" s="3">
        <v>42403</v>
      </c>
      <c r="K3544" s="3">
        <v>42463</v>
      </c>
      <c r="L3544"/>
      <c r="N3544"/>
      <c r="O3544" s="4">
        <v>2530.64</v>
      </c>
      <c r="P3544">
        <v>-37</v>
      </c>
      <c r="Q3544" s="4">
        <v>-93633.68</v>
      </c>
      <c r="R3544">
        <v>0</v>
      </c>
      <c r="V3544">
        <v>0</v>
      </c>
      <c r="W3544">
        <v>0</v>
      </c>
      <c r="X3544">
        <v>0</v>
      </c>
      <c r="Y3544" s="4">
        <v>2530.64</v>
      </c>
      <c r="Z3544" s="4">
        <v>2530.64</v>
      </c>
      <c r="AA3544" s="4">
        <v>2530.64</v>
      </c>
      <c r="AB3544" s="3">
        <v>42562</v>
      </c>
      <c r="AC3544" t="s">
        <v>53</v>
      </c>
      <c r="AD3544" t="s">
        <v>53</v>
      </c>
      <c r="AK3544">
        <v>0</v>
      </c>
      <c r="AU3544" s="3">
        <v>42426</v>
      </c>
      <c r="AV3544" s="3">
        <v>42426</v>
      </c>
      <c r="AW3544" t="s">
        <v>54</v>
      </c>
      <c r="AX3544" t="str">
        <f t="shared" si="425"/>
        <v>ALTPRO</v>
      </c>
      <c r="AY3544" t="s">
        <v>93</v>
      </c>
    </row>
    <row r="3545" spans="1:51" hidden="1">
      <c r="A3545">
        <v>106348</v>
      </c>
      <c r="B3545" t="s">
        <v>446</v>
      </c>
      <c r="C3545" t="str">
        <f>"01568130627"</f>
        <v>01568130627</v>
      </c>
      <c r="D3545" t="str">
        <f>"BTAPRI81H69I197T"</f>
        <v>BTAPRI81H69I197T</v>
      </c>
      <c r="E3545" t="s">
        <v>52</v>
      </c>
      <c r="F3545">
        <v>2016</v>
      </c>
      <c r="G3545" t="str">
        <f>"         FATTPA 3_16"</f>
        <v xml:space="preserve">         FATTPA 3_16</v>
      </c>
      <c r="H3545" s="3">
        <v>42432</v>
      </c>
      <c r="I3545" s="3">
        <v>42433</v>
      </c>
      <c r="J3545" s="3">
        <v>42432</v>
      </c>
      <c r="K3545" s="3">
        <v>42492</v>
      </c>
      <c r="L3545"/>
      <c r="N3545"/>
      <c r="O3545" s="4">
        <v>2636</v>
      </c>
      <c r="P3545">
        <v>-41</v>
      </c>
      <c r="Q3545" s="4">
        <v>-108076</v>
      </c>
      <c r="R3545">
        <v>0</v>
      </c>
      <c r="V3545">
        <v>0</v>
      </c>
      <c r="W3545">
        <v>0</v>
      </c>
      <c r="X3545">
        <v>0</v>
      </c>
      <c r="Y3545" s="4">
        <v>2636</v>
      </c>
      <c r="Z3545" s="4">
        <v>2636</v>
      </c>
      <c r="AA3545" s="4">
        <v>2636</v>
      </c>
      <c r="AB3545" s="3">
        <v>42562</v>
      </c>
      <c r="AC3545" t="s">
        <v>53</v>
      </c>
      <c r="AD3545" t="s">
        <v>53</v>
      </c>
      <c r="AK3545">
        <v>0</v>
      </c>
      <c r="AU3545" s="3">
        <v>42451</v>
      </c>
      <c r="AV3545" s="3">
        <v>42451</v>
      </c>
      <c r="AW3545" t="s">
        <v>54</v>
      </c>
      <c r="AX3545" t="str">
        <f t="shared" si="425"/>
        <v>ALTPRO</v>
      </c>
      <c r="AY3545" t="s">
        <v>93</v>
      </c>
    </row>
    <row r="3546" spans="1:51">
      <c r="A3546">
        <v>106348</v>
      </c>
      <c r="B3546" t="s">
        <v>446</v>
      </c>
      <c r="C3546" t="str">
        <f>"01568130627"</f>
        <v>01568130627</v>
      </c>
      <c r="D3546" t="str">
        <f>"BTAPRI81H69I197T"</f>
        <v>BTAPRI81H69I197T</v>
      </c>
      <c r="E3546" t="s">
        <v>52</v>
      </c>
      <c r="F3546">
        <v>2016</v>
      </c>
      <c r="G3546" t="str">
        <f>"         FATTPA 4_16"</f>
        <v xml:space="preserve">         FATTPA 4_16</v>
      </c>
      <c r="H3546" s="3">
        <v>42475</v>
      </c>
      <c r="I3546" s="3">
        <v>42475</v>
      </c>
      <c r="J3546" s="3">
        <v>42475</v>
      </c>
      <c r="K3546" s="3">
        <v>42535</v>
      </c>
      <c r="L3546" s="5">
        <v>2741.36</v>
      </c>
      <c r="M3546">
        <v>-48</v>
      </c>
      <c r="N3546" s="5">
        <v>-131585.28</v>
      </c>
      <c r="O3546" s="4">
        <v>2741.36</v>
      </c>
      <c r="P3546">
        <v>-48</v>
      </c>
      <c r="Q3546" s="4">
        <v>-131585.28</v>
      </c>
      <c r="R3546">
        <v>0</v>
      </c>
      <c r="V3546">
        <v>0</v>
      </c>
      <c r="W3546" s="4">
        <v>2741.36</v>
      </c>
      <c r="X3546" s="4">
        <v>2741.36</v>
      </c>
      <c r="Y3546" s="4">
        <v>2741.36</v>
      </c>
      <c r="Z3546" s="4">
        <v>2741.36</v>
      </c>
      <c r="AA3546" s="4">
        <v>2741.36</v>
      </c>
      <c r="AB3546" s="3">
        <v>42562</v>
      </c>
      <c r="AC3546" t="s">
        <v>53</v>
      </c>
      <c r="AD3546" t="s">
        <v>53</v>
      </c>
      <c r="AK3546">
        <v>0</v>
      </c>
      <c r="AU3546" s="3">
        <v>42487</v>
      </c>
      <c r="AV3546" s="3">
        <v>42487</v>
      </c>
      <c r="AW3546" t="s">
        <v>54</v>
      </c>
      <c r="AX3546" t="str">
        <f t="shared" si="425"/>
        <v>ALTPRO</v>
      </c>
      <c r="AY3546" t="s">
        <v>93</v>
      </c>
    </row>
    <row r="3547" spans="1:51">
      <c r="A3547">
        <v>106348</v>
      </c>
      <c r="B3547" t="s">
        <v>446</v>
      </c>
      <c r="C3547" t="str">
        <f>"01568130627"</f>
        <v>01568130627</v>
      </c>
      <c r="D3547" t="str">
        <f>"BTAPRI81H69I197T"</f>
        <v>BTAPRI81H69I197T</v>
      </c>
      <c r="E3547" t="s">
        <v>52</v>
      </c>
      <c r="F3547">
        <v>2016</v>
      </c>
      <c r="G3547" t="str">
        <f>"         FATTPA 5_16"</f>
        <v xml:space="preserve">         FATTPA 5_16</v>
      </c>
      <c r="H3547" s="3">
        <v>42502</v>
      </c>
      <c r="I3547" s="3">
        <v>42502</v>
      </c>
      <c r="J3547" s="3">
        <v>42502</v>
      </c>
      <c r="K3547" s="3">
        <v>42562</v>
      </c>
      <c r="L3547" s="5">
        <v>2636</v>
      </c>
      <c r="M3547">
        <v>-46</v>
      </c>
      <c r="N3547" s="5">
        <v>-121256</v>
      </c>
      <c r="O3547" s="4">
        <v>2636</v>
      </c>
      <c r="P3547">
        <v>-46</v>
      </c>
      <c r="Q3547" s="4">
        <v>-121256</v>
      </c>
      <c r="R3547">
        <v>0</v>
      </c>
      <c r="V3547" s="4">
        <v>2636</v>
      </c>
      <c r="W3547" s="4">
        <v>2636</v>
      </c>
      <c r="X3547" s="4">
        <v>2636</v>
      </c>
      <c r="Y3547" s="4">
        <v>2636</v>
      </c>
      <c r="Z3547" s="4">
        <v>2636</v>
      </c>
      <c r="AA3547" s="4">
        <v>2636</v>
      </c>
      <c r="AB3547" s="3">
        <v>42562</v>
      </c>
      <c r="AC3547" t="s">
        <v>53</v>
      </c>
      <c r="AD3547" t="s">
        <v>53</v>
      </c>
      <c r="AK3547">
        <v>0</v>
      </c>
      <c r="AU3547" s="3">
        <v>42516</v>
      </c>
      <c r="AV3547" s="3">
        <v>42516</v>
      </c>
      <c r="AW3547" t="s">
        <v>54</v>
      </c>
      <c r="AX3547" t="str">
        <f t="shared" si="425"/>
        <v>ALTPRO</v>
      </c>
      <c r="AY3547" t="s">
        <v>93</v>
      </c>
    </row>
    <row r="3548" spans="1:51" hidden="1">
      <c r="A3548">
        <v>106353</v>
      </c>
      <c r="B3548" t="s">
        <v>447</v>
      </c>
      <c r="C3548" t="str">
        <f>""</f>
        <v/>
      </c>
      <c r="D3548" t="str">
        <f>"95141450635"</f>
        <v>95141450635</v>
      </c>
      <c r="E3548" t="s">
        <v>52</v>
      </c>
      <c r="F3548">
        <v>2016</v>
      </c>
      <c r="G3548" t="str">
        <f>"                  13"</f>
        <v xml:space="preserve">                  13</v>
      </c>
      <c r="H3548" s="3">
        <v>42412</v>
      </c>
      <c r="I3548" s="3">
        <v>42412</v>
      </c>
      <c r="J3548" s="3">
        <v>42412</v>
      </c>
      <c r="K3548" s="3">
        <v>42472</v>
      </c>
      <c r="L3548"/>
      <c r="N3548"/>
      <c r="O3548" s="4">
        <v>7137.93</v>
      </c>
      <c r="P3548">
        <v>-39</v>
      </c>
      <c r="Q3548" s="4">
        <v>-278379.27</v>
      </c>
      <c r="R3548">
        <v>0</v>
      </c>
      <c r="V3548">
        <v>0</v>
      </c>
      <c r="W3548">
        <v>0</v>
      </c>
      <c r="X3548">
        <v>0</v>
      </c>
      <c r="Y3548">
        <v>0</v>
      </c>
      <c r="Z3548" s="4">
        <v>7137.93</v>
      </c>
      <c r="AA3548" s="4">
        <v>7137.93</v>
      </c>
      <c r="AB3548" s="3">
        <v>42562</v>
      </c>
      <c r="AC3548" t="s">
        <v>53</v>
      </c>
      <c r="AD3548" t="s">
        <v>53</v>
      </c>
      <c r="AK3548">
        <v>0</v>
      </c>
      <c r="AU3548" s="3">
        <v>42433</v>
      </c>
      <c r="AV3548" s="3">
        <v>42433</v>
      </c>
      <c r="AW3548" t="s">
        <v>54</v>
      </c>
      <c r="AX3548" t="str">
        <f>"ALT"</f>
        <v>ALT</v>
      </c>
      <c r="AY3548" t="s">
        <v>72</v>
      </c>
    </row>
    <row r="3549" spans="1:51" hidden="1">
      <c r="A3549">
        <v>106353</v>
      </c>
      <c r="B3549" t="s">
        <v>447</v>
      </c>
      <c r="C3549" t="str">
        <f>""</f>
        <v/>
      </c>
      <c r="D3549" t="str">
        <f>"95141450635"</f>
        <v>95141450635</v>
      </c>
      <c r="E3549" t="s">
        <v>52</v>
      </c>
      <c r="F3549">
        <v>2016</v>
      </c>
      <c r="G3549" t="str">
        <f>"                  14"</f>
        <v xml:space="preserve">                  14</v>
      </c>
      <c r="H3549" s="3">
        <v>42412</v>
      </c>
      <c r="I3549" s="3">
        <v>42412</v>
      </c>
      <c r="J3549" s="3">
        <v>42412</v>
      </c>
      <c r="K3549" s="3">
        <v>42472</v>
      </c>
      <c r="L3549"/>
      <c r="N3549"/>
      <c r="O3549" s="4">
        <v>7884.44</v>
      </c>
      <c r="P3549">
        <v>-39</v>
      </c>
      <c r="Q3549" s="4">
        <v>-307493.15999999997</v>
      </c>
      <c r="R3549">
        <v>0</v>
      </c>
      <c r="V3549">
        <v>0</v>
      </c>
      <c r="W3549">
        <v>0</v>
      </c>
      <c r="X3549">
        <v>0</v>
      </c>
      <c r="Y3549">
        <v>0</v>
      </c>
      <c r="Z3549" s="4">
        <v>7884.44</v>
      </c>
      <c r="AA3549" s="4">
        <v>7884.44</v>
      </c>
      <c r="AB3549" s="3">
        <v>42562</v>
      </c>
      <c r="AC3549" t="s">
        <v>53</v>
      </c>
      <c r="AD3549" t="s">
        <v>53</v>
      </c>
      <c r="AK3549">
        <v>0</v>
      </c>
      <c r="AU3549" s="3">
        <v>42433</v>
      </c>
      <c r="AV3549" s="3">
        <v>42433</v>
      </c>
      <c r="AW3549" t="s">
        <v>54</v>
      </c>
      <c r="AX3549" t="str">
        <f>"ALT"</f>
        <v>ALT</v>
      </c>
      <c r="AY3549" t="s">
        <v>72</v>
      </c>
    </row>
    <row r="3550" spans="1:51" hidden="1">
      <c r="A3550">
        <v>106360</v>
      </c>
      <c r="B3550" t="s">
        <v>448</v>
      </c>
      <c r="C3550" t="str">
        <f>"01802940484"</f>
        <v>01802940484</v>
      </c>
      <c r="D3550" t="str">
        <f>"01802940484"</f>
        <v>01802940484</v>
      </c>
      <c r="E3550" t="s">
        <v>52</v>
      </c>
      <c r="F3550">
        <v>2015</v>
      </c>
      <c r="G3550" t="str">
        <f>"          2115031306"</f>
        <v xml:space="preserve">          2115031306</v>
      </c>
      <c r="H3550" s="3">
        <v>42347</v>
      </c>
      <c r="I3550" s="3">
        <v>42352</v>
      </c>
      <c r="J3550" s="3">
        <v>42348</v>
      </c>
      <c r="K3550" s="3">
        <v>42408</v>
      </c>
      <c r="L3550"/>
      <c r="N3550"/>
      <c r="O3550">
        <v>126.5</v>
      </c>
      <c r="P3550">
        <v>-5</v>
      </c>
      <c r="Q3550">
        <v>-632.5</v>
      </c>
      <c r="R3550">
        <v>27.83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 s="3">
        <v>42562</v>
      </c>
      <c r="AC3550" t="s">
        <v>53</v>
      </c>
      <c r="AD3550" t="s">
        <v>53</v>
      </c>
      <c r="AI3550">
        <v>27.83</v>
      </c>
      <c r="AK3550">
        <v>0</v>
      </c>
      <c r="AU3550" s="3">
        <v>42403</v>
      </c>
      <c r="AV3550" s="3">
        <v>42403</v>
      </c>
      <c r="AW3550" t="s">
        <v>54</v>
      </c>
      <c r="AX3550" t="str">
        <f>"FOR"</f>
        <v>FOR</v>
      </c>
      <c r="AY3550" t="s">
        <v>55</v>
      </c>
    </row>
    <row r="3551" spans="1:51">
      <c r="A3551">
        <v>106362</v>
      </c>
      <c r="B3551" t="s">
        <v>449</v>
      </c>
      <c r="C3551" t="str">
        <f>"03831290287"</f>
        <v>03831290287</v>
      </c>
      <c r="D3551" t="str">
        <f>"03831290287"</f>
        <v>03831290287</v>
      </c>
      <c r="E3551" t="s">
        <v>52</v>
      </c>
      <c r="F3551">
        <v>2015</v>
      </c>
      <c r="G3551" t="str">
        <f>"          VS-15/0158"</f>
        <v xml:space="preserve">          VS-15/0158</v>
      </c>
      <c r="H3551" s="3">
        <v>42216</v>
      </c>
      <c r="I3551" s="3">
        <v>42230</v>
      </c>
      <c r="J3551" s="3">
        <v>42226</v>
      </c>
      <c r="K3551" s="3">
        <v>42286</v>
      </c>
      <c r="L3551" s="5">
        <v>45364.17</v>
      </c>
      <c r="M3551">
        <v>201</v>
      </c>
      <c r="N3551" s="5">
        <v>9118198.1699999999</v>
      </c>
      <c r="O3551" s="4">
        <v>45364.17</v>
      </c>
      <c r="P3551">
        <v>201</v>
      </c>
      <c r="Q3551" s="4">
        <v>9118198.1699999999</v>
      </c>
      <c r="R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 s="3">
        <v>42562</v>
      </c>
      <c r="AC3551" t="s">
        <v>53</v>
      </c>
      <c r="AD3551" t="s">
        <v>53</v>
      </c>
      <c r="AK3551">
        <v>0</v>
      </c>
      <c r="AU3551" s="3">
        <v>42487</v>
      </c>
      <c r="AV3551" s="3">
        <v>42487</v>
      </c>
      <c r="AW3551" t="s">
        <v>54</v>
      </c>
      <c r="AX3551" t="str">
        <f>"FOR"</f>
        <v>FOR</v>
      </c>
      <c r="AY3551" t="s">
        <v>55</v>
      </c>
    </row>
    <row r="3552" spans="1:51" hidden="1">
      <c r="A3552">
        <v>106363</v>
      </c>
      <c r="B3552" t="s">
        <v>450</v>
      </c>
      <c r="C3552" t="str">
        <f>"04874870878"</f>
        <v>04874870878</v>
      </c>
      <c r="D3552" t="str">
        <f>"04874870878"</f>
        <v>04874870878</v>
      </c>
      <c r="E3552" t="s">
        <v>52</v>
      </c>
      <c r="F3552">
        <v>2015</v>
      </c>
      <c r="G3552" t="str">
        <f>"         C8-15000218"</f>
        <v xml:space="preserve">         C8-15000218</v>
      </c>
      <c r="H3552" s="3">
        <v>42153</v>
      </c>
      <c r="I3552" s="3">
        <v>42178</v>
      </c>
      <c r="J3552" s="3">
        <v>42178</v>
      </c>
      <c r="K3552" s="3">
        <v>42238</v>
      </c>
      <c r="L3552"/>
      <c r="N3552"/>
      <c r="O3552">
        <v>398</v>
      </c>
      <c r="P3552">
        <v>214</v>
      </c>
      <c r="Q3552" s="4">
        <v>85172</v>
      </c>
      <c r="R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 s="3">
        <v>42562</v>
      </c>
      <c r="AC3552" t="s">
        <v>53</v>
      </c>
      <c r="AD3552" t="s">
        <v>53</v>
      </c>
      <c r="AK3552">
        <v>0</v>
      </c>
      <c r="AU3552" s="3">
        <v>42452</v>
      </c>
      <c r="AV3552" s="3">
        <v>42452</v>
      </c>
      <c r="AW3552" t="s">
        <v>54</v>
      </c>
      <c r="AX3552" t="str">
        <f>"FOR"</f>
        <v>FOR</v>
      </c>
      <c r="AY3552" t="s">
        <v>55</v>
      </c>
    </row>
    <row r="3553" spans="1:51" hidden="1">
      <c r="A3553">
        <v>106370</v>
      </c>
      <c r="B3553" t="s">
        <v>451</v>
      </c>
      <c r="C3553" t="str">
        <f t="shared" ref="C3553:D3557" si="426">"00885351007"</f>
        <v>00885351007</v>
      </c>
      <c r="D3553" t="str">
        <f t="shared" si="426"/>
        <v>00885351007</v>
      </c>
      <c r="E3553" t="s">
        <v>52</v>
      </c>
      <c r="F3553">
        <v>2016</v>
      </c>
      <c r="G3553" t="str">
        <f>"                0120"</f>
        <v xml:space="preserve">                0120</v>
      </c>
      <c r="H3553" s="3">
        <v>42389</v>
      </c>
      <c r="I3553" s="3">
        <v>42390</v>
      </c>
      <c r="J3553" s="3">
        <v>42390</v>
      </c>
      <c r="K3553" s="3">
        <v>42450</v>
      </c>
      <c r="L3553"/>
      <c r="N3553"/>
      <c r="O3553">
        <v>47.9</v>
      </c>
      <c r="P3553">
        <v>-60</v>
      </c>
      <c r="Q3553" s="4">
        <v>-2874</v>
      </c>
      <c r="R3553">
        <v>0</v>
      </c>
      <c r="V3553">
        <v>0</v>
      </c>
      <c r="W3553">
        <v>0</v>
      </c>
      <c r="X3553">
        <v>0</v>
      </c>
      <c r="Y3553">
        <v>47.9</v>
      </c>
      <c r="Z3553">
        <v>47.9</v>
      </c>
      <c r="AA3553">
        <v>47.9</v>
      </c>
      <c r="AB3553" s="3">
        <v>42562</v>
      </c>
      <c r="AC3553" t="s">
        <v>53</v>
      </c>
      <c r="AD3553" t="s">
        <v>53</v>
      </c>
      <c r="AK3553">
        <v>0</v>
      </c>
      <c r="AU3553" s="3">
        <v>42390</v>
      </c>
      <c r="AV3553" s="3">
        <v>42390</v>
      </c>
      <c r="AW3553" t="s">
        <v>54</v>
      </c>
      <c r="AX3553" t="str">
        <f>"ALT"</f>
        <v>ALT</v>
      </c>
      <c r="AY3553" t="s">
        <v>72</v>
      </c>
    </row>
    <row r="3554" spans="1:51" hidden="1">
      <c r="A3554">
        <v>106370</v>
      </c>
      <c r="B3554" t="s">
        <v>451</v>
      </c>
      <c r="C3554" t="str">
        <f t="shared" si="426"/>
        <v>00885351007</v>
      </c>
      <c r="D3554" t="str">
        <f t="shared" si="426"/>
        <v>00885351007</v>
      </c>
      <c r="E3554" t="s">
        <v>52</v>
      </c>
      <c r="F3554">
        <v>2016</v>
      </c>
      <c r="G3554" t="str">
        <f>"                0222"</f>
        <v xml:space="preserve">                0222</v>
      </c>
      <c r="H3554" s="3">
        <v>42422</v>
      </c>
      <c r="I3554" s="3">
        <v>42422</v>
      </c>
      <c r="J3554" s="3">
        <v>42422</v>
      </c>
      <c r="K3554" s="3">
        <v>42482</v>
      </c>
      <c r="L3554"/>
      <c r="N3554"/>
      <c r="O3554">
        <v>47.9</v>
      </c>
      <c r="P3554">
        <v>-58</v>
      </c>
      <c r="Q3554" s="4">
        <v>-2778.2</v>
      </c>
      <c r="R3554">
        <v>0</v>
      </c>
      <c r="V3554">
        <v>0</v>
      </c>
      <c r="W3554">
        <v>0</v>
      </c>
      <c r="X3554">
        <v>0</v>
      </c>
      <c r="Y3554">
        <v>47.9</v>
      </c>
      <c r="Z3554">
        <v>47.9</v>
      </c>
      <c r="AA3554">
        <v>47.9</v>
      </c>
      <c r="AB3554" s="3">
        <v>42562</v>
      </c>
      <c r="AC3554" t="s">
        <v>53</v>
      </c>
      <c r="AD3554" t="s">
        <v>53</v>
      </c>
      <c r="AK3554">
        <v>0</v>
      </c>
      <c r="AU3554" s="3">
        <v>42424</v>
      </c>
      <c r="AV3554" s="3">
        <v>42424</v>
      </c>
      <c r="AW3554" t="s">
        <v>54</v>
      </c>
      <c r="AX3554" t="str">
        <f>"ALT"</f>
        <v>ALT</v>
      </c>
      <c r="AY3554" t="s">
        <v>72</v>
      </c>
    </row>
    <row r="3555" spans="1:51" hidden="1">
      <c r="A3555">
        <v>106370</v>
      </c>
      <c r="B3555" t="s">
        <v>451</v>
      </c>
      <c r="C3555" t="str">
        <f t="shared" si="426"/>
        <v>00885351007</v>
      </c>
      <c r="D3555" t="str">
        <f t="shared" si="426"/>
        <v>00885351007</v>
      </c>
      <c r="E3555" t="s">
        <v>52</v>
      </c>
      <c r="F3555">
        <v>2016</v>
      </c>
      <c r="G3555" t="str">
        <f>"                0321"</f>
        <v xml:space="preserve">                0321</v>
      </c>
      <c r="H3555" s="3">
        <v>42450</v>
      </c>
      <c r="I3555" s="3">
        <v>42450</v>
      </c>
      <c r="J3555" s="3">
        <v>42450</v>
      </c>
      <c r="K3555" s="3">
        <v>42510</v>
      </c>
      <c r="L3555"/>
      <c r="N3555"/>
      <c r="O3555">
        <v>47.9</v>
      </c>
      <c r="P3555">
        <v>-57</v>
      </c>
      <c r="Q3555" s="4">
        <v>-2730.3</v>
      </c>
      <c r="R3555">
        <v>0</v>
      </c>
      <c r="V3555">
        <v>0</v>
      </c>
      <c r="W3555">
        <v>0</v>
      </c>
      <c r="X3555">
        <v>0</v>
      </c>
      <c r="Y3555">
        <v>47.9</v>
      </c>
      <c r="Z3555">
        <v>47.9</v>
      </c>
      <c r="AA3555">
        <v>47.9</v>
      </c>
      <c r="AB3555" s="3">
        <v>42562</v>
      </c>
      <c r="AC3555" t="s">
        <v>53</v>
      </c>
      <c r="AD3555" t="s">
        <v>53</v>
      </c>
      <c r="AK3555">
        <v>0</v>
      </c>
      <c r="AU3555" s="3">
        <v>42453</v>
      </c>
      <c r="AV3555" s="3">
        <v>42453</v>
      </c>
      <c r="AW3555" t="s">
        <v>54</v>
      </c>
      <c r="AX3555" t="str">
        <f>"ALT"</f>
        <v>ALT</v>
      </c>
      <c r="AY3555" t="s">
        <v>72</v>
      </c>
    </row>
    <row r="3556" spans="1:51" hidden="1">
      <c r="A3556">
        <v>106370</v>
      </c>
      <c r="B3556" t="s">
        <v>451</v>
      </c>
      <c r="C3556" t="str">
        <f t="shared" si="426"/>
        <v>00885351007</v>
      </c>
      <c r="D3556" t="str">
        <f t="shared" si="426"/>
        <v>00885351007</v>
      </c>
      <c r="E3556" t="s">
        <v>52</v>
      </c>
      <c r="F3556">
        <v>2016</v>
      </c>
      <c r="G3556" t="str">
        <f>"                0421"</f>
        <v xml:space="preserve">                0421</v>
      </c>
      <c r="H3556" s="3">
        <v>42481</v>
      </c>
      <c r="I3556" s="3">
        <v>42481</v>
      </c>
      <c r="J3556" s="3">
        <v>42481</v>
      </c>
      <c r="K3556" s="3">
        <v>42541</v>
      </c>
      <c r="L3556">
        <v>47.9</v>
      </c>
      <c r="M3556">
        <v>-60</v>
      </c>
      <c r="N3556" s="4">
        <v>-2874</v>
      </c>
      <c r="O3556">
        <v>47.9</v>
      </c>
      <c r="P3556">
        <v>-60</v>
      </c>
      <c r="Q3556" s="4">
        <v>-2874</v>
      </c>
      <c r="R3556">
        <v>0</v>
      </c>
      <c r="V3556">
        <v>47.9</v>
      </c>
      <c r="W3556">
        <v>47.9</v>
      </c>
      <c r="X3556">
        <v>47.9</v>
      </c>
      <c r="Y3556">
        <v>47.9</v>
      </c>
      <c r="Z3556">
        <v>47.9</v>
      </c>
      <c r="AA3556">
        <v>47.9</v>
      </c>
      <c r="AB3556" s="3">
        <v>42562</v>
      </c>
      <c r="AC3556" t="s">
        <v>53</v>
      </c>
      <c r="AD3556" t="s">
        <v>53</v>
      </c>
      <c r="AK3556">
        <v>0</v>
      </c>
      <c r="AU3556" s="3">
        <v>42481</v>
      </c>
      <c r="AV3556" s="3">
        <v>42481</v>
      </c>
      <c r="AW3556" t="s">
        <v>54</v>
      </c>
      <c r="AX3556" t="str">
        <f>"ALT"</f>
        <v>ALT</v>
      </c>
      <c r="AY3556" t="s">
        <v>72</v>
      </c>
    </row>
    <row r="3557" spans="1:51" hidden="1">
      <c r="A3557">
        <v>106370</v>
      </c>
      <c r="B3557" t="s">
        <v>451</v>
      </c>
      <c r="C3557" t="str">
        <f t="shared" si="426"/>
        <v>00885351007</v>
      </c>
      <c r="D3557" t="str">
        <f t="shared" si="426"/>
        <v>00885351007</v>
      </c>
      <c r="E3557" t="s">
        <v>52</v>
      </c>
      <c r="F3557">
        <v>2016</v>
      </c>
      <c r="G3557" t="str">
        <f>"                0518"</f>
        <v xml:space="preserve">                0518</v>
      </c>
      <c r="H3557" s="3">
        <v>42508</v>
      </c>
      <c r="I3557" s="3">
        <v>42510</v>
      </c>
      <c r="J3557" s="3">
        <v>42510</v>
      </c>
      <c r="K3557" s="3">
        <v>42570</v>
      </c>
      <c r="L3557">
        <v>47.9</v>
      </c>
      <c r="M3557">
        <v>-57</v>
      </c>
      <c r="N3557" s="4">
        <v>-2730.3</v>
      </c>
      <c r="O3557">
        <v>47.9</v>
      </c>
      <c r="P3557">
        <v>-57</v>
      </c>
      <c r="Q3557" s="4">
        <v>-2730.3</v>
      </c>
      <c r="R3557">
        <v>0</v>
      </c>
      <c r="V3557">
        <v>47.9</v>
      </c>
      <c r="W3557">
        <v>47.9</v>
      </c>
      <c r="X3557">
        <v>47.9</v>
      </c>
      <c r="Y3557">
        <v>47.9</v>
      </c>
      <c r="Z3557">
        <v>47.9</v>
      </c>
      <c r="AA3557">
        <v>47.9</v>
      </c>
      <c r="AB3557" s="3">
        <v>42562</v>
      </c>
      <c r="AC3557" t="s">
        <v>53</v>
      </c>
      <c r="AD3557" t="s">
        <v>53</v>
      </c>
      <c r="AK3557">
        <v>0</v>
      </c>
      <c r="AU3557" s="3">
        <v>42513</v>
      </c>
      <c r="AV3557" s="3">
        <v>42513</v>
      </c>
      <c r="AW3557" t="s">
        <v>54</v>
      </c>
      <c r="AX3557" t="str">
        <f>"ALT"</f>
        <v>ALT</v>
      </c>
      <c r="AY3557" t="s">
        <v>72</v>
      </c>
    </row>
    <row r="3558" spans="1:51" hidden="1">
      <c r="A3558">
        <v>106371</v>
      </c>
      <c r="B3558" t="s">
        <v>452</v>
      </c>
      <c r="C3558" t="str">
        <f>"11703230158"</f>
        <v>11703230158</v>
      </c>
      <c r="D3558" t="str">
        <f>"11703230158"</f>
        <v>11703230158</v>
      </c>
      <c r="E3558" t="s">
        <v>52</v>
      </c>
      <c r="F3558">
        <v>2015</v>
      </c>
      <c r="G3558" t="str">
        <f>"              E00051"</f>
        <v xml:space="preserve">              E00051</v>
      </c>
      <c r="H3558" s="3">
        <v>42153</v>
      </c>
      <c r="I3558" s="3">
        <v>42166</v>
      </c>
      <c r="J3558" s="3">
        <v>42165</v>
      </c>
      <c r="K3558" s="3">
        <v>42225</v>
      </c>
      <c r="L3558"/>
      <c r="N3558"/>
      <c r="O3558">
        <v>282.05</v>
      </c>
      <c r="P3558">
        <v>228</v>
      </c>
      <c r="Q3558" s="4">
        <v>64307.4</v>
      </c>
      <c r="R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 s="3">
        <v>42562</v>
      </c>
      <c r="AC3558" t="s">
        <v>53</v>
      </c>
      <c r="AD3558" t="s">
        <v>53</v>
      </c>
      <c r="AK3558">
        <v>0</v>
      </c>
      <c r="AU3558" s="3">
        <v>42453</v>
      </c>
      <c r="AV3558" s="3">
        <v>42453</v>
      </c>
      <c r="AW3558" t="s">
        <v>54</v>
      </c>
      <c r="AX3558" t="str">
        <f>"FOR"</f>
        <v>FOR</v>
      </c>
      <c r="AY3558" t="s">
        <v>55</v>
      </c>
    </row>
    <row r="3559" spans="1:51" hidden="1">
      <c r="A3559">
        <v>106372</v>
      </c>
      <c r="B3559" t="s">
        <v>453</v>
      </c>
      <c r="C3559" t="str">
        <f>"01574470629"</f>
        <v>01574470629</v>
      </c>
      <c r="D3559" t="str">
        <f>"01574470629"</f>
        <v>01574470629</v>
      </c>
      <c r="E3559" t="s">
        <v>52</v>
      </c>
      <c r="F3559">
        <v>2015</v>
      </c>
      <c r="G3559" t="str">
        <f>"                   1"</f>
        <v xml:space="preserve">                   1</v>
      </c>
      <c r="H3559" s="3">
        <v>42289</v>
      </c>
      <c r="I3559" s="3">
        <v>42290</v>
      </c>
      <c r="J3559" s="3">
        <v>42289</v>
      </c>
      <c r="K3559" s="3">
        <v>42349</v>
      </c>
      <c r="L3559"/>
      <c r="N3559"/>
      <c r="O3559" s="4">
        <v>2800</v>
      </c>
      <c r="P3559">
        <v>110</v>
      </c>
      <c r="Q3559" s="4">
        <v>308000</v>
      </c>
      <c r="R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 s="3">
        <v>42562</v>
      </c>
      <c r="AC3559" t="s">
        <v>53</v>
      </c>
      <c r="AD3559" t="s">
        <v>53</v>
      </c>
      <c r="AK3559">
        <v>0</v>
      </c>
      <c r="AU3559" s="3">
        <v>42459</v>
      </c>
      <c r="AV3559" s="3">
        <v>42459</v>
      </c>
      <c r="AW3559" t="s">
        <v>54</v>
      </c>
      <c r="AX3559" t="str">
        <f>"ALT"</f>
        <v>ALT</v>
      </c>
      <c r="AY3559" t="s">
        <v>72</v>
      </c>
    </row>
    <row r="3560" spans="1:51" hidden="1">
      <c r="A3560">
        <v>106385</v>
      </c>
      <c r="B3560" t="s">
        <v>454</v>
      </c>
      <c r="C3560" t="str">
        <f>"02737070645"</f>
        <v>02737070645</v>
      </c>
      <c r="D3560" t="str">
        <f>"MRSMRA79R63A509S"</f>
        <v>MRSMRA79R63A509S</v>
      </c>
      <c r="E3560" t="s">
        <v>52</v>
      </c>
      <c r="F3560">
        <v>2016</v>
      </c>
      <c r="G3560" t="str">
        <f>"         FATTPA 1_16"</f>
        <v xml:space="preserve">         FATTPA 1_16</v>
      </c>
      <c r="H3560" s="3">
        <v>42376</v>
      </c>
      <c r="I3560" s="3">
        <v>42377</v>
      </c>
      <c r="J3560" s="3">
        <v>42376</v>
      </c>
      <c r="K3560" s="3">
        <v>42436</v>
      </c>
      <c r="L3560"/>
      <c r="N3560"/>
      <c r="O3560" s="4">
        <v>1868.38</v>
      </c>
      <c r="P3560">
        <v>-39</v>
      </c>
      <c r="Q3560" s="4">
        <v>-72866.820000000007</v>
      </c>
      <c r="R3560">
        <v>0</v>
      </c>
      <c r="V3560">
        <v>0</v>
      </c>
      <c r="W3560">
        <v>0</v>
      </c>
      <c r="X3560">
        <v>0</v>
      </c>
      <c r="Y3560">
        <v>-467.1</v>
      </c>
      <c r="Z3560" s="4">
        <v>1868.38</v>
      </c>
      <c r="AA3560" s="4">
        <v>1868.38</v>
      </c>
      <c r="AB3560" s="3">
        <v>42562</v>
      </c>
      <c r="AC3560" t="s">
        <v>53</v>
      </c>
      <c r="AD3560" t="s">
        <v>53</v>
      </c>
      <c r="AK3560">
        <v>0</v>
      </c>
      <c r="AU3560" s="3">
        <v>42397</v>
      </c>
      <c r="AV3560" s="3">
        <v>42397</v>
      </c>
      <c r="AW3560" t="s">
        <v>54</v>
      </c>
      <c r="AX3560" t="str">
        <f>"ALTPRO"</f>
        <v>ALTPRO</v>
      </c>
      <c r="AY3560" t="s">
        <v>93</v>
      </c>
    </row>
    <row r="3561" spans="1:51" hidden="1">
      <c r="A3561">
        <v>106385</v>
      </c>
      <c r="B3561" t="s">
        <v>454</v>
      </c>
      <c r="C3561" t="str">
        <f>"02737070645"</f>
        <v>02737070645</v>
      </c>
      <c r="D3561" t="str">
        <f>"MRSMRA79R63A509S"</f>
        <v>MRSMRA79R63A509S</v>
      </c>
      <c r="E3561" t="s">
        <v>52</v>
      </c>
      <c r="F3561">
        <v>2016</v>
      </c>
      <c r="G3561" t="str">
        <f>"         FATTPA 2_16"</f>
        <v xml:space="preserve">         FATTPA 2_16</v>
      </c>
      <c r="H3561" s="3">
        <v>42402</v>
      </c>
      <c r="I3561" s="3">
        <v>42403</v>
      </c>
      <c r="J3561" s="3">
        <v>42402</v>
      </c>
      <c r="K3561" s="3">
        <v>42462</v>
      </c>
      <c r="L3561"/>
      <c r="N3561"/>
      <c r="O3561" s="4">
        <v>2024.91</v>
      </c>
      <c r="P3561">
        <v>-36</v>
      </c>
      <c r="Q3561" s="4">
        <v>-72896.759999999995</v>
      </c>
      <c r="R3561">
        <v>0</v>
      </c>
      <c r="V3561">
        <v>0</v>
      </c>
      <c r="W3561">
        <v>0</v>
      </c>
      <c r="X3561">
        <v>0</v>
      </c>
      <c r="Y3561" s="4">
        <v>2024.91</v>
      </c>
      <c r="Z3561" s="4">
        <v>2024.91</v>
      </c>
      <c r="AA3561" s="4">
        <v>2024.91</v>
      </c>
      <c r="AB3561" s="3">
        <v>42562</v>
      </c>
      <c r="AC3561" t="s">
        <v>53</v>
      </c>
      <c r="AD3561" t="s">
        <v>53</v>
      </c>
      <c r="AK3561">
        <v>0</v>
      </c>
      <c r="AU3561" s="3">
        <v>42426</v>
      </c>
      <c r="AV3561" s="3">
        <v>42426</v>
      </c>
      <c r="AW3561" t="s">
        <v>54</v>
      </c>
      <c r="AX3561" t="str">
        <f>"ALTPRO"</f>
        <v>ALTPRO</v>
      </c>
      <c r="AY3561" t="s">
        <v>93</v>
      </c>
    </row>
    <row r="3562" spans="1:51" hidden="1">
      <c r="A3562">
        <v>106385</v>
      </c>
      <c r="B3562" t="s">
        <v>454</v>
      </c>
      <c r="C3562" t="str">
        <f>"02737070645"</f>
        <v>02737070645</v>
      </c>
      <c r="D3562" t="str">
        <f>"MRSMRA79R63A509S"</f>
        <v>MRSMRA79R63A509S</v>
      </c>
      <c r="E3562" t="s">
        <v>52</v>
      </c>
      <c r="F3562">
        <v>2016</v>
      </c>
      <c r="G3562" t="str">
        <f>"         FATTPA 3_16"</f>
        <v xml:space="preserve">         FATTPA 3_16</v>
      </c>
      <c r="H3562" s="3">
        <v>42440</v>
      </c>
      <c r="I3562" s="3">
        <v>42443</v>
      </c>
      <c r="J3562" s="3">
        <v>42441</v>
      </c>
      <c r="K3562" s="3">
        <v>42501</v>
      </c>
      <c r="L3562"/>
      <c r="N3562"/>
      <c r="O3562" s="4">
        <v>2109.1999999999998</v>
      </c>
      <c r="P3562">
        <v>-50</v>
      </c>
      <c r="Q3562" s="4">
        <v>-105460</v>
      </c>
      <c r="R3562">
        <v>0</v>
      </c>
      <c r="V3562">
        <v>0</v>
      </c>
      <c r="W3562">
        <v>0</v>
      </c>
      <c r="X3562">
        <v>0</v>
      </c>
      <c r="Y3562" s="4">
        <v>2109.1999999999998</v>
      </c>
      <c r="Z3562" s="4">
        <v>2109.1999999999998</v>
      </c>
      <c r="AA3562" s="4">
        <v>2109.1999999999998</v>
      </c>
      <c r="AB3562" s="3">
        <v>42562</v>
      </c>
      <c r="AC3562" t="s">
        <v>53</v>
      </c>
      <c r="AD3562" t="s">
        <v>53</v>
      </c>
      <c r="AK3562">
        <v>0</v>
      </c>
      <c r="AU3562" s="3">
        <v>42451</v>
      </c>
      <c r="AV3562" s="3">
        <v>42451</v>
      </c>
      <c r="AW3562" t="s">
        <v>54</v>
      </c>
      <c r="AX3562" t="str">
        <f>"ALTPRO"</f>
        <v>ALTPRO</v>
      </c>
      <c r="AY3562" t="s">
        <v>93</v>
      </c>
    </row>
    <row r="3563" spans="1:51">
      <c r="A3563">
        <v>106385</v>
      </c>
      <c r="B3563" t="s">
        <v>454</v>
      </c>
      <c r="C3563" t="str">
        <f>"02737070645"</f>
        <v>02737070645</v>
      </c>
      <c r="D3563" t="str">
        <f>"MRSMRA79R63A509S"</f>
        <v>MRSMRA79R63A509S</v>
      </c>
      <c r="E3563" t="s">
        <v>52</v>
      </c>
      <c r="F3563">
        <v>2016</v>
      </c>
      <c r="G3563" t="str">
        <f>"         FATTPA 4_16"</f>
        <v xml:space="preserve">         FATTPA 4_16</v>
      </c>
      <c r="H3563" s="3">
        <v>42473</v>
      </c>
      <c r="I3563" s="3">
        <v>42492</v>
      </c>
      <c r="J3563" s="3">
        <v>42489</v>
      </c>
      <c r="K3563" s="3">
        <v>42549</v>
      </c>
      <c r="L3563" s="5">
        <v>2193.4899999999998</v>
      </c>
      <c r="M3563">
        <v>-33</v>
      </c>
      <c r="N3563" s="5">
        <v>-72385.17</v>
      </c>
      <c r="O3563" s="4">
        <v>2193.4899999999998</v>
      </c>
      <c r="P3563">
        <v>-33</v>
      </c>
      <c r="Q3563" s="4">
        <v>-72385.17</v>
      </c>
      <c r="R3563">
        <v>0</v>
      </c>
      <c r="V3563">
        <v>-547.87</v>
      </c>
      <c r="W3563" s="4">
        <v>2193.4899999999998</v>
      </c>
      <c r="X3563" s="4">
        <v>2193.4899999999998</v>
      </c>
      <c r="Y3563" s="4">
        <v>2193.4899999999998</v>
      </c>
      <c r="Z3563" s="4">
        <v>2193.4899999999998</v>
      </c>
      <c r="AA3563" s="4">
        <v>2193.4899999999998</v>
      </c>
      <c r="AB3563" s="3">
        <v>42562</v>
      </c>
      <c r="AC3563" t="s">
        <v>53</v>
      </c>
      <c r="AD3563" t="s">
        <v>53</v>
      </c>
      <c r="AK3563">
        <v>0</v>
      </c>
      <c r="AU3563" s="3">
        <v>42516</v>
      </c>
      <c r="AV3563" s="3">
        <v>42516</v>
      </c>
      <c r="AW3563" t="s">
        <v>54</v>
      </c>
      <c r="AX3563" t="str">
        <f>"ALTPRO"</f>
        <v>ALTPRO</v>
      </c>
      <c r="AY3563" t="s">
        <v>93</v>
      </c>
    </row>
    <row r="3564" spans="1:51">
      <c r="A3564">
        <v>106385</v>
      </c>
      <c r="B3564" t="s">
        <v>454</v>
      </c>
      <c r="C3564" t="str">
        <f>"02737070645"</f>
        <v>02737070645</v>
      </c>
      <c r="D3564" t="str">
        <f>"MRSMRA79R63A509S"</f>
        <v>MRSMRA79R63A509S</v>
      </c>
      <c r="E3564" t="s">
        <v>52</v>
      </c>
      <c r="F3564">
        <v>2016</v>
      </c>
      <c r="G3564" t="str">
        <f>"         FATTPA 5_16"</f>
        <v xml:space="preserve">         FATTPA 5_16</v>
      </c>
      <c r="H3564" s="3">
        <v>42488</v>
      </c>
      <c r="I3564" s="3">
        <v>42492</v>
      </c>
      <c r="J3564" s="3">
        <v>42489</v>
      </c>
      <c r="K3564" s="3">
        <v>42549</v>
      </c>
      <c r="L3564" s="5">
        <v>2109.1999999999998</v>
      </c>
      <c r="M3564">
        <v>-33</v>
      </c>
      <c r="N3564" s="5">
        <v>-69603.600000000006</v>
      </c>
      <c r="O3564" s="4">
        <v>2109.1999999999998</v>
      </c>
      <c r="P3564">
        <v>-33</v>
      </c>
      <c r="Q3564" s="4">
        <v>-69603.600000000006</v>
      </c>
      <c r="R3564">
        <v>0</v>
      </c>
      <c r="V3564" s="4">
        <v>2109.1999999999998</v>
      </c>
      <c r="W3564" s="4">
        <v>2109.1999999999998</v>
      </c>
      <c r="X3564" s="4">
        <v>2109.1999999999998</v>
      </c>
      <c r="Y3564" s="4">
        <v>2109.1999999999998</v>
      </c>
      <c r="Z3564" s="4">
        <v>2109.1999999999998</v>
      </c>
      <c r="AA3564" s="4">
        <v>2109.1999999999998</v>
      </c>
      <c r="AB3564" s="3">
        <v>42562</v>
      </c>
      <c r="AC3564" t="s">
        <v>53</v>
      </c>
      <c r="AD3564" t="s">
        <v>53</v>
      </c>
      <c r="AK3564">
        <v>0</v>
      </c>
      <c r="AU3564" s="3">
        <v>42516</v>
      </c>
      <c r="AV3564" s="3">
        <v>42516</v>
      </c>
      <c r="AW3564" t="s">
        <v>54</v>
      </c>
      <c r="AX3564" t="str">
        <f>"ALTPRO"</f>
        <v>ALTPRO</v>
      </c>
      <c r="AY3564" t="s">
        <v>93</v>
      </c>
    </row>
    <row r="3565" spans="1:51" hidden="1">
      <c r="A3565">
        <v>106392</v>
      </c>
      <c r="B3565" t="s">
        <v>455</v>
      </c>
      <c r="C3565" t="str">
        <f>""</f>
        <v/>
      </c>
      <c r="D3565" t="str">
        <f>"FRRNNT68H65A265R"</f>
        <v>FRRNNT68H65A265R</v>
      </c>
      <c r="E3565" t="s">
        <v>52</v>
      </c>
      <c r="F3565">
        <v>2016</v>
      </c>
      <c r="G3565" t="str">
        <f>"                0120"</f>
        <v xml:space="preserve">                0120</v>
      </c>
      <c r="H3565" s="3">
        <v>42389</v>
      </c>
      <c r="I3565" s="3">
        <v>42390</v>
      </c>
      <c r="J3565" s="3">
        <v>42390</v>
      </c>
      <c r="K3565" s="3">
        <v>42450</v>
      </c>
      <c r="L3565"/>
      <c r="N3565"/>
      <c r="O3565">
        <v>320</v>
      </c>
      <c r="P3565">
        <v>-60</v>
      </c>
      <c r="Q3565" s="4">
        <v>-19200</v>
      </c>
      <c r="R3565">
        <v>0</v>
      </c>
      <c r="V3565">
        <v>0</v>
      </c>
      <c r="W3565">
        <v>0</v>
      </c>
      <c r="X3565">
        <v>0</v>
      </c>
      <c r="Y3565">
        <v>320</v>
      </c>
      <c r="Z3565">
        <v>320</v>
      </c>
      <c r="AA3565">
        <v>320</v>
      </c>
      <c r="AB3565" s="3">
        <v>42562</v>
      </c>
      <c r="AC3565" t="s">
        <v>53</v>
      </c>
      <c r="AD3565" t="s">
        <v>53</v>
      </c>
      <c r="AK3565">
        <v>0</v>
      </c>
      <c r="AU3565" s="3">
        <v>42390</v>
      </c>
      <c r="AV3565" s="3">
        <v>42390</v>
      </c>
      <c r="AW3565" t="s">
        <v>54</v>
      </c>
      <c r="AX3565" t="str">
        <f>"ALT"</f>
        <v>ALT</v>
      </c>
      <c r="AY3565" t="s">
        <v>72</v>
      </c>
    </row>
    <row r="3566" spans="1:51" hidden="1">
      <c r="A3566">
        <v>106392</v>
      </c>
      <c r="B3566" t="s">
        <v>455</v>
      </c>
      <c r="C3566" t="str">
        <f>""</f>
        <v/>
      </c>
      <c r="D3566" t="str">
        <f>"FRRNNT68H65A265R"</f>
        <v>FRRNNT68H65A265R</v>
      </c>
      <c r="E3566" t="s">
        <v>52</v>
      </c>
      <c r="F3566">
        <v>2016</v>
      </c>
      <c r="G3566" t="str">
        <f>"                0222"</f>
        <v xml:space="preserve">                0222</v>
      </c>
      <c r="H3566" s="3">
        <v>42422</v>
      </c>
      <c r="I3566" s="3">
        <v>42422</v>
      </c>
      <c r="J3566" s="3">
        <v>42422</v>
      </c>
      <c r="K3566" s="3">
        <v>42482</v>
      </c>
      <c r="L3566"/>
      <c r="N3566"/>
      <c r="O3566">
        <v>320</v>
      </c>
      <c r="P3566">
        <v>-58</v>
      </c>
      <c r="Q3566" s="4">
        <v>-18560</v>
      </c>
      <c r="R3566">
        <v>0</v>
      </c>
      <c r="V3566">
        <v>0</v>
      </c>
      <c r="W3566">
        <v>0</v>
      </c>
      <c r="X3566">
        <v>0</v>
      </c>
      <c r="Y3566">
        <v>320</v>
      </c>
      <c r="Z3566">
        <v>320</v>
      </c>
      <c r="AA3566">
        <v>320</v>
      </c>
      <c r="AB3566" s="3">
        <v>42562</v>
      </c>
      <c r="AC3566" t="s">
        <v>53</v>
      </c>
      <c r="AD3566" t="s">
        <v>53</v>
      </c>
      <c r="AK3566">
        <v>0</v>
      </c>
      <c r="AU3566" s="3">
        <v>42424</v>
      </c>
      <c r="AV3566" s="3">
        <v>42424</v>
      </c>
      <c r="AW3566" t="s">
        <v>54</v>
      </c>
      <c r="AX3566" t="str">
        <f>"ALT"</f>
        <v>ALT</v>
      </c>
      <c r="AY3566" t="s">
        <v>72</v>
      </c>
    </row>
    <row r="3567" spans="1:51" hidden="1">
      <c r="A3567">
        <v>106392</v>
      </c>
      <c r="B3567" t="s">
        <v>455</v>
      </c>
      <c r="C3567" t="str">
        <f>""</f>
        <v/>
      </c>
      <c r="D3567" t="str">
        <f>"FRRNNT68H65A265R"</f>
        <v>FRRNNT68H65A265R</v>
      </c>
      <c r="E3567" t="s">
        <v>52</v>
      </c>
      <c r="F3567">
        <v>2016</v>
      </c>
      <c r="G3567" t="str">
        <f>"                0321"</f>
        <v xml:space="preserve">                0321</v>
      </c>
      <c r="H3567" s="3">
        <v>42450</v>
      </c>
      <c r="I3567" s="3">
        <v>42450</v>
      </c>
      <c r="J3567" s="3">
        <v>42450</v>
      </c>
      <c r="K3567" s="3">
        <v>42510</v>
      </c>
      <c r="L3567"/>
      <c r="N3567"/>
      <c r="O3567">
        <v>320</v>
      </c>
      <c r="P3567">
        <v>-57</v>
      </c>
      <c r="Q3567" s="4">
        <v>-18240</v>
      </c>
      <c r="R3567">
        <v>0</v>
      </c>
      <c r="V3567">
        <v>0</v>
      </c>
      <c r="W3567">
        <v>0</v>
      </c>
      <c r="X3567">
        <v>0</v>
      </c>
      <c r="Y3567">
        <v>320</v>
      </c>
      <c r="Z3567">
        <v>320</v>
      </c>
      <c r="AA3567">
        <v>320</v>
      </c>
      <c r="AB3567" s="3">
        <v>42562</v>
      </c>
      <c r="AC3567" t="s">
        <v>53</v>
      </c>
      <c r="AD3567" t="s">
        <v>53</v>
      </c>
      <c r="AK3567">
        <v>0</v>
      </c>
      <c r="AU3567" s="3">
        <v>42453</v>
      </c>
      <c r="AV3567" s="3">
        <v>42453</v>
      </c>
      <c r="AW3567" t="s">
        <v>54</v>
      </c>
      <c r="AX3567" t="str">
        <f>"ALT"</f>
        <v>ALT</v>
      </c>
      <c r="AY3567" t="s">
        <v>72</v>
      </c>
    </row>
    <row r="3568" spans="1:51" hidden="1">
      <c r="A3568">
        <v>106392</v>
      </c>
      <c r="B3568" t="s">
        <v>455</v>
      </c>
      <c r="C3568" t="str">
        <f>""</f>
        <v/>
      </c>
      <c r="D3568" t="str">
        <f>"FRRNNT68H65A265R"</f>
        <v>FRRNNT68H65A265R</v>
      </c>
      <c r="E3568" t="s">
        <v>52</v>
      </c>
      <c r="F3568">
        <v>2016</v>
      </c>
      <c r="G3568" t="str">
        <f>"                0421"</f>
        <v xml:space="preserve">                0421</v>
      </c>
      <c r="H3568" s="3">
        <v>42481</v>
      </c>
      <c r="I3568" s="3">
        <v>42481</v>
      </c>
      <c r="J3568" s="3">
        <v>42481</v>
      </c>
      <c r="K3568" s="3">
        <v>42541</v>
      </c>
      <c r="L3568">
        <v>320</v>
      </c>
      <c r="M3568">
        <v>-60</v>
      </c>
      <c r="N3568" s="4">
        <v>-19200</v>
      </c>
      <c r="O3568">
        <v>320</v>
      </c>
      <c r="P3568">
        <v>-60</v>
      </c>
      <c r="Q3568" s="4">
        <v>-19200</v>
      </c>
      <c r="R3568">
        <v>0</v>
      </c>
      <c r="V3568">
        <v>320</v>
      </c>
      <c r="W3568">
        <v>320</v>
      </c>
      <c r="X3568">
        <v>320</v>
      </c>
      <c r="Y3568">
        <v>320</v>
      </c>
      <c r="Z3568">
        <v>320</v>
      </c>
      <c r="AA3568">
        <v>320</v>
      </c>
      <c r="AB3568" s="3">
        <v>42562</v>
      </c>
      <c r="AC3568" t="s">
        <v>53</v>
      </c>
      <c r="AD3568" t="s">
        <v>53</v>
      </c>
      <c r="AK3568">
        <v>0</v>
      </c>
      <c r="AU3568" s="3">
        <v>42481</v>
      </c>
      <c r="AV3568" s="3">
        <v>42481</v>
      </c>
      <c r="AW3568" t="s">
        <v>54</v>
      </c>
      <c r="AX3568" t="str">
        <f>"ALT"</f>
        <v>ALT</v>
      </c>
      <c r="AY3568" t="s">
        <v>72</v>
      </c>
    </row>
    <row r="3569" spans="1:51" hidden="1">
      <c r="A3569">
        <v>106392</v>
      </c>
      <c r="B3569" t="s">
        <v>455</v>
      </c>
      <c r="C3569" t="str">
        <f>""</f>
        <v/>
      </c>
      <c r="D3569" t="str">
        <f>"FRRNNT68H65A265R"</f>
        <v>FRRNNT68H65A265R</v>
      </c>
      <c r="E3569" t="s">
        <v>52</v>
      </c>
      <c r="F3569">
        <v>2016</v>
      </c>
      <c r="G3569" t="str">
        <f>"                0518"</f>
        <v xml:space="preserve">                0518</v>
      </c>
      <c r="H3569" s="3">
        <v>42508</v>
      </c>
      <c r="I3569" s="3">
        <v>42510</v>
      </c>
      <c r="J3569" s="3">
        <v>42510</v>
      </c>
      <c r="K3569" s="3">
        <v>42570</v>
      </c>
      <c r="L3569">
        <v>320</v>
      </c>
      <c r="M3569">
        <v>-57</v>
      </c>
      <c r="N3569" s="4">
        <v>-18240</v>
      </c>
      <c r="O3569">
        <v>320</v>
      </c>
      <c r="P3569">
        <v>-57</v>
      </c>
      <c r="Q3569" s="4">
        <v>-18240</v>
      </c>
      <c r="R3569">
        <v>0</v>
      </c>
      <c r="V3569">
        <v>320</v>
      </c>
      <c r="W3569">
        <v>320</v>
      </c>
      <c r="X3569">
        <v>320</v>
      </c>
      <c r="Y3569">
        <v>320</v>
      </c>
      <c r="Z3569">
        <v>320</v>
      </c>
      <c r="AA3569">
        <v>320</v>
      </c>
      <c r="AB3569" s="3">
        <v>42562</v>
      </c>
      <c r="AC3569" t="s">
        <v>53</v>
      </c>
      <c r="AD3569" t="s">
        <v>53</v>
      </c>
      <c r="AK3569">
        <v>0</v>
      </c>
      <c r="AU3569" s="3">
        <v>42513</v>
      </c>
      <c r="AV3569" s="3">
        <v>42513</v>
      </c>
      <c r="AW3569" t="s">
        <v>54</v>
      </c>
      <c r="AX3569" t="str">
        <f>"ALT"</f>
        <v>ALT</v>
      </c>
      <c r="AY3569" t="s">
        <v>72</v>
      </c>
    </row>
    <row r="3570" spans="1:51" hidden="1">
      <c r="A3570">
        <v>106397</v>
      </c>
      <c r="B3570" t="s">
        <v>456</v>
      </c>
      <c r="C3570" t="str">
        <f>"01215650621"</f>
        <v>01215650621</v>
      </c>
      <c r="D3570" t="str">
        <f>"NNLGPP73S27A783O"</f>
        <v>NNLGPP73S27A783O</v>
      </c>
      <c r="E3570" t="s">
        <v>52</v>
      </c>
      <c r="F3570">
        <v>2016</v>
      </c>
      <c r="G3570" t="str">
        <f>"             07/2016"</f>
        <v xml:space="preserve">             07/2016</v>
      </c>
      <c r="H3570" s="3">
        <v>42408</v>
      </c>
      <c r="I3570" s="3">
        <v>42410</v>
      </c>
      <c r="J3570" s="3">
        <v>42408</v>
      </c>
      <c r="K3570" s="3">
        <v>42468</v>
      </c>
      <c r="L3570"/>
      <c r="N3570"/>
      <c r="O3570" s="4">
        <v>4959.66</v>
      </c>
      <c r="P3570">
        <v>-35</v>
      </c>
      <c r="Q3570" s="4">
        <v>-173588.1</v>
      </c>
      <c r="R3570">
        <v>0</v>
      </c>
      <c r="V3570">
        <v>0</v>
      </c>
      <c r="W3570">
        <v>0</v>
      </c>
      <c r="X3570">
        <v>0</v>
      </c>
      <c r="Y3570" s="4">
        <v>4959.66</v>
      </c>
      <c r="Z3570" s="4">
        <v>4959.66</v>
      </c>
      <c r="AA3570" s="4">
        <v>4959.66</v>
      </c>
      <c r="AB3570" s="3">
        <v>42562</v>
      </c>
      <c r="AC3570" t="s">
        <v>53</v>
      </c>
      <c r="AD3570" t="s">
        <v>53</v>
      </c>
      <c r="AK3570">
        <v>0</v>
      </c>
      <c r="AU3570" s="3">
        <v>42433</v>
      </c>
      <c r="AV3570" s="3">
        <v>42433</v>
      </c>
      <c r="AW3570" t="s">
        <v>54</v>
      </c>
      <c r="AX3570" t="str">
        <f>"ALTPRO"</f>
        <v>ALTPRO</v>
      </c>
      <c r="AY3570" t="s">
        <v>93</v>
      </c>
    </row>
    <row r="3571" spans="1:51">
      <c r="A3571">
        <v>106397</v>
      </c>
      <c r="B3571" t="s">
        <v>456</v>
      </c>
      <c r="C3571" t="str">
        <f>"01215650621"</f>
        <v>01215650621</v>
      </c>
      <c r="D3571" t="str">
        <f>"NNLGPP73S27A783O"</f>
        <v>NNLGPP73S27A783O</v>
      </c>
      <c r="E3571" t="s">
        <v>52</v>
      </c>
      <c r="F3571">
        <v>2016</v>
      </c>
      <c r="G3571" t="str">
        <f>"             13/2016"</f>
        <v xml:space="preserve">             13/2016</v>
      </c>
      <c r="H3571" s="3">
        <v>42447</v>
      </c>
      <c r="I3571" s="3">
        <v>42460</v>
      </c>
      <c r="J3571" s="3">
        <v>42447</v>
      </c>
      <c r="K3571" s="3">
        <v>42507</v>
      </c>
      <c r="L3571" s="5">
        <v>4959.66</v>
      </c>
      <c r="M3571">
        <v>-20</v>
      </c>
      <c r="N3571" s="5">
        <v>-99193.2</v>
      </c>
      <c r="O3571" s="4">
        <v>4959.66</v>
      </c>
      <c r="P3571">
        <v>-20</v>
      </c>
      <c r="Q3571" s="4">
        <v>-99193.2</v>
      </c>
      <c r="R3571">
        <v>0</v>
      </c>
      <c r="V3571">
        <v>0</v>
      </c>
      <c r="W3571">
        <v>0</v>
      </c>
      <c r="X3571">
        <v>0</v>
      </c>
      <c r="Y3571" s="4">
        <v>4959.66</v>
      </c>
      <c r="Z3571" s="4">
        <v>4959.66</v>
      </c>
      <c r="AA3571" s="4">
        <v>4959.66</v>
      </c>
      <c r="AB3571" s="3">
        <v>42562</v>
      </c>
      <c r="AC3571" t="s">
        <v>53</v>
      </c>
      <c r="AD3571" t="s">
        <v>53</v>
      </c>
      <c r="AK3571">
        <v>0</v>
      </c>
      <c r="AU3571" s="3">
        <v>42487</v>
      </c>
      <c r="AV3571" s="3">
        <v>42487</v>
      </c>
      <c r="AW3571" t="s">
        <v>54</v>
      </c>
      <c r="AX3571" t="str">
        <f>"ALTPRO"</f>
        <v>ALTPRO</v>
      </c>
      <c r="AY3571" t="s">
        <v>93</v>
      </c>
    </row>
    <row r="3572" spans="1:51" hidden="1">
      <c r="A3572">
        <v>106404</v>
      </c>
      <c r="B3572" t="s">
        <v>457</v>
      </c>
      <c r="C3572" t="str">
        <f t="shared" ref="C3572:D3579" si="427">"02368591208"</f>
        <v>02368591208</v>
      </c>
      <c r="D3572" t="str">
        <f t="shared" si="427"/>
        <v>02368591208</v>
      </c>
      <c r="E3572" t="s">
        <v>52</v>
      </c>
      <c r="F3572">
        <v>2015</v>
      </c>
      <c r="G3572" t="str">
        <f>"          8100001549"</f>
        <v xml:space="preserve">          8100001549</v>
      </c>
      <c r="H3572" s="3">
        <v>42108</v>
      </c>
      <c r="I3572" s="3">
        <v>42124</v>
      </c>
      <c r="J3572" s="3">
        <v>42123</v>
      </c>
      <c r="K3572" s="3">
        <v>42183</v>
      </c>
      <c r="L3572"/>
      <c r="N3572"/>
      <c r="O3572">
        <v>26.8</v>
      </c>
      <c r="P3572">
        <v>233</v>
      </c>
      <c r="Q3572" s="4">
        <v>6244.4</v>
      </c>
      <c r="R3572">
        <v>0</v>
      </c>
      <c r="V3572">
        <v>0</v>
      </c>
      <c r="W3572">
        <v>0</v>
      </c>
      <c r="X3572">
        <v>0</v>
      </c>
      <c r="Y3572">
        <v>0</v>
      </c>
      <c r="Z3572">
        <v>0</v>
      </c>
      <c r="AA3572">
        <v>0</v>
      </c>
      <c r="AB3572" s="3">
        <v>42562</v>
      </c>
      <c r="AC3572" t="s">
        <v>53</v>
      </c>
      <c r="AD3572" t="s">
        <v>53</v>
      </c>
      <c r="AK3572">
        <v>0</v>
      </c>
      <c r="AU3572" s="3">
        <v>42416</v>
      </c>
      <c r="AV3572" s="3">
        <v>42416</v>
      </c>
      <c r="AW3572" t="s">
        <v>54</v>
      </c>
      <c r="AX3572" t="str">
        <f t="shared" ref="AX3572:AX3579" si="428">"FOR"</f>
        <v>FOR</v>
      </c>
      <c r="AY3572" t="s">
        <v>55</v>
      </c>
    </row>
    <row r="3573" spans="1:51" hidden="1">
      <c r="A3573">
        <v>106404</v>
      </c>
      <c r="B3573" t="s">
        <v>457</v>
      </c>
      <c r="C3573" t="str">
        <f t="shared" si="427"/>
        <v>02368591208</v>
      </c>
      <c r="D3573" t="str">
        <f t="shared" si="427"/>
        <v>02368591208</v>
      </c>
      <c r="E3573" t="s">
        <v>52</v>
      </c>
      <c r="F3573">
        <v>2015</v>
      </c>
      <c r="G3573" t="str">
        <f>"          8100001628"</f>
        <v xml:space="preserve">          8100001628</v>
      </c>
      <c r="H3573" s="3">
        <v>42109</v>
      </c>
      <c r="I3573" s="3">
        <v>42124</v>
      </c>
      <c r="J3573" s="3">
        <v>42123</v>
      </c>
      <c r="K3573" s="3">
        <v>42183</v>
      </c>
      <c r="L3573"/>
      <c r="N3573"/>
      <c r="O3573" s="4">
        <v>13128.25</v>
      </c>
      <c r="P3573">
        <v>233</v>
      </c>
      <c r="Q3573" s="4">
        <v>3058882.25</v>
      </c>
      <c r="R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 s="3">
        <v>42562</v>
      </c>
      <c r="AC3573" t="s">
        <v>53</v>
      </c>
      <c r="AD3573" t="s">
        <v>53</v>
      </c>
      <c r="AK3573">
        <v>0</v>
      </c>
      <c r="AU3573" s="3">
        <v>42416</v>
      </c>
      <c r="AV3573" s="3">
        <v>42416</v>
      </c>
      <c r="AW3573" t="s">
        <v>54</v>
      </c>
      <c r="AX3573" t="str">
        <f t="shared" si="428"/>
        <v>FOR</v>
      </c>
      <c r="AY3573" t="s">
        <v>55</v>
      </c>
    </row>
    <row r="3574" spans="1:51">
      <c r="A3574">
        <v>106404</v>
      </c>
      <c r="B3574" t="s">
        <v>457</v>
      </c>
      <c r="C3574" t="str">
        <f t="shared" si="427"/>
        <v>02368591208</v>
      </c>
      <c r="D3574" t="str">
        <f t="shared" si="427"/>
        <v>02368591208</v>
      </c>
      <c r="E3574" t="s">
        <v>52</v>
      </c>
      <c r="F3574">
        <v>2015</v>
      </c>
      <c r="G3574" t="str">
        <f>"          8100005300"</f>
        <v xml:space="preserve">          8100005300</v>
      </c>
      <c r="H3574" s="3">
        <v>42170</v>
      </c>
      <c r="I3574" s="3">
        <v>42171</v>
      </c>
      <c r="J3574" s="3">
        <v>42171</v>
      </c>
      <c r="K3574" s="3">
        <v>42231</v>
      </c>
      <c r="L3574" s="1">
        <v>26.8</v>
      </c>
      <c r="M3574">
        <v>289</v>
      </c>
      <c r="N3574" s="5">
        <v>7745.2</v>
      </c>
      <c r="O3574">
        <v>26.8</v>
      </c>
      <c r="P3574">
        <v>289</v>
      </c>
      <c r="Q3574" s="4">
        <v>7745.2</v>
      </c>
      <c r="R3574">
        <v>0</v>
      </c>
      <c r="V3574">
        <v>0</v>
      </c>
      <c r="W3574">
        <v>0</v>
      </c>
      <c r="X3574">
        <v>0</v>
      </c>
      <c r="Y3574">
        <v>0</v>
      </c>
      <c r="Z3574">
        <v>0</v>
      </c>
      <c r="AA3574">
        <v>0</v>
      </c>
      <c r="AB3574" s="3">
        <v>42562</v>
      </c>
      <c r="AC3574" t="s">
        <v>53</v>
      </c>
      <c r="AD3574" t="s">
        <v>53</v>
      </c>
      <c r="AK3574">
        <v>0</v>
      </c>
      <c r="AU3574" s="3">
        <v>42520</v>
      </c>
      <c r="AV3574" s="3">
        <v>42520</v>
      </c>
      <c r="AW3574" t="s">
        <v>54</v>
      </c>
      <c r="AX3574" t="str">
        <f t="shared" si="428"/>
        <v>FOR</v>
      </c>
      <c r="AY3574" t="s">
        <v>55</v>
      </c>
    </row>
    <row r="3575" spans="1:51">
      <c r="A3575">
        <v>106404</v>
      </c>
      <c r="B3575" t="s">
        <v>457</v>
      </c>
      <c r="C3575" t="str">
        <f t="shared" si="427"/>
        <v>02368591208</v>
      </c>
      <c r="D3575" t="str">
        <f t="shared" si="427"/>
        <v>02368591208</v>
      </c>
      <c r="E3575" t="s">
        <v>52</v>
      </c>
      <c r="F3575">
        <v>2015</v>
      </c>
      <c r="G3575" t="str">
        <f>"          8100005376"</f>
        <v xml:space="preserve">          8100005376</v>
      </c>
      <c r="H3575" s="3">
        <v>42171</v>
      </c>
      <c r="I3575" s="3">
        <v>42172</v>
      </c>
      <c r="J3575" s="3">
        <v>42172</v>
      </c>
      <c r="K3575" s="3">
        <v>42232</v>
      </c>
      <c r="L3575" s="5">
        <v>11903.75</v>
      </c>
      <c r="M3575">
        <v>288</v>
      </c>
      <c r="N3575" s="5">
        <v>3428280</v>
      </c>
      <c r="O3575" s="4">
        <v>11903.75</v>
      </c>
      <c r="P3575">
        <v>288</v>
      </c>
      <c r="Q3575" s="4">
        <v>3428280</v>
      </c>
      <c r="R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>
        <v>0</v>
      </c>
      <c r="AB3575" s="3">
        <v>42562</v>
      </c>
      <c r="AC3575" t="s">
        <v>53</v>
      </c>
      <c r="AD3575" t="s">
        <v>53</v>
      </c>
      <c r="AK3575">
        <v>0</v>
      </c>
      <c r="AU3575" s="3">
        <v>42520</v>
      </c>
      <c r="AV3575" s="3">
        <v>42520</v>
      </c>
      <c r="AW3575" t="s">
        <v>54</v>
      </c>
      <c r="AX3575" t="str">
        <f t="shared" si="428"/>
        <v>FOR</v>
      </c>
      <c r="AY3575" t="s">
        <v>55</v>
      </c>
    </row>
    <row r="3576" spans="1:51" hidden="1">
      <c r="A3576">
        <v>106404</v>
      </c>
      <c r="B3576" t="s">
        <v>457</v>
      </c>
      <c r="C3576" t="str">
        <f t="shared" si="427"/>
        <v>02368591208</v>
      </c>
      <c r="D3576" t="str">
        <f t="shared" si="427"/>
        <v>02368591208</v>
      </c>
      <c r="E3576" t="s">
        <v>52</v>
      </c>
      <c r="F3576">
        <v>2015</v>
      </c>
      <c r="G3576" t="str">
        <f>"          9102170262"</f>
        <v xml:space="preserve">          9102170262</v>
      </c>
      <c r="H3576" s="3">
        <v>42047</v>
      </c>
      <c r="I3576" s="3">
        <v>42069</v>
      </c>
      <c r="J3576" s="3">
        <v>42069</v>
      </c>
      <c r="K3576" s="3">
        <v>42129</v>
      </c>
      <c r="L3576"/>
      <c r="N3576"/>
      <c r="O3576" s="4">
        <v>4626</v>
      </c>
      <c r="P3576">
        <v>272</v>
      </c>
      <c r="Q3576" s="4">
        <v>1258272</v>
      </c>
      <c r="R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 s="3">
        <v>42562</v>
      </c>
      <c r="AC3576" t="s">
        <v>53</v>
      </c>
      <c r="AD3576" t="s">
        <v>53</v>
      </c>
      <c r="AK3576">
        <v>0</v>
      </c>
      <c r="AU3576" s="3">
        <v>42401</v>
      </c>
      <c r="AV3576" s="3">
        <v>42401</v>
      </c>
      <c r="AW3576" t="s">
        <v>54</v>
      </c>
      <c r="AX3576" t="str">
        <f t="shared" si="428"/>
        <v>FOR</v>
      </c>
      <c r="AY3576" t="s">
        <v>55</v>
      </c>
    </row>
    <row r="3577" spans="1:51" hidden="1">
      <c r="A3577">
        <v>106404</v>
      </c>
      <c r="B3577" t="s">
        <v>457</v>
      </c>
      <c r="C3577" t="str">
        <f t="shared" si="427"/>
        <v>02368591208</v>
      </c>
      <c r="D3577" t="str">
        <f t="shared" si="427"/>
        <v>02368591208</v>
      </c>
      <c r="E3577" t="s">
        <v>52</v>
      </c>
      <c r="F3577">
        <v>2015</v>
      </c>
      <c r="G3577" t="str">
        <f>"          9102170910"</f>
        <v xml:space="preserve">          9102170910</v>
      </c>
      <c r="H3577" s="3">
        <v>42047</v>
      </c>
      <c r="I3577" s="3">
        <v>42069</v>
      </c>
      <c r="J3577" s="3">
        <v>42069</v>
      </c>
      <c r="K3577" s="3">
        <v>42129</v>
      </c>
      <c r="L3577"/>
      <c r="N3577"/>
      <c r="O3577" s="4">
        <v>20122.599999999999</v>
      </c>
      <c r="P3577">
        <v>272</v>
      </c>
      <c r="Q3577" s="4">
        <v>5473347.2000000002</v>
      </c>
      <c r="R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 s="3">
        <v>42562</v>
      </c>
      <c r="AC3577" t="s">
        <v>53</v>
      </c>
      <c r="AD3577" t="s">
        <v>53</v>
      </c>
      <c r="AK3577">
        <v>0</v>
      </c>
      <c r="AU3577" s="3">
        <v>42401</v>
      </c>
      <c r="AV3577" s="3">
        <v>42401</v>
      </c>
      <c r="AW3577" t="s">
        <v>54</v>
      </c>
      <c r="AX3577" t="str">
        <f t="shared" si="428"/>
        <v>FOR</v>
      </c>
      <c r="AY3577" t="s">
        <v>55</v>
      </c>
    </row>
    <row r="3578" spans="1:51" hidden="1">
      <c r="A3578">
        <v>106404</v>
      </c>
      <c r="B3578" t="s">
        <v>457</v>
      </c>
      <c r="C3578" t="str">
        <f t="shared" si="427"/>
        <v>02368591208</v>
      </c>
      <c r="D3578" t="str">
        <f t="shared" si="427"/>
        <v>02368591208</v>
      </c>
      <c r="E3578" t="s">
        <v>52</v>
      </c>
      <c r="F3578">
        <v>2015</v>
      </c>
      <c r="G3578" t="str">
        <f>"          9102172325"</f>
        <v xml:space="preserve">          9102172325</v>
      </c>
      <c r="H3578" s="3">
        <v>42048</v>
      </c>
      <c r="I3578" s="3">
        <v>42067</v>
      </c>
      <c r="J3578" s="3">
        <v>42067</v>
      </c>
      <c r="K3578" s="3">
        <v>42127</v>
      </c>
      <c r="L3578"/>
      <c r="N3578"/>
      <c r="O3578">
        <v>26.8</v>
      </c>
      <c r="P3578">
        <v>274</v>
      </c>
      <c r="Q3578" s="4">
        <v>7343.2</v>
      </c>
      <c r="R3578">
        <v>0</v>
      </c>
      <c r="V3578">
        <v>0</v>
      </c>
      <c r="W3578">
        <v>0</v>
      </c>
      <c r="X3578">
        <v>0</v>
      </c>
      <c r="Y3578">
        <v>0</v>
      </c>
      <c r="Z3578">
        <v>0</v>
      </c>
      <c r="AA3578">
        <v>0</v>
      </c>
      <c r="AB3578" s="3">
        <v>42562</v>
      </c>
      <c r="AC3578" t="s">
        <v>53</v>
      </c>
      <c r="AD3578" t="s">
        <v>53</v>
      </c>
      <c r="AK3578">
        <v>0</v>
      </c>
      <c r="AU3578" s="3">
        <v>42401</v>
      </c>
      <c r="AV3578" s="3">
        <v>42401</v>
      </c>
      <c r="AW3578" t="s">
        <v>54</v>
      </c>
      <c r="AX3578" t="str">
        <f t="shared" si="428"/>
        <v>FOR</v>
      </c>
      <c r="AY3578" t="s">
        <v>55</v>
      </c>
    </row>
    <row r="3579" spans="1:51" hidden="1">
      <c r="A3579">
        <v>106404</v>
      </c>
      <c r="B3579" t="s">
        <v>457</v>
      </c>
      <c r="C3579" t="str">
        <f t="shared" si="427"/>
        <v>02368591208</v>
      </c>
      <c r="D3579" t="str">
        <f t="shared" si="427"/>
        <v>02368591208</v>
      </c>
      <c r="E3579" t="s">
        <v>52</v>
      </c>
      <c r="F3579">
        <v>2015</v>
      </c>
      <c r="G3579" t="str">
        <f>"          9102186345"</f>
        <v xml:space="preserve">          9102186345</v>
      </c>
      <c r="H3579" s="3">
        <v>42076</v>
      </c>
      <c r="I3579" s="3">
        <v>42097</v>
      </c>
      <c r="J3579" s="3">
        <v>42097</v>
      </c>
      <c r="K3579" s="3">
        <v>42157</v>
      </c>
      <c r="L3579"/>
      <c r="N3579"/>
      <c r="O3579">
        <v>26.8</v>
      </c>
      <c r="P3579">
        <v>259</v>
      </c>
      <c r="Q3579" s="4">
        <v>6941.2</v>
      </c>
      <c r="R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 s="3">
        <v>42562</v>
      </c>
      <c r="AC3579" t="s">
        <v>53</v>
      </c>
      <c r="AD3579" t="s">
        <v>53</v>
      </c>
      <c r="AK3579">
        <v>0</v>
      </c>
      <c r="AU3579" s="3">
        <v>42416</v>
      </c>
      <c r="AV3579" s="3">
        <v>42416</v>
      </c>
      <c r="AW3579" t="s">
        <v>54</v>
      </c>
      <c r="AX3579" t="str">
        <f t="shared" si="428"/>
        <v>FOR</v>
      </c>
      <c r="AY3579" t="s">
        <v>55</v>
      </c>
    </row>
    <row r="3580" spans="1:51" hidden="1">
      <c r="A3580">
        <v>106410</v>
      </c>
      <c r="B3580" t="s">
        <v>458</v>
      </c>
      <c r="C3580" t="str">
        <f>""</f>
        <v/>
      </c>
      <c r="D3580" t="str">
        <f>"97761890587"</f>
        <v>97761890587</v>
      </c>
      <c r="E3580" t="s">
        <v>52</v>
      </c>
      <c r="F3580">
        <v>2016</v>
      </c>
      <c r="G3580" t="str">
        <f>"                0120"</f>
        <v xml:space="preserve">                0120</v>
      </c>
      <c r="H3580" s="3">
        <v>42389</v>
      </c>
      <c r="I3580" s="3">
        <v>42390</v>
      </c>
      <c r="J3580" s="3">
        <v>42390</v>
      </c>
      <c r="K3580" s="3">
        <v>42450</v>
      </c>
      <c r="L3580"/>
      <c r="N3580"/>
      <c r="O3580">
        <v>15</v>
      </c>
      <c r="P3580">
        <v>-60</v>
      </c>
      <c r="Q3580">
        <v>-900</v>
      </c>
      <c r="R3580">
        <v>0</v>
      </c>
      <c r="V3580">
        <v>0</v>
      </c>
      <c r="W3580">
        <v>0</v>
      </c>
      <c r="X3580">
        <v>0</v>
      </c>
      <c r="Y3580">
        <v>15</v>
      </c>
      <c r="Z3580">
        <v>15</v>
      </c>
      <c r="AA3580">
        <v>15</v>
      </c>
      <c r="AB3580" s="3">
        <v>42562</v>
      </c>
      <c r="AC3580" t="s">
        <v>53</v>
      </c>
      <c r="AD3580" t="s">
        <v>53</v>
      </c>
      <c r="AK3580">
        <v>0</v>
      </c>
      <c r="AU3580" s="3">
        <v>42390</v>
      </c>
      <c r="AV3580" s="3">
        <v>42390</v>
      </c>
      <c r="AW3580" t="s">
        <v>54</v>
      </c>
      <c r="AX3580" t="str">
        <f t="shared" ref="AX3580:AX3596" si="429">"ALT"</f>
        <v>ALT</v>
      </c>
      <c r="AY3580" t="s">
        <v>72</v>
      </c>
    </row>
    <row r="3581" spans="1:51" hidden="1">
      <c r="A3581">
        <v>106410</v>
      </c>
      <c r="B3581" t="s">
        <v>458</v>
      </c>
      <c r="C3581" t="str">
        <f>""</f>
        <v/>
      </c>
      <c r="D3581" t="str">
        <f>"97761890587"</f>
        <v>97761890587</v>
      </c>
      <c r="E3581" t="s">
        <v>52</v>
      </c>
      <c r="F3581">
        <v>2016</v>
      </c>
      <c r="G3581" t="str">
        <f>"                0222"</f>
        <v xml:space="preserve">                0222</v>
      </c>
      <c r="H3581" s="3">
        <v>42422</v>
      </c>
      <c r="I3581" s="3">
        <v>42422</v>
      </c>
      <c r="J3581" s="3">
        <v>42422</v>
      </c>
      <c r="K3581" s="3">
        <v>42482</v>
      </c>
      <c r="L3581"/>
      <c r="N3581"/>
      <c r="O3581">
        <v>15</v>
      </c>
      <c r="P3581">
        <v>-58</v>
      </c>
      <c r="Q3581">
        <v>-870</v>
      </c>
      <c r="R3581">
        <v>0</v>
      </c>
      <c r="V3581">
        <v>0</v>
      </c>
      <c r="W3581">
        <v>0</v>
      </c>
      <c r="X3581">
        <v>0</v>
      </c>
      <c r="Y3581">
        <v>15</v>
      </c>
      <c r="Z3581">
        <v>15</v>
      </c>
      <c r="AA3581">
        <v>15</v>
      </c>
      <c r="AB3581" s="3">
        <v>42562</v>
      </c>
      <c r="AC3581" t="s">
        <v>53</v>
      </c>
      <c r="AD3581" t="s">
        <v>53</v>
      </c>
      <c r="AK3581">
        <v>0</v>
      </c>
      <c r="AU3581" s="3">
        <v>42424</v>
      </c>
      <c r="AV3581" s="3">
        <v>42424</v>
      </c>
      <c r="AW3581" t="s">
        <v>54</v>
      </c>
      <c r="AX3581" t="str">
        <f t="shared" si="429"/>
        <v>ALT</v>
      </c>
      <c r="AY3581" t="s">
        <v>72</v>
      </c>
    </row>
    <row r="3582" spans="1:51" hidden="1">
      <c r="A3582">
        <v>106410</v>
      </c>
      <c r="B3582" t="s">
        <v>458</v>
      </c>
      <c r="C3582" t="str">
        <f>""</f>
        <v/>
      </c>
      <c r="D3582" t="str">
        <f>"97761890587"</f>
        <v>97761890587</v>
      </c>
      <c r="E3582" t="s">
        <v>52</v>
      </c>
      <c r="F3582">
        <v>2016</v>
      </c>
      <c r="G3582" t="str">
        <f>"                0321"</f>
        <v xml:space="preserve">                0321</v>
      </c>
      <c r="H3582" s="3">
        <v>42450</v>
      </c>
      <c r="I3582" s="3">
        <v>42450</v>
      </c>
      <c r="J3582" s="3">
        <v>42450</v>
      </c>
      <c r="K3582" s="3">
        <v>42510</v>
      </c>
      <c r="L3582"/>
      <c r="N3582"/>
      <c r="O3582">
        <v>15</v>
      </c>
      <c r="P3582">
        <v>-57</v>
      </c>
      <c r="Q3582">
        <v>-855</v>
      </c>
      <c r="R3582">
        <v>0</v>
      </c>
      <c r="V3582">
        <v>0</v>
      </c>
      <c r="W3582">
        <v>0</v>
      </c>
      <c r="X3582">
        <v>0</v>
      </c>
      <c r="Y3582">
        <v>15</v>
      </c>
      <c r="Z3582">
        <v>15</v>
      </c>
      <c r="AA3582">
        <v>15</v>
      </c>
      <c r="AB3582" s="3">
        <v>42562</v>
      </c>
      <c r="AC3582" t="s">
        <v>53</v>
      </c>
      <c r="AD3582" t="s">
        <v>53</v>
      </c>
      <c r="AK3582">
        <v>0</v>
      </c>
      <c r="AU3582" s="3">
        <v>42453</v>
      </c>
      <c r="AV3582" s="3">
        <v>42453</v>
      </c>
      <c r="AW3582" t="s">
        <v>54</v>
      </c>
      <c r="AX3582" t="str">
        <f t="shared" si="429"/>
        <v>ALT</v>
      </c>
      <c r="AY3582" t="s">
        <v>72</v>
      </c>
    </row>
    <row r="3583" spans="1:51" hidden="1">
      <c r="A3583">
        <v>106410</v>
      </c>
      <c r="B3583" t="s">
        <v>458</v>
      </c>
      <c r="C3583" t="str">
        <f>""</f>
        <v/>
      </c>
      <c r="D3583" t="str">
        <f>"97761890587"</f>
        <v>97761890587</v>
      </c>
      <c r="E3583" t="s">
        <v>52</v>
      </c>
      <c r="F3583">
        <v>2016</v>
      </c>
      <c r="G3583" t="str">
        <f>"                0421"</f>
        <v xml:space="preserve">                0421</v>
      </c>
      <c r="H3583" s="3">
        <v>42481</v>
      </c>
      <c r="I3583" s="3">
        <v>42481</v>
      </c>
      <c r="J3583" s="3">
        <v>42481</v>
      </c>
      <c r="K3583" s="3">
        <v>42541</v>
      </c>
      <c r="L3583">
        <v>15</v>
      </c>
      <c r="M3583">
        <v>-60</v>
      </c>
      <c r="N3583">
        <v>-900</v>
      </c>
      <c r="O3583">
        <v>15</v>
      </c>
      <c r="P3583">
        <v>-60</v>
      </c>
      <c r="Q3583">
        <v>-900</v>
      </c>
      <c r="R3583">
        <v>0</v>
      </c>
      <c r="V3583">
        <v>15</v>
      </c>
      <c r="W3583">
        <v>15</v>
      </c>
      <c r="X3583">
        <v>15</v>
      </c>
      <c r="Y3583">
        <v>15</v>
      </c>
      <c r="Z3583">
        <v>15</v>
      </c>
      <c r="AA3583">
        <v>15</v>
      </c>
      <c r="AB3583" s="3">
        <v>42562</v>
      </c>
      <c r="AC3583" t="s">
        <v>53</v>
      </c>
      <c r="AD3583" t="s">
        <v>53</v>
      </c>
      <c r="AK3583">
        <v>0</v>
      </c>
      <c r="AU3583" s="3">
        <v>42481</v>
      </c>
      <c r="AV3583" s="3">
        <v>42481</v>
      </c>
      <c r="AW3583" t="s">
        <v>54</v>
      </c>
      <c r="AX3583" t="str">
        <f t="shared" si="429"/>
        <v>ALT</v>
      </c>
      <c r="AY3583" t="s">
        <v>72</v>
      </c>
    </row>
    <row r="3584" spans="1:51" hidden="1">
      <c r="A3584">
        <v>106410</v>
      </c>
      <c r="B3584" t="s">
        <v>458</v>
      </c>
      <c r="C3584" t="str">
        <f>""</f>
        <v/>
      </c>
      <c r="D3584" t="str">
        <f>"97761890587"</f>
        <v>97761890587</v>
      </c>
      <c r="E3584" t="s">
        <v>52</v>
      </c>
      <c r="F3584">
        <v>2016</v>
      </c>
      <c r="G3584" t="str">
        <f>"                0518"</f>
        <v xml:space="preserve">                0518</v>
      </c>
      <c r="H3584" s="3">
        <v>42508</v>
      </c>
      <c r="I3584" s="3">
        <v>42510</v>
      </c>
      <c r="J3584" s="3">
        <v>42510</v>
      </c>
      <c r="K3584" s="3">
        <v>42570</v>
      </c>
      <c r="L3584">
        <v>15</v>
      </c>
      <c r="M3584">
        <v>-57</v>
      </c>
      <c r="N3584">
        <v>-855</v>
      </c>
      <c r="O3584">
        <v>15</v>
      </c>
      <c r="P3584">
        <v>-57</v>
      </c>
      <c r="Q3584">
        <v>-855</v>
      </c>
      <c r="R3584">
        <v>0</v>
      </c>
      <c r="V3584">
        <v>15</v>
      </c>
      <c r="W3584">
        <v>15</v>
      </c>
      <c r="X3584">
        <v>15</v>
      </c>
      <c r="Y3584">
        <v>15</v>
      </c>
      <c r="Z3584">
        <v>15</v>
      </c>
      <c r="AA3584">
        <v>15</v>
      </c>
      <c r="AB3584" s="3">
        <v>42562</v>
      </c>
      <c r="AC3584" t="s">
        <v>53</v>
      </c>
      <c r="AD3584" t="s">
        <v>53</v>
      </c>
      <c r="AK3584">
        <v>0</v>
      </c>
      <c r="AU3584" s="3">
        <v>42513</v>
      </c>
      <c r="AV3584" s="3">
        <v>42513</v>
      </c>
      <c r="AW3584" t="s">
        <v>54</v>
      </c>
      <c r="AX3584" t="str">
        <f t="shared" si="429"/>
        <v>ALT</v>
      </c>
      <c r="AY3584" t="s">
        <v>72</v>
      </c>
    </row>
    <row r="3585" spans="1:51" hidden="1">
      <c r="A3585">
        <v>106411</v>
      </c>
      <c r="B3585" t="s">
        <v>459</v>
      </c>
      <c r="C3585" t="str">
        <f>""</f>
        <v/>
      </c>
      <c r="D3585" t="str">
        <f>"NRDNLL54P57B541C"</f>
        <v>NRDNLL54P57B541C</v>
      </c>
      <c r="E3585" t="s">
        <v>52</v>
      </c>
      <c r="F3585">
        <v>2016</v>
      </c>
      <c r="G3585" t="str">
        <f>"                0120"</f>
        <v xml:space="preserve">                0120</v>
      </c>
      <c r="H3585" s="3">
        <v>42389</v>
      </c>
      <c r="I3585" s="3">
        <v>42390</v>
      </c>
      <c r="J3585" s="3">
        <v>42390</v>
      </c>
      <c r="K3585" s="3">
        <v>42450</v>
      </c>
      <c r="L3585"/>
      <c r="N3585"/>
      <c r="O3585">
        <v>356.09</v>
      </c>
      <c r="P3585">
        <v>-60</v>
      </c>
      <c r="Q3585" s="4">
        <v>-21365.4</v>
      </c>
      <c r="R3585">
        <v>0</v>
      </c>
      <c r="V3585">
        <v>0</v>
      </c>
      <c r="W3585">
        <v>0</v>
      </c>
      <c r="X3585">
        <v>0</v>
      </c>
      <c r="Y3585">
        <v>356.09</v>
      </c>
      <c r="Z3585">
        <v>356.09</v>
      </c>
      <c r="AA3585">
        <v>356.09</v>
      </c>
      <c r="AB3585" s="3">
        <v>42562</v>
      </c>
      <c r="AC3585" t="s">
        <v>53</v>
      </c>
      <c r="AD3585" t="s">
        <v>53</v>
      </c>
      <c r="AK3585">
        <v>0</v>
      </c>
      <c r="AU3585" s="3">
        <v>42390</v>
      </c>
      <c r="AV3585" s="3">
        <v>42390</v>
      </c>
      <c r="AW3585" t="s">
        <v>54</v>
      </c>
      <c r="AX3585" t="str">
        <f t="shared" si="429"/>
        <v>ALT</v>
      </c>
      <c r="AY3585" t="s">
        <v>72</v>
      </c>
    </row>
    <row r="3586" spans="1:51" hidden="1">
      <c r="A3586">
        <v>106411</v>
      </c>
      <c r="B3586" t="s">
        <v>459</v>
      </c>
      <c r="C3586" t="str">
        <f>""</f>
        <v/>
      </c>
      <c r="D3586" t="str">
        <f>"NRDNLL54P57B541C"</f>
        <v>NRDNLL54P57B541C</v>
      </c>
      <c r="E3586" t="s">
        <v>52</v>
      </c>
      <c r="F3586">
        <v>2016</v>
      </c>
      <c r="G3586" t="str">
        <f>"                0222"</f>
        <v xml:space="preserve">                0222</v>
      </c>
      <c r="H3586" s="3">
        <v>42422</v>
      </c>
      <c r="I3586" s="3">
        <v>42422</v>
      </c>
      <c r="J3586" s="3">
        <v>42422</v>
      </c>
      <c r="K3586" s="3">
        <v>42482</v>
      </c>
      <c r="L3586"/>
      <c r="N3586"/>
      <c r="O3586">
        <v>356.09</v>
      </c>
      <c r="P3586">
        <v>-58</v>
      </c>
      <c r="Q3586" s="4">
        <v>-20653.22</v>
      </c>
      <c r="R3586">
        <v>0</v>
      </c>
      <c r="V3586">
        <v>0</v>
      </c>
      <c r="W3586">
        <v>0</v>
      </c>
      <c r="X3586">
        <v>0</v>
      </c>
      <c r="Y3586">
        <v>356.09</v>
      </c>
      <c r="Z3586">
        <v>356.09</v>
      </c>
      <c r="AA3586">
        <v>356.09</v>
      </c>
      <c r="AB3586" s="3">
        <v>42562</v>
      </c>
      <c r="AC3586" t="s">
        <v>53</v>
      </c>
      <c r="AD3586" t="s">
        <v>53</v>
      </c>
      <c r="AK3586">
        <v>0</v>
      </c>
      <c r="AU3586" s="3">
        <v>42424</v>
      </c>
      <c r="AV3586" s="3">
        <v>42424</v>
      </c>
      <c r="AW3586" t="s">
        <v>54</v>
      </c>
      <c r="AX3586" t="str">
        <f t="shared" si="429"/>
        <v>ALT</v>
      </c>
      <c r="AY3586" t="s">
        <v>72</v>
      </c>
    </row>
    <row r="3587" spans="1:51" hidden="1">
      <c r="A3587">
        <v>106411</v>
      </c>
      <c r="B3587" t="s">
        <v>459</v>
      </c>
      <c r="C3587" t="str">
        <f>""</f>
        <v/>
      </c>
      <c r="D3587" t="str">
        <f>"NRDNLL54P57B541C"</f>
        <v>NRDNLL54P57B541C</v>
      </c>
      <c r="E3587" t="s">
        <v>52</v>
      </c>
      <c r="F3587">
        <v>2016</v>
      </c>
      <c r="G3587" t="str">
        <f>"                0321"</f>
        <v xml:space="preserve">                0321</v>
      </c>
      <c r="H3587" s="3">
        <v>42450</v>
      </c>
      <c r="I3587" s="3">
        <v>42450</v>
      </c>
      <c r="J3587" s="3">
        <v>42450</v>
      </c>
      <c r="K3587" s="3">
        <v>42510</v>
      </c>
      <c r="L3587"/>
      <c r="N3587"/>
      <c r="O3587">
        <v>356.09</v>
      </c>
      <c r="P3587">
        <v>-57</v>
      </c>
      <c r="Q3587" s="4">
        <v>-20297.13</v>
      </c>
      <c r="R3587">
        <v>0</v>
      </c>
      <c r="V3587">
        <v>0</v>
      </c>
      <c r="W3587">
        <v>0</v>
      </c>
      <c r="X3587">
        <v>0</v>
      </c>
      <c r="Y3587">
        <v>356.09</v>
      </c>
      <c r="Z3587">
        <v>356.09</v>
      </c>
      <c r="AA3587">
        <v>356.09</v>
      </c>
      <c r="AB3587" s="3">
        <v>42562</v>
      </c>
      <c r="AC3587" t="s">
        <v>53</v>
      </c>
      <c r="AD3587" t="s">
        <v>53</v>
      </c>
      <c r="AK3587">
        <v>0</v>
      </c>
      <c r="AU3587" s="3">
        <v>42453</v>
      </c>
      <c r="AV3587" s="3">
        <v>42453</v>
      </c>
      <c r="AW3587" t="s">
        <v>54</v>
      </c>
      <c r="AX3587" t="str">
        <f t="shared" si="429"/>
        <v>ALT</v>
      </c>
      <c r="AY3587" t="s">
        <v>72</v>
      </c>
    </row>
    <row r="3588" spans="1:51" hidden="1">
      <c r="A3588">
        <v>106411</v>
      </c>
      <c r="B3588" t="s">
        <v>459</v>
      </c>
      <c r="C3588" t="str">
        <f>""</f>
        <v/>
      </c>
      <c r="D3588" t="str">
        <f>"NRDNLL54P57B541C"</f>
        <v>NRDNLL54P57B541C</v>
      </c>
      <c r="E3588" t="s">
        <v>52</v>
      </c>
      <c r="F3588">
        <v>2016</v>
      </c>
      <c r="G3588" t="str">
        <f>"                0421"</f>
        <v xml:space="preserve">                0421</v>
      </c>
      <c r="H3588" s="3">
        <v>42481</v>
      </c>
      <c r="I3588" s="3">
        <v>42481</v>
      </c>
      <c r="J3588" s="3">
        <v>42481</v>
      </c>
      <c r="K3588" s="3">
        <v>42541</v>
      </c>
      <c r="L3588">
        <v>356.09</v>
      </c>
      <c r="M3588">
        <v>-60</v>
      </c>
      <c r="N3588" s="4">
        <v>-21365.4</v>
      </c>
      <c r="O3588">
        <v>356.09</v>
      </c>
      <c r="P3588">
        <v>-60</v>
      </c>
      <c r="Q3588" s="4">
        <v>-21365.4</v>
      </c>
      <c r="R3588">
        <v>0</v>
      </c>
      <c r="V3588">
        <v>356.09</v>
      </c>
      <c r="W3588">
        <v>356.09</v>
      </c>
      <c r="X3588">
        <v>356.09</v>
      </c>
      <c r="Y3588">
        <v>356.09</v>
      </c>
      <c r="Z3588">
        <v>356.09</v>
      </c>
      <c r="AA3588">
        <v>356.09</v>
      </c>
      <c r="AB3588" s="3">
        <v>42562</v>
      </c>
      <c r="AC3588" t="s">
        <v>53</v>
      </c>
      <c r="AD3588" t="s">
        <v>53</v>
      </c>
      <c r="AK3588">
        <v>0</v>
      </c>
      <c r="AU3588" s="3">
        <v>42481</v>
      </c>
      <c r="AV3588" s="3">
        <v>42481</v>
      </c>
      <c r="AW3588" t="s">
        <v>54</v>
      </c>
      <c r="AX3588" t="str">
        <f t="shared" si="429"/>
        <v>ALT</v>
      </c>
      <c r="AY3588" t="s">
        <v>72</v>
      </c>
    </row>
    <row r="3589" spans="1:51" hidden="1">
      <c r="A3589">
        <v>106411</v>
      </c>
      <c r="B3589" t="s">
        <v>459</v>
      </c>
      <c r="C3589" t="str">
        <f>""</f>
        <v/>
      </c>
      <c r="D3589" t="str">
        <f>"NRDNLL54P57B541C"</f>
        <v>NRDNLL54P57B541C</v>
      </c>
      <c r="E3589" t="s">
        <v>52</v>
      </c>
      <c r="F3589">
        <v>2016</v>
      </c>
      <c r="G3589" t="str">
        <f>"                0518"</f>
        <v xml:space="preserve">                0518</v>
      </c>
      <c r="H3589" s="3">
        <v>42508</v>
      </c>
      <c r="I3589" s="3">
        <v>42510</v>
      </c>
      <c r="J3589" s="3">
        <v>42510</v>
      </c>
      <c r="K3589" s="3">
        <v>42570</v>
      </c>
      <c r="L3589">
        <v>356.09</v>
      </c>
      <c r="M3589">
        <v>-57</v>
      </c>
      <c r="N3589" s="4">
        <v>-20297.13</v>
      </c>
      <c r="O3589">
        <v>356.09</v>
      </c>
      <c r="P3589">
        <v>-57</v>
      </c>
      <c r="Q3589" s="4">
        <v>-20297.13</v>
      </c>
      <c r="R3589">
        <v>0</v>
      </c>
      <c r="V3589">
        <v>356.09</v>
      </c>
      <c r="W3589">
        <v>356.09</v>
      </c>
      <c r="X3589">
        <v>356.09</v>
      </c>
      <c r="Y3589">
        <v>356.09</v>
      </c>
      <c r="Z3589">
        <v>356.09</v>
      </c>
      <c r="AA3589">
        <v>356.09</v>
      </c>
      <c r="AB3589" s="3">
        <v>42562</v>
      </c>
      <c r="AC3589" t="s">
        <v>53</v>
      </c>
      <c r="AD3589" t="s">
        <v>53</v>
      </c>
      <c r="AK3589">
        <v>0</v>
      </c>
      <c r="AU3589" s="3">
        <v>42513</v>
      </c>
      <c r="AV3589" s="3">
        <v>42513</v>
      </c>
      <c r="AW3589" t="s">
        <v>54</v>
      </c>
      <c r="AX3589" t="str">
        <f t="shared" si="429"/>
        <v>ALT</v>
      </c>
      <c r="AY3589" t="s">
        <v>72</v>
      </c>
    </row>
    <row r="3590" spans="1:51" hidden="1">
      <c r="A3590">
        <v>106413</v>
      </c>
      <c r="B3590" t="s">
        <v>460</v>
      </c>
      <c r="C3590" t="str">
        <f>""</f>
        <v/>
      </c>
      <c r="D3590" t="str">
        <f t="shared" ref="D3590:D3596" si="430">"97660520582"</f>
        <v>97660520582</v>
      </c>
      <c r="E3590" t="s">
        <v>52</v>
      </c>
      <c r="F3590">
        <v>2015</v>
      </c>
      <c r="G3590" t="str">
        <f>"                1211"</f>
        <v xml:space="preserve">                1211</v>
      </c>
      <c r="H3590" s="3">
        <v>42349</v>
      </c>
      <c r="I3590" s="3">
        <v>42349</v>
      </c>
      <c r="J3590" s="3">
        <v>42349</v>
      </c>
      <c r="K3590" s="3">
        <v>42409</v>
      </c>
      <c r="L3590"/>
      <c r="N3590"/>
      <c r="O3590">
        <v>255.59</v>
      </c>
      <c r="P3590">
        <v>-28</v>
      </c>
      <c r="Q3590" s="4">
        <v>-7280.27</v>
      </c>
      <c r="R3590">
        <v>0</v>
      </c>
      <c r="V3590">
        <v>0</v>
      </c>
      <c r="W3590">
        <v>0</v>
      </c>
      <c r="X3590">
        <v>0</v>
      </c>
      <c r="Y3590">
        <v>0</v>
      </c>
      <c r="Z3590">
        <v>0</v>
      </c>
      <c r="AA3590">
        <v>0</v>
      </c>
      <c r="AB3590" s="3">
        <v>42562</v>
      </c>
      <c r="AC3590" t="s">
        <v>53</v>
      </c>
      <c r="AD3590" t="s">
        <v>53</v>
      </c>
      <c r="AK3590">
        <v>0</v>
      </c>
      <c r="AU3590" s="3">
        <v>42380</v>
      </c>
      <c r="AV3590" s="3">
        <v>42396</v>
      </c>
      <c r="AW3590" t="s">
        <v>54</v>
      </c>
      <c r="AX3590" t="str">
        <f t="shared" si="429"/>
        <v>ALT</v>
      </c>
      <c r="AY3590" t="s">
        <v>72</v>
      </c>
    </row>
    <row r="3591" spans="1:51" hidden="1">
      <c r="A3591">
        <v>106413</v>
      </c>
      <c r="B3591" t="s">
        <v>460</v>
      </c>
      <c r="C3591" t="str">
        <f>""</f>
        <v/>
      </c>
      <c r="D3591" t="str">
        <f t="shared" si="430"/>
        <v>97660520582</v>
      </c>
      <c r="E3591" t="s">
        <v>52</v>
      </c>
      <c r="F3591">
        <v>2016</v>
      </c>
      <c r="G3591" t="str">
        <f>"                  22"</f>
        <v xml:space="preserve">                  22</v>
      </c>
      <c r="H3591" s="3">
        <v>42425</v>
      </c>
      <c r="I3591" s="3">
        <v>42425</v>
      </c>
      <c r="J3591" s="3">
        <v>42425</v>
      </c>
      <c r="K3591" s="3">
        <v>42485</v>
      </c>
      <c r="L3591"/>
      <c r="N3591"/>
      <c r="O3591">
        <v>4.12</v>
      </c>
      <c r="P3591">
        <v>-60</v>
      </c>
      <c r="Q3591">
        <v>-247.2</v>
      </c>
      <c r="R3591">
        <v>0</v>
      </c>
      <c r="V3591">
        <v>0</v>
      </c>
      <c r="W3591">
        <v>0</v>
      </c>
      <c r="X3591">
        <v>0</v>
      </c>
      <c r="Y3591">
        <v>4.12</v>
      </c>
      <c r="Z3591">
        <v>4.12</v>
      </c>
      <c r="AA3591">
        <v>4.12</v>
      </c>
      <c r="AB3591" s="3">
        <v>42562</v>
      </c>
      <c r="AC3591" t="s">
        <v>53</v>
      </c>
      <c r="AD3591" t="s">
        <v>53</v>
      </c>
      <c r="AK3591">
        <v>0</v>
      </c>
      <c r="AU3591" s="3">
        <v>42425</v>
      </c>
      <c r="AV3591" s="3">
        <v>42425</v>
      </c>
      <c r="AW3591" t="s">
        <v>54</v>
      </c>
      <c r="AX3591" t="str">
        <f t="shared" si="429"/>
        <v>ALT</v>
      </c>
      <c r="AY3591" t="s">
        <v>72</v>
      </c>
    </row>
    <row r="3592" spans="1:51" hidden="1">
      <c r="A3592">
        <v>106413</v>
      </c>
      <c r="B3592" t="s">
        <v>460</v>
      </c>
      <c r="C3592" t="str">
        <f>""</f>
        <v/>
      </c>
      <c r="D3592" t="str">
        <f t="shared" si="430"/>
        <v>97660520582</v>
      </c>
      <c r="E3592" t="s">
        <v>52</v>
      </c>
      <c r="F3592">
        <v>2016</v>
      </c>
      <c r="G3592" t="str">
        <f>"                0120"</f>
        <v xml:space="preserve">                0120</v>
      </c>
      <c r="H3592" s="3">
        <v>42389</v>
      </c>
      <c r="I3592" s="3">
        <v>42390</v>
      </c>
      <c r="J3592" s="3">
        <v>42390</v>
      </c>
      <c r="K3592" s="3">
        <v>42450</v>
      </c>
      <c r="L3592"/>
      <c r="N3592"/>
      <c r="O3592">
        <v>127.78</v>
      </c>
      <c r="P3592">
        <v>-60</v>
      </c>
      <c r="Q3592" s="4">
        <v>-7666.8</v>
      </c>
      <c r="R3592">
        <v>0</v>
      </c>
      <c r="V3592">
        <v>0</v>
      </c>
      <c r="W3592">
        <v>0</v>
      </c>
      <c r="X3592">
        <v>0</v>
      </c>
      <c r="Y3592">
        <v>127.78</v>
      </c>
      <c r="Z3592">
        <v>127.78</v>
      </c>
      <c r="AA3592">
        <v>127.78</v>
      </c>
      <c r="AB3592" s="3">
        <v>42562</v>
      </c>
      <c r="AC3592" t="s">
        <v>53</v>
      </c>
      <c r="AD3592" t="s">
        <v>53</v>
      </c>
      <c r="AK3592">
        <v>0</v>
      </c>
      <c r="AU3592" s="3">
        <v>42390</v>
      </c>
      <c r="AV3592" s="3">
        <v>42390</v>
      </c>
      <c r="AW3592" t="s">
        <v>54</v>
      </c>
      <c r="AX3592" t="str">
        <f t="shared" si="429"/>
        <v>ALT</v>
      </c>
      <c r="AY3592" t="s">
        <v>72</v>
      </c>
    </row>
    <row r="3593" spans="1:51" hidden="1">
      <c r="A3593">
        <v>106413</v>
      </c>
      <c r="B3593" t="s">
        <v>460</v>
      </c>
      <c r="C3593" t="str">
        <f>""</f>
        <v/>
      </c>
      <c r="D3593" t="str">
        <f t="shared" si="430"/>
        <v>97660520582</v>
      </c>
      <c r="E3593" t="s">
        <v>52</v>
      </c>
      <c r="F3593">
        <v>2016</v>
      </c>
      <c r="G3593" t="str">
        <f>"                0222"</f>
        <v xml:space="preserve">                0222</v>
      </c>
      <c r="H3593" s="3">
        <v>42422</v>
      </c>
      <c r="I3593" s="3">
        <v>42422</v>
      </c>
      <c r="J3593" s="3">
        <v>42422</v>
      </c>
      <c r="K3593" s="3">
        <v>42482</v>
      </c>
      <c r="L3593"/>
      <c r="N3593"/>
      <c r="O3593">
        <v>127.78</v>
      </c>
      <c r="P3593">
        <v>-39</v>
      </c>
      <c r="Q3593" s="4">
        <v>-4921.62</v>
      </c>
      <c r="R3593">
        <v>0</v>
      </c>
      <c r="V3593">
        <v>0</v>
      </c>
      <c r="W3593">
        <v>0</v>
      </c>
      <c r="X3593">
        <v>0</v>
      </c>
      <c r="Y3593">
        <v>127.78</v>
      </c>
      <c r="Z3593">
        <v>127.78</v>
      </c>
      <c r="AA3593">
        <v>127.78</v>
      </c>
      <c r="AB3593" s="3">
        <v>42562</v>
      </c>
      <c r="AC3593" t="s">
        <v>53</v>
      </c>
      <c r="AD3593" t="s">
        <v>53</v>
      </c>
      <c r="AK3593">
        <v>0</v>
      </c>
      <c r="AU3593" s="3">
        <v>42443</v>
      </c>
      <c r="AV3593" s="3">
        <v>42458</v>
      </c>
      <c r="AW3593" t="s">
        <v>54</v>
      </c>
      <c r="AX3593" t="str">
        <f t="shared" si="429"/>
        <v>ALT</v>
      </c>
      <c r="AY3593" t="s">
        <v>72</v>
      </c>
    </row>
    <row r="3594" spans="1:51" hidden="1">
      <c r="A3594">
        <v>106413</v>
      </c>
      <c r="B3594" t="s">
        <v>460</v>
      </c>
      <c r="C3594" t="str">
        <f>""</f>
        <v/>
      </c>
      <c r="D3594" t="str">
        <f t="shared" si="430"/>
        <v>97660520582</v>
      </c>
      <c r="E3594" t="s">
        <v>52</v>
      </c>
      <c r="F3594">
        <v>2016</v>
      </c>
      <c r="G3594" t="str">
        <f>"                0321"</f>
        <v xml:space="preserve">                0321</v>
      </c>
      <c r="H3594" s="3">
        <v>42450</v>
      </c>
      <c r="I3594" s="3">
        <v>42450</v>
      </c>
      <c r="J3594" s="3">
        <v>42450</v>
      </c>
      <c r="K3594" s="3">
        <v>42510</v>
      </c>
      <c r="L3594">
        <v>127.78</v>
      </c>
      <c r="M3594">
        <v>-37</v>
      </c>
      <c r="N3594" s="4">
        <v>-4694.8999999999996</v>
      </c>
      <c r="O3594">
        <v>127.78</v>
      </c>
      <c r="P3594">
        <v>-37</v>
      </c>
      <c r="Q3594" s="4">
        <v>-4694.8999999999996</v>
      </c>
      <c r="R3594">
        <v>0</v>
      </c>
      <c r="V3594">
        <v>0</v>
      </c>
      <c r="W3594">
        <v>0</v>
      </c>
      <c r="X3594">
        <v>0</v>
      </c>
      <c r="Y3594">
        <v>127.78</v>
      </c>
      <c r="Z3594">
        <v>127.78</v>
      </c>
      <c r="AA3594">
        <v>127.78</v>
      </c>
      <c r="AB3594" s="3">
        <v>42562</v>
      </c>
      <c r="AC3594" t="s">
        <v>53</v>
      </c>
      <c r="AD3594" t="s">
        <v>53</v>
      </c>
      <c r="AK3594">
        <v>0</v>
      </c>
      <c r="AU3594" s="3">
        <v>42473</v>
      </c>
      <c r="AV3594" s="3">
        <v>42481</v>
      </c>
      <c r="AW3594" t="s">
        <v>54</v>
      </c>
      <c r="AX3594" t="str">
        <f t="shared" si="429"/>
        <v>ALT</v>
      </c>
      <c r="AY3594" t="s">
        <v>72</v>
      </c>
    </row>
    <row r="3595" spans="1:51" hidden="1">
      <c r="A3595">
        <v>106413</v>
      </c>
      <c r="B3595" t="s">
        <v>460</v>
      </c>
      <c r="C3595" t="str">
        <f>""</f>
        <v/>
      </c>
      <c r="D3595" t="str">
        <f t="shared" si="430"/>
        <v>97660520582</v>
      </c>
      <c r="E3595" t="s">
        <v>52</v>
      </c>
      <c r="F3595">
        <v>2016</v>
      </c>
      <c r="G3595" t="str">
        <f>"                0421"</f>
        <v xml:space="preserve">                0421</v>
      </c>
      <c r="H3595" s="3">
        <v>42481</v>
      </c>
      <c r="I3595" s="3">
        <v>42481</v>
      </c>
      <c r="J3595" s="3">
        <v>42481</v>
      </c>
      <c r="K3595" s="3">
        <v>42541</v>
      </c>
      <c r="L3595">
        <v>127.78</v>
      </c>
      <c r="M3595">
        <v>-33</v>
      </c>
      <c r="N3595" s="4">
        <v>-4258</v>
      </c>
      <c r="O3595">
        <v>127.78</v>
      </c>
      <c r="P3595">
        <v>-33</v>
      </c>
      <c r="Q3595" s="4">
        <v>-4258</v>
      </c>
      <c r="R3595">
        <v>0</v>
      </c>
      <c r="V3595">
        <v>127.78</v>
      </c>
      <c r="W3595">
        <v>127.78</v>
      </c>
      <c r="X3595">
        <v>127.78</v>
      </c>
      <c r="Y3595">
        <v>127.78</v>
      </c>
      <c r="Z3595">
        <v>127.78</v>
      </c>
      <c r="AA3595">
        <v>127.78</v>
      </c>
      <c r="AB3595" s="3">
        <v>42562</v>
      </c>
      <c r="AC3595" t="s">
        <v>53</v>
      </c>
      <c r="AD3595" t="s">
        <v>53</v>
      </c>
      <c r="AK3595">
        <v>0</v>
      </c>
      <c r="AU3595" s="3">
        <v>42507</v>
      </c>
      <c r="AV3595" s="3">
        <v>42528</v>
      </c>
      <c r="AW3595" t="s">
        <v>54</v>
      </c>
      <c r="AX3595" t="str">
        <f t="shared" si="429"/>
        <v>ALT</v>
      </c>
      <c r="AY3595" t="s">
        <v>72</v>
      </c>
    </row>
    <row r="3596" spans="1:51" hidden="1">
      <c r="A3596">
        <v>106413</v>
      </c>
      <c r="B3596" t="s">
        <v>460</v>
      </c>
      <c r="C3596" t="str">
        <f>""</f>
        <v/>
      </c>
      <c r="D3596" t="str">
        <f t="shared" si="430"/>
        <v>97660520582</v>
      </c>
      <c r="E3596" t="s">
        <v>52</v>
      </c>
      <c r="F3596">
        <v>2016</v>
      </c>
      <c r="G3596" t="str">
        <f>"                0518"</f>
        <v xml:space="preserve">                0518</v>
      </c>
      <c r="H3596" s="3">
        <v>42508</v>
      </c>
      <c r="I3596" s="3">
        <v>42510</v>
      </c>
      <c r="J3596" s="3">
        <v>42510</v>
      </c>
      <c r="K3596" s="3">
        <v>42570</v>
      </c>
      <c r="L3596">
        <v>123.66</v>
      </c>
      <c r="M3596">
        <v>-36</v>
      </c>
      <c r="N3596" s="4">
        <v>-4451.76</v>
      </c>
      <c r="O3596">
        <v>123.66</v>
      </c>
      <c r="P3596">
        <v>-36</v>
      </c>
      <c r="Q3596" s="4">
        <v>-4451.76</v>
      </c>
      <c r="R3596">
        <v>4.12</v>
      </c>
      <c r="V3596">
        <v>127.78</v>
      </c>
      <c r="W3596">
        <v>127.78</v>
      </c>
      <c r="X3596">
        <v>127.78</v>
      </c>
      <c r="Y3596">
        <v>127.78</v>
      </c>
      <c r="Z3596">
        <v>127.78</v>
      </c>
      <c r="AA3596">
        <v>127.78</v>
      </c>
      <c r="AB3596" s="3">
        <v>42562</v>
      </c>
      <c r="AC3596" t="s">
        <v>53</v>
      </c>
      <c r="AD3596" t="s">
        <v>53</v>
      </c>
      <c r="AK3596">
        <v>0</v>
      </c>
      <c r="AM3596">
        <v>4.12</v>
      </c>
      <c r="AU3596" s="3">
        <v>42534</v>
      </c>
      <c r="AV3596" s="3">
        <v>42534</v>
      </c>
      <c r="AW3596" t="s">
        <v>54</v>
      </c>
      <c r="AX3596" t="str">
        <f t="shared" si="429"/>
        <v>ALT</v>
      </c>
      <c r="AY3596" t="s">
        <v>72</v>
      </c>
    </row>
    <row r="3597" spans="1:51" hidden="1">
      <c r="A3597">
        <v>106420</v>
      </c>
      <c r="B3597" t="s">
        <v>461</v>
      </c>
      <c r="C3597" t="str">
        <f t="shared" ref="C3597:C3602" si="431">"01532510623"</f>
        <v>01532510623</v>
      </c>
      <c r="D3597" t="str">
        <f t="shared" ref="D3597:D3602" si="432">"NNCMRC87D03A783C"</f>
        <v>NNCMRC87D03A783C</v>
      </c>
      <c r="E3597" t="s">
        <v>52</v>
      </c>
      <c r="F3597">
        <v>2016</v>
      </c>
      <c r="G3597" t="str">
        <f>"         FATTPA 1_16"</f>
        <v xml:space="preserve">         FATTPA 1_16</v>
      </c>
      <c r="H3597" s="3">
        <v>42377</v>
      </c>
      <c r="I3597" s="3">
        <v>42382</v>
      </c>
      <c r="J3597" s="3">
        <v>42379</v>
      </c>
      <c r="K3597" s="3">
        <v>42439</v>
      </c>
      <c r="L3597"/>
      <c r="N3597"/>
      <c r="O3597">
        <v>971.31</v>
      </c>
      <c r="P3597">
        <v>-42</v>
      </c>
      <c r="Q3597" s="4">
        <v>-40795.019999999997</v>
      </c>
      <c r="R3597">
        <v>0</v>
      </c>
      <c r="V3597">
        <v>0</v>
      </c>
      <c r="W3597">
        <v>0</v>
      </c>
      <c r="X3597">
        <v>0</v>
      </c>
      <c r="Y3597">
        <v>-242.33</v>
      </c>
      <c r="Z3597">
        <v>971.31</v>
      </c>
      <c r="AA3597">
        <v>971.31</v>
      </c>
      <c r="AB3597" s="3">
        <v>42562</v>
      </c>
      <c r="AC3597" t="s">
        <v>53</v>
      </c>
      <c r="AD3597" t="s">
        <v>53</v>
      </c>
      <c r="AK3597">
        <v>0</v>
      </c>
      <c r="AU3597" s="3">
        <v>42397</v>
      </c>
      <c r="AV3597" s="3">
        <v>42397</v>
      </c>
      <c r="AW3597" t="s">
        <v>54</v>
      </c>
      <c r="AX3597" t="str">
        <f t="shared" ref="AX3597:AX3602" si="433">"ALTPRO"</f>
        <v>ALTPRO</v>
      </c>
      <c r="AY3597" t="s">
        <v>93</v>
      </c>
    </row>
    <row r="3598" spans="1:51" hidden="1">
      <c r="A3598">
        <v>106420</v>
      </c>
      <c r="B3598" t="s">
        <v>461</v>
      </c>
      <c r="C3598" t="str">
        <f t="shared" si="431"/>
        <v>01532510623</v>
      </c>
      <c r="D3598" t="str">
        <f t="shared" si="432"/>
        <v>NNCMRC87D03A783C</v>
      </c>
      <c r="E3598" t="s">
        <v>52</v>
      </c>
      <c r="F3598">
        <v>2016</v>
      </c>
      <c r="G3598" t="str">
        <f>"         FATTPA 2_16"</f>
        <v xml:space="preserve">         FATTPA 2_16</v>
      </c>
      <c r="H3598" s="3">
        <v>42403</v>
      </c>
      <c r="I3598" s="3">
        <v>42404</v>
      </c>
      <c r="J3598" s="3">
        <v>42403</v>
      </c>
      <c r="K3598" s="3">
        <v>42463</v>
      </c>
      <c r="L3598"/>
      <c r="N3598"/>
      <c r="O3598" s="4">
        <v>1013.46</v>
      </c>
      <c r="P3598">
        <v>-37</v>
      </c>
      <c r="Q3598" s="4">
        <v>-37498.019999999997</v>
      </c>
      <c r="R3598">
        <v>0</v>
      </c>
      <c r="V3598">
        <v>0</v>
      </c>
      <c r="W3598">
        <v>0</v>
      </c>
      <c r="X3598">
        <v>0</v>
      </c>
      <c r="Y3598" s="4">
        <v>1013.46</v>
      </c>
      <c r="Z3598" s="4">
        <v>1013.46</v>
      </c>
      <c r="AA3598" s="4">
        <v>1013.46</v>
      </c>
      <c r="AB3598" s="3">
        <v>42562</v>
      </c>
      <c r="AC3598" t="s">
        <v>53</v>
      </c>
      <c r="AD3598" t="s">
        <v>53</v>
      </c>
      <c r="AK3598">
        <v>0</v>
      </c>
      <c r="AU3598" s="3">
        <v>42426</v>
      </c>
      <c r="AV3598" s="3">
        <v>42426</v>
      </c>
      <c r="AW3598" t="s">
        <v>54</v>
      </c>
      <c r="AX3598" t="str">
        <f t="shared" si="433"/>
        <v>ALTPRO</v>
      </c>
      <c r="AY3598" t="s">
        <v>93</v>
      </c>
    </row>
    <row r="3599" spans="1:51" hidden="1">
      <c r="A3599">
        <v>106420</v>
      </c>
      <c r="B3599" t="s">
        <v>461</v>
      </c>
      <c r="C3599" t="str">
        <f t="shared" si="431"/>
        <v>01532510623</v>
      </c>
      <c r="D3599" t="str">
        <f t="shared" si="432"/>
        <v>NNCMRC87D03A783C</v>
      </c>
      <c r="E3599" t="s">
        <v>52</v>
      </c>
      <c r="F3599">
        <v>2016</v>
      </c>
      <c r="G3599" t="str">
        <f>"         FATTPA 3_16"</f>
        <v xml:space="preserve">         FATTPA 3_16</v>
      </c>
      <c r="H3599" s="3">
        <v>42433</v>
      </c>
      <c r="I3599" s="3">
        <v>42436</v>
      </c>
      <c r="J3599" s="3">
        <v>42433</v>
      </c>
      <c r="K3599" s="3">
        <v>42493</v>
      </c>
      <c r="L3599"/>
      <c r="N3599"/>
      <c r="O3599">
        <v>806.11</v>
      </c>
      <c r="P3599">
        <v>-42</v>
      </c>
      <c r="Q3599" s="4">
        <v>-33856.620000000003</v>
      </c>
      <c r="R3599">
        <v>0</v>
      </c>
      <c r="V3599">
        <v>0</v>
      </c>
      <c r="W3599">
        <v>0</v>
      </c>
      <c r="X3599">
        <v>0</v>
      </c>
      <c r="Y3599">
        <v>806.11</v>
      </c>
      <c r="Z3599">
        <v>806.11</v>
      </c>
      <c r="AA3599">
        <v>806.11</v>
      </c>
      <c r="AB3599" s="3">
        <v>42562</v>
      </c>
      <c r="AC3599" t="s">
        <v>53</v>
      </c>
      <c r="AD3599" t="s">
        <v>53</v>
      </c>
      <c r="AK3599">
        <v>0</v>
      </c>
      <c r="AU3599" s="3">
        <v>42451</v>
      </c>
      <c r="AV3599" s="3">
        <v>42451</v>
      </c>
      <c r="AW3599" t="s">
        <v>54</v>
      </c>
      <c r="AX3599" t="str">
        <f t="shared" si="433"/>
        <v>ALTPRO</v>
      </c>
      <c r="AY3599" t="s">
        <v>93</v>
      </c>
    </row>
    <row r="3600" spans="1:51">
      <c r="A3600">
        <v>106420</v>
      </c>
      <c r="B3600" t="s">
        <v>461</v>
      </c>
      <c r="C3600" t="str">
        <f t="shared" si="431"/>
        <v>01532510623</v>
      </c>
      <c r="D3600" t="str">
        <f t="shared" si="432"/>
        <v>NNCMRC87D03A783C</v>
      </c>
      <c r="E3600" t="s">
        <v>52</v>
      </c>
      <c r="F3600">
        <v>2016</v>
      </c>
      <c r="G3600" t="str">
        <f>"         FATTPA 4_16"</f>
        <v xml:space="preserve">         FATTPA 4_16</v>
      </c>
      <c r="H3600" s="3">
        <v>42461</v>
      </c>
      <c r="I3600" s="3">
        <v>42464</v>
      </c>
      <c r="J3600" s="3">
        <v>42461</v>
      </c>
      <c r="K3600" s="3">
        <v>42521</v>
      </c>
      <c r="L3600" s="1">
        <v>746.54</v>
      </c>
      <c r="M3600">
        <v>-34</v>
      </c>
      <c r="N3600" s="5">
        <v>-25382.36</v>
      </c>
      <c r="O3600">
        <v>746.54</v>
      </c>
      <c r="P3600">
        <v>-34</v>
      </c>
      <c r="Q3600" s="4">
        <v>-25382.36</v>
      </c>
      <c r="R3600">
        <v>0</v>
      </c>
      <c r="V3600">
        <v>-186.14</v>
      </c>
      <c r="W3600">
        <v>746.54</v>
      </c>
      <c r="X3600">
        <v>746.54</v>
      </c>
      <c r="Y3600">
        <v>746.54</v>
      </c>
      <c r="Z3600">
        <v>746.54</v>
      </c>
      <c r="AA3600">
        <v>746.54</v>
      </c>
      <c r="AB3600" s="3">
        <v>42562</v>
      </c>
      <c r="AC3600" t="s">
        <v>53</v>
      </c>
      <c r="AD3600" t="s">
        <v>53</v>
      </c>
      <c r="AK3600">
        <v>0</v>
      </c>
      <c r="AU3600" s="3">
        <v>42487</v>
      </c>
      <c r="AV3600" s="3">
        <v>42487</v>
      </c>
      <c r="AW3600" t="s">
        <v>54</v>
      </c>
      <c r="AX3600" t="str">
        <f t="shared" si="433"/>
        <v>ALTPRO</v>
      </c>
      <c r="AY3600" t="s">
        <v>93</v>
      </c>
    </row>
    <row r="3601" spans="1:51">
      <c r="A3601">
        <v>106420</v>
      </c>
      <c r="B3601" t="s">
        <v>461</v>
      </c>
      <c r="C3601" t="str">
        <f t="shared" si="431"/>
        <v>01532510623</v>
      </c>
      <c r="D3601" t="str">
        <f t="shared" si="432"/>
        <v>NNCMRC87D03A783C</v>
      </c>
      <c r="E3601" t="s">
        <v>52</v>
      </c>
      <c r="F3601">
        <v>2016</v>
      </c>
      <c r="G3601" t="str">
        <f>"         FATTPA 5_16"</f>
        <v xml:space="preserve">         FATTPA 5_16</v>
      </c>
      <c r="H3601" s="3">
        <v>42492</v>
      </c>
      <c r="I3601" s="3">
        <v>42493</v>
      </c>
      <c r="J3601" s="3">
        <v>42493</v>
      </c>
      <c r="K3601" s="3">
        <v>42553</v>
      </c>
      <c r="L3601" s="1">
        <v>700.89</v>
      </c>
      <c r="M3601">
        <v>-37</v>
      </c>
      <c r="N3601" s="5">
        <v>-25932.93</v>
      </c>
      <c r="O3601">
        <v>700.89</v>
      </c>
      <c r="P3601">
        <v>-37</v>
      </c>
      <c r="Q3601" s="4">
        <v>-25932.93</v>
      </c>
      <c r="R3601">
        <v>0</v>
      </c>
      <c r="V3601">
        <v>700.89</v>
      </c>
      <c r="W3601">
        <v>700.89</v>
      </c>
      <c r="X3601">
        <v>700.89</v>
      </c>
      <c r="Y3601">
        <v>700.89</v>
      </c>
      <c r="Z3601">
        <v>700.89</v>
      </c>
      <c r="AA3601">
        <v>700.89</v>
      </c>
      <c r="AB3601" s="3">
        <v>42562</v>
      </c>
      <c r="AC3601" t="s">
        <v>53</v>
      </c>
      <c r="AD3601" t="s">
        <v>53</v>
      </c>
      <c r="AK3601">
        <v>0</v>
      </c>
      <c r="AU3601" s="3">
        <v>42516</v>
      </c>
      <c r="AV3601" s="3">
        <v>42516</v>
      </c>
      <c r="AW3601" t="s">
        <v>54</v>
      </c>
      <c r="AX3601" t="str">
        <f t="shared" si="433"/>
        <v>ALTPRO</v>
      </c>
      <c r="AY3601" t="s">
        <v>93</v>
      </c>
    </row>
    <row r="3602" spans="1:51">
      <c r="A3602">
        <v>106420</v>
      </c>
      <c r="B3602" t="s">
        <v>461</v>
      </c>
      <c r="C3602" t="str">
        <f t="shared" si="431"/>
        <v>01532510623</v>
      </c>
      <c r="D3602" t="str">
        <f t="shared" si="432"/>
        <v>NNCMRC87D03A783C</v>
      </c>
      <c r="E3602" t="s">
        <v>52</v>
      </c>
      <c r="F3602">
        <v>2016</v>
      </c>
      <c r="G3602" t="str">
        <f>"         FATTPA 6_16"</f>
        <v xml:space="preserve">         FATTPA 6_16</v>
      </c>
      <c r="H3602" s="3">
        <v>42522</v>
      </c>
      <c r="I3602" s="3">
        <v>42527</v>
      </c>
      <c r="J3602" s="3">
        <v>42522</v>
      </c>
      <c r="K3602" s="3">
        <v>42582</v>
      </c>
      <c r="L3602" s="5">
        <v>1097.74</v>
      </c>
      <c r="M3602">
        <v>-54</v>
      </c>
      <c r="N3602" s="5">
        <v>-59277.96</v>
      </c>
      <c r="O3602" s="4">
        <v>1097.74</v>
      </c>
      <c r="P3602">
        <v>-54</v>
      </c>
      <c r="Q3602" s="4">
        <v>-59277.96</v>
      </c>
      <c r="R3602">
        <v>0</v>
      </c>
      <c r="V3602" s="4">
        <v>1097.74</v>
      </c>
      <c r="W3602" s="4">
        <v>1097.74</v>
      </c>
      <c r="X3602" s="4">
        <v>1097.74</v>
      </c>
      <c r="Y3602" s="4">
        <v>1097.74</v>
      </c>
      <c r="Z3602" s="4">
        <v>1097.74</v>
      </c>
      <c r="AA3602" s="4">
        <v>1097.74</v>
      </c>
      <c r="AB3602" s="3">
        <v>42562</v>
      </c>
      <c r="AC3602" t="s">
        <v>53</v>
      </c>
      <c r="AD3602" t="s">
        <v>53</v>
      </c>
      <c r="AK3602">
        <v>0</v>
      </c>
      <c r="AU3602" s="3">
        <v>42528</v>
      </c>
      <c r="AV3602" s="3">
        <v>42528</v>
      </c>
      <c r="AW3602" t="s">
        <v>54</v>
      </c>
      <c r="AX3602" t="str">
        <f t="shared" si="433"/>
        <v>ALTPRO</v>
      </c>
      <c r="AY3602" t="s">
        <v>93</v>
      </c>
    </row>
    <row r="3603" spans="1:51" hidden="1">
      <c r="A3603">
        <v>106423</v>
      </c>
      <c r="B3603" t="s">
        <v>462</v>
      </c>
      <c r="C3603" t="str">
        <f>"06603861219"</f>
        <v>06603861219</v>
      </c>
      <c r="D3603" t="str">
        <f>"06603861219"</f>
        <v>06603861219</v>
      </c>
      <c r="E3603" t="s">
        <v>52</v>
      </c>
      <c r="F3603">
        <v>2015</v>
      </c>
      <c r="G3603" t="str">
        <f>"              122/15"</f>
        <v xml:space="preserve">              122/15</v>
      </c>
      <c r="H3603" s="3">
        <v>42142</v>
      </c>
      <c r="I3603" s="3">
        <v>42186</v>
      </c>
      <c r="J3603" s="3">
        <v>42184</v>
      </c>
      <c r="K3603" s="3">
        <v>42244</v>
      </c>
      <c r="L3603"/>
      <c r="N3603"/>
      <c r="O3603" s="4">
        <v>4900</v>
      </c>
      <c r="P3603">
        <v>209</v>
      </c>
      <c r="Q3603" s="4">
        <v>1024100</v>
      </c>
      <c r="R3603">
        <v>0</v>
      </c>
      <c r="V3603">
        <v>0</v>
      </c>
      <c r="W3603">
        <v>0</v>
      </c>
      <c r="X3603">
        <v>0</v>
      </c>
      <c r="Y3603">
        <v>0</v>
      </c>
      <c r="Z3603">
        <v>0</v>
      </c>
      <c r="AA3603">
        <v>0</v>
      </c>
      <c r="AB3603" s="3">
        <v>42562</v>
      </c>
      <c r="AC3603" t="s">
        <v>53</v>
      </c>
      <c r="AD3603" t="s">
        <v>53</v>
      </c>
      <c r="AK3603">
        <v>0</v>
      </c>
      <c r="AU3603" s="3">
        <v>42453</v>
      </c>
      <c r="AV3603" s="3">
        <v>42453</v>
      </c>
      <c r="AW3603" t="s">
        <v>54</v>
      </c>
      <c r="AX3603" t="str">
        <f>"FOR"</f>
        <v>FOR</v>
      </c>
      <c r="AY3603" t="s">
        <v>55</v>
      </c>
    </row>
    <row r="3604" spans="1:51" hidden="1">
      <c r="A3604">
        <v>106425</v>
      </c>
      <c r="B3604" t="s">
        <v>463</v>
      </c>
      <c r="C3604" t="str">
        <f t="shared" ref="C3604:C3609" si="434">"01587790625"</f>
        <v>01587790625</v>
      </c>
      <c r="D3604" t="str">
        <f t="shared" ref="D3604:D3609" si="435">"PCLMHL79P52A783Q"</f>
        <v>PCLMHL79P52A783Q</v>
      </c>
      <c r="E3604" t="s">
        <v>52</v>
      </c>
      <c r="F3604">
        <v>2016</v>
      </c>
      <c r="G3604" t="str">
        <f>"         FATTPA 1_16"</f>
        <v xml:space="preserve">         FATTPA 1_16</v>
      </c>
      <c r="H3604" s="3">
        <v>42381</v>
      </c>
      <c r="I3604" s="3">
        <v>42382</v>
      </c>
      <c r="J3604" s="3">
        <v>42381</v>
      </c>
      <c r="K3604" s="3">
        <v>42441</v>
      </c>
      <c r="L3604"/>
      <c r="N3604"/>
      <c r="O3604">
        <v>742.51</v>
      </c>
      <c r="P3604">
        <v>-44</v>
      </c>
      <c r="Q3604" s="4">
        <v>-32670.44</v>
      </c>
      <c r="R3604">
        <v>0</v>
      </c>
      <c r="V3604">
        <v>0</v>
      </c>
      <c r="W3604">
        <v>0</v>
      </c>
      <c r="X3604">
        <v>0</v>
      </c>
      <c r="Y3604">
        <v>742.51</v>
      </c>
      <c r="Z3604">
        <v>742.51</v>
      </c>
      <c r="AA3604">
        <v>742.51</v>
      </c>
      <c r="AB3604" s="3">
        <v>42562</v>
      </c>
      <c r="AC3604" t="s">
        <v>53</v>
      </c>
      <c r="AD3604" t="s">
        <v>53</v>
      </c>
      <c r="AK3604">
        <v>0</v>
      </c>
      <c r="AU3604" s="3">
        <v>42397</v>
      </c>
      <c r="AV3604" s="3">
        <v>42397</v>
      </c>
      <c r="AW3604" t="s">
        <v>54</v>
      </c>
      <c r="AX3604" t="str">
        <f t="shared" ref="AX3604:AX3610" si="436">"ALTPRO"</f>
        <v>ALTPRO</v>
      </c>
      <c r="AY3604" t="s">
        <v>93</v>
      </c>
    </row>
    <row r="3605" spans="1:51" hidden="1">
      <c r="A3605">
        <v>106425</v>
      </c>
      <c r="B3605" t="s">
        <v>463</v>
      </c>
      <c r="C3605" t="str">
        <f t="shared" si="434"/>
        <v>01587790625</v>
      </c>
      <c r="D3605" t="str">
        <f t="shared" si="435"/>
        <v>PCLMHL79P52A783Q</v>
      </c>
      <c r="E3605" t="s">
        <v>52</v>
      </c>
      <c r="F3605">
        <v>2016</v>
      </c>
      <c r="G3605" t="str">
        <f>"         FATTPA 2_16"</f>
        <v xml:space="preserve">         FATTPA 2_16</v>
      </c>
      <c r="H3605" s="3">
        <v>42381</v>
      </c>
      <c r="I3605" s="3">
        <v>42382</v>
      </c>
      <c r="J3605" s="3">
        <v>42381</v>
      </c>
      <c r="K3605" s="3">
        <v>42441</v>
      </c>
      <c r="L3605"/>
      <c r="N3605"/>
      <c r="O3605" s="4">
        <v>1326.73</v>
      </c>
      <c r="P3605">
        <v>-44</v>
      </c>
      <c r="Q3605" s="4">
        <v>-58376.12</v>
      </c>
      <c r="R3605">
        <v>0</v>
      </c>
      <c r="V3605">
        <v>0</v>
      </c>
      <c r="W3605">
        <v>0</v>
      </c>
      <c r="X3605">
        <v>0</v>
      </c>
      <c r="Y3605" s="4">
        <v>1326.73</v>
      </c>
      <c r="Z3605" s="4">
        <v>1326.73</v>
      </c>
      <c r="AA3605" s="4">
        <v>1326.73</v>
      </c>
      <c r="AB3605" s="3">
        <v>42562</v>
      </c>
      <c r="AC3605" t="s">
        <v>53</v>
      </c>
      <c r="AD3605" t="s">
        <v>53</v>
      </c>
      <c r="AK3605">
        <v>0</v>
      </c>
      <c r="AU3605" s="3">
        <v>42397</v>
      </c>
      <c r="AV3605" s="3">
        <v>42397</v>
      </c>
      <c r="AW3605" t="s">
        <v>54</v>
      </c>
      <c r="AX3605" t="str">
        <f t="shared" si="436"/>
        <v>ALTPRO</v>
      </c>
      <c r="AY3605" t="s">
        <v>93</v>
      </c>
    </row>
    <row r="3606" spans="1:51" hidden="1">
      <c r="A3606">
        <v>106425</v>
      </c>
      <c r="B3606" t="s">
        <v>463</v>
      </c>
      <c r="C3606" t="str">
        <f t="shared" si="434"/>
        <v>01587790625</v>
      </c>
      <c r="D3606" t="str">
        <f t="shared" si="435"/>
        <v>PCLMHL79P52A783Q</v>
      </c>
      <c r="E3606" t="s">
        <v>52</v>
      </c>
      <c r="F3606">
        <v>2016</v>
      </c>
      <c r="G3606" t="str">
        <f>"         FATTPA 3_16"</f>
        <v xml:space="preserve">         FATTPA 3_16</v>
      </c>
      <c r="H3606" s="3">
        <v>42397</v>
      </c>
      <c r="I3606" s="3">
        <v>42408</v>
      </c>
      <c r="J3606" s="3">
        <v>42397</v>
      </c>
      <c r="K3606" s="3">
        <v>42457</v>
      </c>
      <c r="L3606"/>
      <c r="N3606"/>
      <c r="O3606" s="4">
        <v>1575.34</v>
      </c>
      <c r="P3606">
        <v>-6</v>
      </c>
      <c r="Q3606" s="4">
        <v>-9452.0400000000009</v>
      </c>
      <c r="R3606">
        <v>0</v>
      </c>
      <c r="V3606">
        <v>0</v>
      </c>
      <c r="W3606">
        <v>0</v>
      </c>
      <c r="X3606">
        <v>0</v>
      </c>
      <c r="Y3606" s="4">
        <v>1575.34</v>
      </c>
      <c r="Z3606" s="4">
        <v>1575.34</v>
      </c>
      <c r="AA3606" s="4">
        <v>1575.34</v>
      </c>
      <c r="AB3606" s="3">
        <v>42562</v>
      </c>
      <c r="AC3606" t="s">
        <v>53</v>
      </c>
      <c r="AD3606" t="s">
        <v>53</v>
      </c>
      <c r="AK3606">
        <v>0</v>
      </c>
      <c r="AU3606" s="3">
        <v>42451</v>
      </c>
      <c r="AV3606" s="3">
        <v>42451</v>
      </c>
      <c r="AW3606" t="s">
        <v>54</v>
      </c>
      <c r="AX3606" t="str">
        <f t="shared" si="436"/>
        <v>ALTPRO</v>
      </c>
      <c r="AY3606" t="s">
        <v>93</v>
      </c>
    </row>
    <row r="3607" spans="1:51" hidden="1">
      <c r="A3607">
        <v>106425</v>
      </c>
      <c r="B3607" t="s">
        <v>463</v>
      </c>
      <c r="C3607" t="str">
        <f t="shared" si="434"/>
        <v>01587790625</v>
      </c>
      <c r="D3607" t="str">
        <f t="shared" si="435"/>
        <v>PCLMHL79P52A783Q</v>
      </c>
      <c r="E3607" t="s">
        <v>52</v>
      </c>
      <c r="F3607">
        <v>2016</v>
      </c>
      <c r="G3607" t="str">
        <f>"         FATTPA 4_16"</f>
        <v xml:space="preserve">         FATTPA 4_16</v>
      </c>
      <c r="H3607" s="3">
        <v>42438</v>
      </c>
      <c r="I3607" s="3">
        <v>42438</v>
      </c>
      <c r="J3607" s="3">
        <v>42438</v>
      </c>
      <c r="K3607" s="3">
        <v>42498</v>
      </c>
      <c r="L3607"/>
      <c r="N3607"/>
      <c r="O3607">
        <v>844.89</v>
      </c>
      <c r="P3607">
        <v>-47</v>
      </c>
      <c r="Q3607" s="4">
        <v>-39709.83</v>
      </c>
      <c r="R3607">
        <v>0</v>
      </c>
      <c r="V3607">
        <v>0</v>
      </c>
      <c r="W3607">
        <v>0</v>
      </c>
      <c r="X3607">
        <v>0</v>
      </c>
      <c r="Y3607">
        <v>844.89</v>
      </c>
      <c r="Z3607">
        <v>844.89</v>
      </c>
      <c r="AA3607">
        <v>844.89</v>
      </c>
      <c r="AB3607" s="3">
        <v>42562</v>
      </c>
      <c r="AC3607" t="s">
        <v>53</v>
      </c>
      <c r="AD3607" t="s">
        <v>53</v>
      </c>
      <c r="AK3607">
        <v>0</v>
      </c>
      <c r="AU3607" s="3">
        <v>42451</v>
      </c>
      <c r="AV3607" s="3">
        <v>42451</v>
      </c>
      <c r="AW3607" t="s">
        <v>54</v>
      </c>
      <c r="AX3607" t="str">
        <f t="shared" si="436"/>
        <v>ALTPRO</v>
      </c>
      <c r="AY3607" t="s">
        <v>93</v>
      </c>
    </row>
    <row r="3608" spans="1:51">
      <c r="A3608">
        <v>106425</v>
      </c>
      <c r="B3608" t="s">
        <v>463</v>
      </c>
      <c r="C3608" t="str">
        <f t="shared" si="434"/>
        <v>01587790625</v>
      </c>
      <c r="D3608" t="str">
        <f t="shared" si="435"/>
        <v>PCLMHL79P52A783Q</v>
      </c>
      <c r="E3608" t="s">
        <v>52</v>
      </c>
      <c r="F3608">
        <v>2016</v>
      </c>
      <c r="G3608" t="str">
        <f>"         FATTPA 5_16"</f>
        <v xml:space="preserve">         FATTPA 5_16</v>
      </c>
      <c r="H3608" s="3">
        <v>42471</v>
      </c>
      <c r="I3608" s="3">
        <v>42472</v>
      </c>
      <c r="J3608" s="3">
        <v>42471</v>
      </c>
      <c r="K3608" s="3">
        <v>42531</v>
      </c>
      <c r="L3608" s="1">
        <v>774.65</v>
      </c>
      <c r="M3608">
        <v>-44</v>
      </c>
      <c r="N3608" s="5">
        <v>-34084.6</v>
      </c>
      <c r="O3608">
        <v>774.65</v>
      </c>
      <c r="P3608">
        <v>-44</v>
      </c>
      <c r="Q3608" s="4">
        <v>-34084.6</v>
      </c>
      <c r="R3608">
        <v>0</v>
      </c>
      <c r="V3608">
        <v>0</v>
      </c>
      <c r="W3608">
        <v>774.65</v>
      </c>
      <c r="X3608">
        <v>774.65</v>
      </c>
      <c r="Y3608">
        <v>774.65</v>
      </c>
      <c r="Z3608">
        <v>774.65</v>
      </c>
      <c r="AA3608">
        <v>774.65</v>
      </c>
      <c r="AB3608" s="3">
        <v>42562</v>
      </c>
      <c r="AC3608" t="s">
        <v>53</v>
      </c>
      <c r="AD3608" t="s">
        <v>53</v>
      </c>
      <c r="AK3608">
        <v>0</v>
      </c>
      <c r="AU3608" s="3">
        <v>42487</v>
      </c>
      <c r="AV3608" s="3">
        <v>42487</v>
      </c>
      <c r="AW3608" t="s">
        <v>54</v>
      </c>
      <c r="AX3608" t="str">
        <f t="shared" si="436"/>
        <v>ALTPRO</v>
      </c>
      <c r="AY3608" t="s">
        <v>93</v>
      </c>
    </row>
    <row r="3609" spans="1:51">
      <c r="A3609">
        <v>106425</v>
      </c>
      <c r="B3609" t="s">
        <v>463</v>
      </c>
      <c r="C3609" t="str">
        <f t="shared" si="434"/>
        <v>01587790625</v>
      </c>
      <c r="D3609" t="str">
        <f t="shared" si="435"/>
        <v>PCLMHL79P52A783Q</v>
      </c>
      <c r="E3609" t="s">
        <v>52</v>
      </c>
      <c r="F3609">
        <v>2016</v>
      </c>
      <c r="G3609" t="str">
        <f>"         FATTPA 6_16"</f>
        <v xml:space="preserve">         FATTPA 6_16</v>
      </c>
      <c r="H3609" s="3">
        <v>42495</v>
      </c>
      <c r="I3609" s="3">
        <v>42495</v>
      </c>
      <c r="J3609" s="3">
        <v>42495</v>
      </c>
      <c r="K3609" s="3">
        <v>42555</v>
      </c>
      <c r="L3609" s="1">
        <v>704.41</v>
      </c>
      <c r="M3609">
        <v>-35</v>
      </c>
      <c r="N3609" s="5">
        <v>-24654.35</v>
      </c>
      <c r="O3609">
        <v>704.41</v>
      </c>
      <c r="P3609">
        <v>-35</v>
      </c>
      <c r="Q3609" s="4">
        <v>-24654.35</v>
      </c>
      <c r="R3609">
        <v>0</v>
      </c>
      <c r="V3609">
        <v>704.41</v>
      </c>
      <c r="W3609">
        <v>704.41</v>
      </c>
      <c r="X3609">
        <v>704.41</v>
      </c>
      <c r="Y3609">
        <v>704.41</v>
      </c>
      <c r="Z3609">
        <v>704.41</v>
      </c>
      <c r="AA3609">
        <v>704.41</v>
      </c>
      <c r="AB3609" s="3">
        <v>42562</v>
      </c>
      <c r="AC3609" t="s">
        <v>53</v>
      </c>
      <c r="AD3609" t="s">
        <v>53</v>
      </c>
      <c r="AK3609">
        <v>0</v>
      </c>
      <c r="AU3609" s="3">
        <v>42520</v>
      </c>
      <c r="AV3609" s="3">
        <v>42520</v>
      </c>
      <c r="AW3609" t="s">
        <v>54</v>
      </c>
      <c r="AX3609" t="str">
        <f t="shared" si="436"/>
        <v>ALTPRO</v>
      </c>
      <c r="AY3609" t="s">
        <v>93</v>
      </c>
    </row>
    <row r="3610" spans="1:51" hidden="1">
      <c r="A3610">
        <v>106426</v>
      </c>
      <c r="B3610" t="s">
        <v>464</v>
      </c>
      <c r="C3610" t="str">
        <f>"01580990628"</f>
        <v>01580990628</v>
      </c>
      <c r="D3610" t="str">
        <f>"SLRFRN90E49A783O"</f>
        <v>SLRFRN90E49A783O</v>
      </c>
      <c r="E3610" t="s">
        <v>52</v>
      </c>
      <c r="F3610">
        <v>2016</v>
      </c>
      <c r="G3610" t="str">
        <f>"                1/PA"</f>
        <v xml:space="preserve">                1/PA</v>
      </c>
      <c r="H3610" s="3">
        <v>42422</v>
      </c>
      <c r="I3610" s="3">
        <v>42436</v>
      </c>
      <c r="J3610" s="3">
        <v>42436</v>
      </c>
      <c r="K3610" s="3">
        <v>42496</v>
      </c>
      <c r="L3610"/>
      <c r="N3610"/>
      <c r="O3610" s="4">
        <v>2500</v>
      </c>
      <c r="P3610">
        <v>-45</v>
      </c>
      <c r="Q3610" s="4">
        <v>-112500</v>
      </c>
      <c r="R3610">
        <v>0</v>
      </c>
      <c r="V3610">
        <v>0</v>
      </c>
      <c r="W3610">
        <v>0</v>
      </c>
      <c r="X3610">
        <v>0</v>
      </c>
      <c r="Y3610" s="4">
        <v>2500</v>
      </c>
      <c r="Z3610" s="4">
        <v>2500</v>
      </c>
      <c r="AA3610" s="4">
        <v>2500</v>
      </c>
      <c r="AB3610" s="3">
        <v>42562</v>
      </c>
      <c r="AC3610" t="s">
        <v>53</v>
      </c>
      <c r="AD3610" t="s">
        <v>53</v>
      </c>
      <c r="AK3610">
        <v>0</v>
      </c>
      <c r="AU3610" s="3">
        <v>42451</v>
      </c>
      <c r="AV3610" s="3">
        <v>42451</v>
      </c>
      <c r="AW3610" t="s">
        <v>54</v>
      </c>
      <c r="AX3610" t="str">
        <f t="shared" si="436"/>
        <v>ALTPRO</v>
      </c>
      <c r="AY3610" t="s">
        <v>93</v>
      </c>
    </row>
    <row r="3611" spans="1:51" hidden="1">
      <c r="A3611">
        <v>106432</v>
      </c>
      <c r="B3611" t="s">
        <v>465</v>
      </c>
      <c r="C3611" t="str">
        <f>"01494290628"</f>
        <v>01494290628</v>
      </c>
      <c r="D3611" t="str">
        <f>"01494290628"</f>
        <v>01494290628</v>
      </c>
      <c r="E3611" t="s">
        <v>52</v>
      </c>
      <c r="F3611">
        <v>2015</v>
      </c>
      <c r="G3611" t="str">
        <f>"                9/PA"</f>
        <v xml:space="preserve">                9/PA</v>
      </c>
      <c r="H3611" s="3">
        <v>42124</v>
      </c>
      <c r="I3611" s="3">
        <v>42334</v>
      </c>
      <c r="J3611" s="3">
        <v>42334</v>
      </c>
      <c r="K3611" s="3">
        <v>42394</v>
      </c>
      <c r="L3611"/>
      <c r="N3611"/>
      <c r="O3611">
        <v>374</v>
      </c>
      <c r="P3611">
        <v>10</v>
      </c>
      <c r="Q3611" s="4">
        <v>3740</v>
      </c>
      <c r="R3611">
        <v>0</v>
      </c>
      <c r="V3611">
        <v>0</v>
      </c>
      <c r="W3611">
        <v>0</v>
      </c>
      <c r="X3611">
        <v>0</v>
      </c>
      <c r="Y3611">
        <v>0</v>
      </c>
      <c r="Z3611">
        <v>0</v>
      </c>
      <c r="AA3611">
        <v>0</v>
      </c>
      <c r="AB3611" s="3">
        <v>42562</v>
      </c>
      <c r="AC3611" t="s">
        <v>53</v>
      </c>
      <c r="AD3611" t="s">
        <v>53</v>
      </c>
      <c r="AK3611">
        <v>0</v>
      </c>
      <c r="AU3611" s="3">
        <v>42404</v>
      </c>
      <c r="AV3611" s="3">
        <v>42404</v>
      </c>
      <c r="AW3611" t="s">
        <v>54</v>
      </c>
      <c r="AX3611" t="str">
        <f>"FOR"</f>
        <v>FOR</v>
      </c>
      <c r="AY3611" t="s">
        <v>55</v>
      </c>
    </row>
    <row r="3612" spans="1:51" hidden="1">
      <c r="A3612">
        <v>106432</v>
      </c>
      <c r="B3612" t="s">
        <v>465</v>
      </c>
      <c r="C3612" t="str">
        <f>"01494290628"</f>
        <v>01494290628</v>
      </c>
      <c r="D3612" t="str">
        <f>"01494290628"</f>
        <v>01494290628</v>
      </c>
      <c r="E3612" t="s">
        <v>52</v>
      </c>
      <c r="F3612">
        <v>2015</v>
      </c>
      <c r="G3612" t="str">
        <f>"               13/PA"</f>
        <v xml:space="preserve">               13/PA</v>
      </c>
      <c r="H3612" s="3">
        <v>42223</v>
      </c>
      <c r="I3612" s="3">
        <v>42313</v>
      </c>
      <c r="J3612" s="3">
        <v>42313</v>
      </c>
      <c r="K3612" s="3">
        <v>42373</v>
      </c>
      <c r="L3612"/>
      <c r="N3612"/>
      <c r="O3612">
        <v>796</v>
      </c>
      <c r="P3612">
        <v>31</v>
      </c>
      <c r="Q3612" s="4">
        <v>24676</v>
      </c>
      <c r="R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 s="3">
        <v>42562</v>
      </c>
      <c r="AC3612" t="s">
        <v>53</v>
      </c>
      <c r="AD3612" t="s">
        <v>53</v>
      </c>
      <c r="AK3612">
        <v>0</v>
      </c>
      <c r="AU3612" s="3">
        <v>42404</v>
      </c>
      <c r="AV3612" s="3">
        <v>42404</v>
      </c>
      <c r="AW3612" t="s">
        <v>54</v>
      </c>
      <c r="AX3612" t="str">
        <f>"FOR"</f>
        <v>FOR</v>
      </c>
      <c r="AY3612" t="s">
        <v>55</v>
      </c>
    </row>
    <row r="3613" spans="1:51" hidden="1">
      <c r="A3613">
        <v>106440</v>
      </c>
      <c r="B3613" t="s">
        <v>466</v>
      </c>
      <c r="C3613" t="str">
        <f t="shared" ref="C3613:D3615" si="437">"06912570964"</f>
        <v>06912570964</v>
      </c>
      <c r="D3613" t="str">
        <f t="shared" si="437"/>
        <v>06912570964</v>
      </c>
      <c r="E3613" t="s">
        <v>52</v>
      </c>
      <c r="F3613">
        <v>2015</v>
      </c>
      <c r="G3613" t="str">
        <f>"            93434913"</f>
        <v xml:space="preserve">            93434913</v>
      </c>
      <c r="H3613" s="3">
        <v>42349</v>
      </c>
      <c r="I3613" s="3">
        <v>42352</v>
      </c>
      <c r="J3613" s="3">
        <v>42349</v>
      </c>
      <c r="K3613" s="3">
        <v>42409</v>
      </c>
      <c r="L3613"/>
      <c r="N3613"/>
      <c r="O3613">
        <v>600</v>
      </c>
      <c r="P3613">
        <v>-6</v>
      </c>
      <c r="Q3613" s="4">
        <v>-3600</v>
      </c>
      <c r="R3613">
        <v>132</v>
      </c>
      <c r="V3613">
        <v>0</v>
      </c>
      <c r="W3613">
        <v>0</v>
      </c>
      <c r="X3613">
        <v>0</v>
      </c>
      <c r="Y3613">
        <v>0</v>
      </c>
      <c r="Z3613">
        <v>0</v>
      </c>
      <c r="AA3613">
        <v>0</v>
      </c>
      <c r="AB3613" s="3">
        <v>42562</v>
      </c>
      <c r="AC3613" t="s">
        <v>53</v>
      </c>
      <c r="AD3613" t="s">
        <v>53</v>
      </c>
      <c r="AI3613">
        <v>132</v>
      </c>
      <c r="AK3613">
        <v>0</v>
      </c>
      <c r="AU3613" s="3">
        <v>42403</v>
      </c>
      <c r="AV3613" s="3">
        <v>42403</v>
      </c>
      <c r="AW3613" t="s">
        <v>54</v>
      </c>
      <c r="AX3613" t="str">
        <f>"FOR"</f>
        <v>FOR</v>
      </c>
      <c r="AY3613" t="s">
        <v>55</v>
      </c>
    </row>
    <row r="3614" spans="1:51">
      <c r="A3614">
        <v>106440</v>
      </c>
      <c r="B3614" t="s">
        <v>466</v>
      </c>
      <c r="C3614" t="str">
        <f t="shared" si="437"/>
        <v>06912570964</v>
      </c>
      <c r="D3614" t="str">
        <f t="shared" si="437"/>
        <v>06912570964</v>
      </c>
      <c r="E3614" t="s">
        <v>52</v>
      </c>
      <c r="F3614">
        <v>2016</v>
      </c>
      <c r="G3614" t="str">
        <f>"            93532798"</f>
        <v xml:space="preserve">            93532798</v>
      </c>
      <c r="H3614" s="3">
        <v>42411</v>
      </c>
      <c r="I3614" s="3">
        <v>42417</v>
      </c>
      <c r="J3614" s="3">
        <v>42411</v>
      </c>
      <c r="K3614" s="3">
        <v>42471</v>
      </c>
      <c r="L3614" s="5">
        <v>1080</v>
      </c>
      <c r="M3614">
        <v>58</v>
      </c>
      <c r="N3614" s="5">
        <v>62640</v>
      </c>
      <c r="O3614" s="4">
        <v>1080</v>
      </c>
      <c r="P3614">
        <v>58</v>
      </c>
      <c r="Q3614" s="4">
        <v>62640</v>
      </c>
      <c r="R3614">
        <v>237.6</v>
      </c>
      <c r="V3614">
        <v>0</v>
      </c>
      <c r="W3614">
        <v>0</v>
      </c>
      <c r="X3614">
        <v>0</v>
      </c>
      <c r="Y3614" s="4">
        <v>1317.6</v>
      </c>
      <c r="Z3614" s="4">
        <v>1317.6</v>
      </c>
      <c r="AA3614" s="4">
        <v>1317.6</v>
      </c>
      <c r="AB3614" s="3">
        <v>42562</v>
      </c>
      <c r="AC3614" t="s">
        <v>53</v>
      </c>
      <c r="AD3614" t="s">
        <v>53</v>
      </c>
      <c r="AG3614">
        <v>237.6</v>
      </c>
      <c r="AK3614">
        <v>0</v>
      </c>
      <c r="AU3614" s="3">
        <v>42529</v>
      </c>
      <c r="AV3614" s="3">
        <v>42529</v>
      </c>
      <c r="AW3614" t="s">
        <v>54</v>
      </c>
      <c r="AX3614" t="str">
        <f>"FOR"</f>
        <v>FOR</v>
      </c>
      <c r="AY3614" t="s">
        <v>55</v>
      </c>
    </row>
    <row r="3615" spans="1:51">
      <c r="A3615">
        <v>106440</v>
      </c>
      <c r="B3615" t="s">
        <v>466</v>
      </c>
      <c r="C3615" t="str">
        <f t="shared" si="437"/>
        <v>06912570964</v>
      </c>
      <c r="D3615" t="str">
        <f t="shared" si="437"/>
        <v>06912570964</v>
      </c>
      <c r="E3615" t="s">
        <v>52</v>
      </c>
      <c r="F3615">
        <v>2016</v>
      </c>
      <c r="G3615" t="str">
        <f>"            93533196"</f>
        <v xml:space="preserve">            93533196</v>
      </c>
      <c r="H3615" s="3">
        <v>42411</v>
      </c>
      <c r="I3615" s="3">
        <v>42417</v>
      </c>
      <c r="J3615" s="3">
        <v>42412</v>
      </c>
      <c r="K3615" s="3">
        <v>42472</v>
      </c>
      <c r="L3615" s="5">
        <v>6480</v>
      </c>
      <c r="M3615">
        <v>57</v>
      </c>
      <c r="N3615" s="5">
        <v>369360</v>
      </c>
      <c r="O3615" s="4">
        <v>6480</v>
      </c>
      <c r="P3615">
        <v>57</v>
      </c>
      <c r="Q3615" s="4">
        <v>369360</v>
      </c>
      <c r="R3615" s="4">
        <v>1425.6</v>
      </c>
      <c r="V3615">
        <v>0</v>
      </c>
      <c r="W3615">
        <v>0</v>
      </c>
      <c r="X3615">
        <v>0</v>
      </c>
      <c r="Y3615" s="4">
        <v>7905.6</v>
      </c>
      <c r="Z3615" s="4">
        <v>7905.6</v>
      </c>
      <c r="AA3615" s="4">
        <v>7905.6</v>
      </c>
      <c r="AB3615" s="3">
        <v>42562</v>
      </c>
      <c r="AC3615" t="s">
        <v>53</v>
      </c>
      <c r="AD3615" t="s">
        <v>53</v>
      </c>
      <c r="AG3615" s="4">
        <v>1425.6</v>
      </c>
      <c r="AK3615">
        <v>0</v>
      </c>
      <c r="AU3615" s="3">
        <v>42529</v>
      </c>
      <c r="AV3615" s="3">
        <v>42529</v>
      </c>
      <c r="AW3615" t="s">
        <v>54</v>
      </c>
      <c r="AX3615" t="str">
        <f>"FOR"</f>
        <v>FOR</v>
      </c>
      <c r="AY3615" t="s">
        <v>55</v>
      </c>
    </row>
    <row r="3616" spans="1:51" hidden="1">
      <c r="A3616">
        <v>106452</v>
      </c>
      <c r="B3616" t="s">
        <v>467</v>
      </c>
      <c r="C3616" t="str">
        <f>""</f>
        <v/>
      </c>
      <c r="D3616" t="str">
        <f>"97222270585"</f>
        <v>97222270585</v>
      </c>
      <c r="E3616" t="s">
        <v>52</v>
      </c>
      <c r="F3616">
        <v>2016</v>
      </c>
      <c r="G3616" t="str">
        <f>"                  79"</f>
        <v xml:space="preserve">                  79</v>
      </c>
      <c r="H3616" s="3">
        <v>42472</v>
      </c>
      <c r="I3616" s="3">
        <v>42472</v>
      </c>
      <c r="J3616" s="3">
        <v>42472</v>
      </c>
      <c r="K3616" s="3">
        <v>42532</v>
      </c>
      <c r="L3616" s="4">
        <v>1600</v>
      </c>
      <c r="M3616">
        <v>-60</v>
      </c>
      <c r="N3616" s="4">
        <v>-96000</v>
      </c>
      <c r="O3616" s="4">
        <v>1600</v>
      </c>
      <c r="P3616">
        <v>-60</v>
      </c>
      <c r="Q3616" s="4">
        <v>-96000</v>
      </c>
      <c r="R3616">
        <v>0</v>
      </c>
      <c r="V3616" s="4">
        <v>1600</v>
      </c>
      <c r="W3616" s="4">
        <v>1600</v>
      </c>
      <c r="X3616" s="4">
        <v>1600</v>
      </c>
      <c r="Y3616" s="4">
        <v>1600</v>
      </c>
      <c r="Z3616" s="4">
        <v>1600</v>
      </c>
      <c r="AA3616" s="4">
        <v>1600</v>
      </c>
      <c r="AB3616" s="3">
        <v>42562</v>
      </c>
      <c r="AC3616" t="s">
        <v>53</v>
      </c>
      <c r="AD3616" t="s">
        <v>53</v>
      </c>
      <c r="AK3616">
        <v>0</v>
      </c>
      <c r="AU3616" s="3">
        <v>42472</v>
      </c>
      <c r="AV3616" s="3">
        <v>42472</v>
      </c>
      <c r="AW3616" t="s">
        <v>54</v>
      </c>
      <c r="AX3616" t="str">
        <f>"ALT"</f>
        <v>ALT</v>
      </c>
      <c r="AY3616" t="s">
        <v>72</v>
      </c>
    </row>
    <row r="3617" spans="1:51" hidden="1">
      <c r="A3617">
        <v>106456</v>
      </c>
      <c r="B3617" t="s">
        <v>468</v>
      </c>
      <c r="C3617" t="str">
        <f t="shared" ref="C3617:D3627" si="438">"00556080109"</f>
        <v>00556080109</v>
      </c>
      <c r="D3617" t="str">
        <f t="shared" si="438"/>
        <v>00556080109</v>
      </c>
      <c r="E3617" t="s">
        <v>52</v>
      </c>
      <c r="F3617">
        <v>2015</v>
      </c>
      <c r="G3617" t="str">
        <f>"               20125"</f>
        <v xml:space="preserve">               20125</v>
      </c>
      <c r="H3617" s="3">
        <v>42054</v>
      </c>
      <c r="I3617" s="3">
        <v>42066</v>
      </c>
      <c r="J3617" s="3">
        <v>42066</v>
      </c>
      <c r="K3617" s="3">
        <v>42126</v>
      </c>
      <c r="L3617"/>
      <c r="N3617"/>
      <c r="O3617" s="4">
        <v>3713.65</v>
      </c>
      <c r="P3617">
        <v>277</v>
      </c>
      <c r="Q3617" s="4">
        <v>1028681.05</v>
      </c>
      <c r="R3617">
        <v>0</v>
      </c>
      <c r="V3617">
        <v>0</v>
      </c>
      <c r="W3617">
        <v>0</v>
      </c>
      <c r="X3617">
        <v>0</v>
      </c>
      <c r="Y3617">
        <v>0</v>
      </c>
      <c r="Z3617">
        <v>0</v>
      </c>
      <c r="AA3617">
        <v>0</v>
      </c>
      <c r="AB3617" s="3">
        <v>42562</v>
      </c>
      <c r="AC3617" t="s">
        <v>53</v>
      </c>
      <c r="AD3617" t="s">
        <v>53</v>
      </c>
      <c r="AK3617">
        <v>0</v>
      </c>
      <c r="AU3617" s="3">
        <v>42403</v>
      </c>
      <c r="AV3617" s="3">
        <v>42403</v>
      </c>
      <c r="AW3617" t="s">
        <v>54</v>
      </c>
      <c r="AX3617" t="str">
        <f t="shared" ref="AX3617:AX3627" si="439">"FOR"</f>
        <v>FOR</v>
      </c>
      <c r="AY3617" t="s">
        <v>55</v>
      </c>
    </row>
    <row r="3618" spans="1:51" hidden="1">
      <c r="A3618">
        <v>106456</v>
      </c>
      <c r="B3618" t="s">
        <v>468</v>
      </c>
      <c r="C3618" t="str">
        <f t="shared" si="438"/>
        <v>00556080109</v>
      </c>
      <c r="D3618" t="str">
        <f t="shared" si="438"/>
        <v>00556080109</v>
      </c>
      <c r="E3618" t="s">
        <v>52</v>
      </c>
      <c r="F3618">
        <v>2015</v>
      </c>
      <c r="G3618" t="str">
        <f>"               20141"</f>
        <v xml:space="preserve">               20141</v>
      </c>
      <c r="H3618" s="3">
        <v>42061</v>
      </c>
      <c r="I3618" s="3">
        <v>42097</v>
      </c>
      <c r="J3618" s="3">
        <v>42097</v>
      </c>
      <c r="K3618" s="3">
        <v>42157</v>
      </c>
      <c r="L3618"/>
      <c r="N3618"/>
      <c r="O3618">
        <v>119.5</v>
      </c>
      <c r="P3618">
        <v>246</v>
      </c>
      <c r="Q3618" s="4">
        <v>29397</v>
      </c>
      <c r="R3618">
        <v>0</v>
      </c>
      <c r="V3618">
        <v>0</v>
      </c>
      <c r="W3618">
        <v>0</v>
      </c>
      <c r="X3618">
        <v>0</v>
      </c>
      <c r="Y3618">
        <v>0</v>
      </c>
      <c r="Z3618">
        <v>0</v>
      </c>
      <c r="AA3618">
        <v>0</v>
      </c>
      <c r="AB3618" s="3">
        <v>42562</v>
      </c>
      <c r="AC3618" t="s">
        <v>53</v>
      </c>
      <c r="AD3618" t="s">
        <v>53</v>
      </c>
      <c r="AK3618">
        <v>0</v>
      </c>
      <c r="AU3618" s="3">
        <v>42403</v>
      </c>
      <c r="AV3618" s="3">
        <v>42403</v>
      </c>
      <c r="AW3618" t="s">
        <v>54</v>
      </c>
      <c r="AX3618" t="str">
        <f t="shared" si="439"/>
        <v>FOR</v>
      </c>
      <c r="AY3618" t="s">
        <v>55</v>
      </c>
    </row>
    <row r="3619" spans="1:51" hidden="1">
      <c r="A3619">
        <v>106456</v>
      </c>
      <c r="B3619" t="s">
        <v>468</v>
      </c>
      <c r="C3619" t="str">
        <f t="shared" si="438"/>
        <v>00556080109</v>
      </c>
      <c r="D3619" t="str">
        <f t="shared" si="438"/>
        <v>00556080109</v>
      </c>
      <c r="E3619" t="s">
        <v>52</v>
      </c>
      <c r="F3619">
        <v>2015</v>
      </c>
      <c r="G3619" t="str">
        <f>"               20151"</f>
        <v xml:space="preserve">               20151</v>
      </c>
      <c r="H3619" s="3">
        <v>42068</v>
      </c>
      <c r="I3619" s="3">
        <v>42074</v>
      </c>
      <c r="J3619" s="3">
        <v>42074</v>
      </c>
      <c r="K3619" s="3">
        <v>42134</v>
      </c>
      <c r="L3619"/>
      <c r="N3619"/>
      <c r="O3619">
        <v>160.47</v>
      </c>
      <c r="P3619">
        <v>281</v>
      </c>
      <c r="Q3619" s="4">
        <v>45092.07</v>
      </c>
      <c r="R3619">
        <v>0</v>
      </c>
      <c r="V3619">
        <v>0</v>
      </c>
      <c r="W3619">
        <v>0</v>
      </c>
      <c r="X3619">
        <v>0</v>
      </c>
      <c r="Y3619">
        <v>0</v>
      </c>
      <c r="Z3619">
        <v>0</v>
      </c>
      <c r="AA3619">
        <v>0</v>
      </c>
      <c r="AB3619" s="3">
        <v>42562</v>
      </c>
      <c r="AC3619" t="s">
        <v>53</v>
      </c>
      <c r="AD3619" t="s">
        <v>53</v>
      </c>
      <c r="AK3619">
        <v>0</v>
      </c>
      <c r="AU3619" s="3">
        <v>42415</v>
      </c>
      <c r="AV3619" s="3">
        <v>42415</v>
      </c>
      <c r="AW3619" t="s">
        <v>54</v>
      </c>
      <c r="AX3619" t="str">
        <f t="shared" si="439"/>
        <v>FOR</v>
      </c>
      <c r="AY3619" t="s">
        <v>55</v>
      </c>
    </row>
    <row r="3620" spans="1:51" hidden="1">
      <c r="A3620">
        <v>106456</v>
      </c>
      <c r="B3620" t="s">
        <v>468</v>
      </c>
      <c r="C3620" t="str">
        <f t="shared" si="438"/>
        <v>00556080109</v>
      </c>
      <c r="D3620" t="str">
        <f t="shared" si="438"/>
        <v>00556080109</v>
      </c>
      <c r="E3620" t="s">
        <v>52</v>
      </c>
      <c r="F3620">
        <v>2015</v>
      </c>
      <c r="G3620" t="str">
        <f>"               20213"</f>
        <v xml:space="preserve">               20213</v>
      </c>
      <c r="H3620" s="3">
        <v>42093</v>
      </c>
      <c r="I3620" s="3">
        <v>42102</v>
      </c>
      <c r="J3620" s="3">
        <v>42102</v>
      </c>
      <c r="K3620" s="3">
        <v>42162</v>
      </c>
      <c r="L3620"/>
      <c r="N3620"/>
      <c r="O3620">
        <v>293.24</v>
      </c>
      <c r="P3620">
        <v>253</v>
      </c>
      <c r="Q3620" s="4">
        <v>74189.72</v>
      </c>
      <c r="R3620">
        <v>0</v>
      </c>
      <c r="V3620">
        <v>0</v>
      </c>
      <c r="W3620">
        <v>0</v>
      </c>
      <c r="X3620">
        <v>0</v>
      </c>
      <c r="Y3620">
        <v>0</v>
      </c>
      <c r="Z3620">
        <v>0</v>
      </c>
      <c r="AA3620">
        <v>0</v>
      </c>
      <c r="AB3620" s="3">
        <v>42562</v>
      </c>
      <c r="AC3620" t="s">
        <v>53</v>
      </c>
      <c r="AD3620" t="s">
        <v>53</v>
      </c>
      <c r="AK3620">
        <v>0</v>
      </c>
      <c r="AU3620" s="3">
        <v>42415</v>
      </c>
      <c r="AV3620" s="3">
        <v>42415</v>
      </c>
      <c r="AW3620" t="s">
        <v>54</v>
      </c>
      <c r="AX3620" t="str">
        <f t="shared" si="439"/>
        <v>FOR</v>
      </c>
      <c r="AY3620" t="s">
        <v>55</v>
      </c>
    </row>
    <row r="3621" spans="1:51" hidden="1">
      <c r="A3621">
        <v>106456</v>
      </c>
      <c r="B3621" t="s">
        <v>468</v>
      </c>
      <c r="C3621" t="str">
        <f t="shared" si="438"/>
        <v>00556080109</v>
      </c>
      <c r="D3621" t="str">
        <f t="shared" si="438"/>
        <v>00556080109</v>
      </c>
      <c r="E3621" t="s">
        <v>52</v>
      </c>
      <c r="F3621">
        <v>2015</v>
      </c>
      <c r="G3621" t="str">
        <f>"               20245"</f>
        <v xml:space="preserve">               20245</v>
      </c>
      <c r="H3621" s="3">
        <v>42115</v>
      </c>
      <c r="I3621" s="3">
        <v>42121</v>
      </c>
      <c r="J3621" s="3">
        <v>42119</v>
      </c>
      <c r="K3621" s="3">
        <v>42179</v>
      </c>
      <c r="L3621"/>
      <c r="N3621"/>
      <c r="O3621">
        <v>325.20999999999998</v>
      </c>
      <c r="P3621">
        <v>273</v>
      </c>
      <c r="Q3621" s="4">
        <v>88782.33</v>
      </c>
      <c r="R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 s="3">
        <v>42562</v>
      </c>
      <c r="AC3621" t="s">
        <v>53</v>
      </c>
      <c r="AD3621" t="s">
        <v>53</v>
      </c>
      <c r="AK3621">
        <v>0</v>
      </c>
      <c r="AU3621" s="3">
        <v>42452</v>
      </c>
      <c r="AV3621" s="3">
        <v>42452</v>
      </c>
      <c r="AW3621" t="s">
        <v>54</v>
      </c>
      <c r="AX3621" t="str">
        <f t="shared" si="439"/>
        <v>FOR</v>
      </c>
      <c r="AY3621" t="s">
        <v>55</v>
      </c>
    </row>
    <row r="3622" spans="1:51" hidden="1">
      <c r="A3622">
        <v>106456</v>
      </c>
      <c r="B3622" t="s">
        <v>468</v>
      </c>
      <c r="C3622" t="str">
        <f t="shared" si="438"/>
        <v>00556080109</v>
      </c>
      <c r="D3622" t="str">
        <f t="shared" si="438"/>
        <v>00556080109</v>
      </c>
      <c r="E3622" t="s">
        <v>52</v>
      </c>
      <c r="F3622">
        <v>2015</v>
      </c>
      <c r="G3622" t="str">
        <f>"               20248"</f>
        <v xml:space="preserve">               20248</v>
      </c>
      <c r="H3622" s="3">
        <v>42117</v>
      </c>
      <c r="I3622" s="3">
        <v>42121</v>
      </c>
      <c r="J3622" s="3">
        <v>42119</v>
      </c>
      <c r="K3622" s="3">
        <v>42179</v>
      </c>
      <c r="L3622"/>
      <c r="N3622"/>
      <c r="O3622">
        <v>20.74</v>
      </c>
      <c r="P3622">
        <v>273</v>
      </c>
      <c r="Q3622" s="4">
        <v>5662.02</v>
      </c>
      <c r="R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 s="3">
        <v>42562</v>
      </c>
      <c r="AC3622" t="s">
        <v>53</v>
      </c>
      <c r="AD3622" t="s">
        <v>53</v>
      </c>
      <c r="AK3622">
        <v>0</v>
      </c>
      <c r="AU3622" s="3">
        <v>42452</v>
      </c>
      <c r="AV3622" s="3">
        <v>42452</v>
      </c>
      <c r="AW3622" t="s">
        <v>54</v>
      </c>
      <c r="AX3622" t="str">
        <f t="shared" si="439"/>
        <v>FOR</v>
      </c>
      <c r="AY3622" t="s">
        <v>55</v>
      </c>
    </row>
    <row r="3623" spans="1:51" hidden="1">
      <c r="A3623">
        <v>106456</v>
      </c>
      <c r="B3623" t="s">
        <v>468</v>
      </c>
      <c r="C3623" t="str">
        <f t="shared" si="438"/>
        <v>00556080109</v>
      </c>
      <c r="D3623" t="str">
        <f t="shared" si="438"/>
        <v>00556080109</v>
      </c>
      <c r="E3623" t="s">
        <v>52</v>
      </c>
      <c r="F3623">
        <v>2015</v>
      </c>
      <c r="G3623" t="str">
        <f>"               20249"</f>
        <v xml:space="preserve">               20249</v>
      </c>
      <c r="H3623" s="3">
        <v>42117</v>
      </c>
      <c r="I3623" s="3">
        <v>42121</v>
      </c>
      <c r="J3623" s="3">
        <v>42119</v>
      </c>
      <c r="K3623" s="3">
        <v>42179</v>
      </c>
      <c r="L3623"/>
      <c r="N3623"/>
      <c r="O3623">
        <v>51.5</v>
      </c>
      <c r="P3623">
        <v>273</v>
      </c>
      <c r="Q3623" s="4">
        <v>14059.5</v>
      </c>
      <c r="R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 s="3">
        <v>42562</v>
      </c>
      <c r="AC3623" t="s">
        <v>53</v>
      </c>
      <c r="AD3623" t="s">
        <v>53</v>
      </c>
      <c r="AK3623">
        <v>0</v>
      </c>
      <c r="AU3623" s="3">
        <v>42452</v>
      </c>
      <c r="AV3623" s="3">
        <v>42452</v>
      </c>
      <c r="AW3623" t="s">
        <v>54</v>
      </c>
      <c r="AX3623" t="str">
        <f t="shared" si="439"/>
        <v>FOR</v>
      </c>
      <c r="AY3623" t="s">
        <v>55</v>
      </c>
    </row>
    <row r="3624" spans="1:51" hidden="1">
      <c r="A3624">
        <v>106456</v>
      </c>
      <c r="B3624" t="s">
        <v>468</v>
      </c>
      <c r="C3624" t="str">
        <f t="shared" si="438"/>
        <v>00556080109</v>
      </c>
      <c r="D3624" t="str">
        <f t="shared" si="438"/>
        <v>00556080109</v>
      </c>
      <c r="E3624" t="s">
        <v>52</v>
      </c>
      <c r="F3624">
        <v>2015</v>
      </c>
      <c r="G3624" t="str">
        <f>"               20306"</f>
        <v xml:space="preserve">               20306</v>
      </c>
      <c r="H3624" s="3">
        <v>42144</v>
      </c>
      <c r="I3624" s="3">
        <v>42160</v>
      </c>
      <c r="J3624" s="3">
        <v>42144</v>
      </c>
      <c r="K3624" s="3">
        <v>42204</v>
      </c>
      <c r="L3624"/>
      <c r="N3624"/>
      <c r="O3624" s="4">
        <v>1788.6</v>
      </c>
      <c r="P3624">
        <v>248</v>
      </c>
      <c r="Q3624" s="4">
        <v>443572.8</v>
      </c>
      <c r="R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 s="3">
        <v>42562</v>
      </c>
      <c r="AC3624" t="s">
        <v>53</v>
      </c>
      <c r="AD3624" t="s">
        <v>53</v>
      </c>
      <c r="AK3624">
        <v>0</v>
      </c>
      <c r="AU3624" s="3">
        <v>42452</v>
      </c>
      <c r="AV3624" s="3">
        <v>42452</v>
      </c>
      <c r="AW3624" t="s">
        <v>54</v>
      </c>
      <c r="AX3624" t="str">
        <f t="shared" si="439"/>
        <v>FOR</v>
      </c>
      <c r="AY3624" t="s">
        <v>55</v>
      </c>
    </row>
    <row r="3625" spans="1:51">
      <c r="A3625">
        <v>106456</v>
      </c>
      <c r="B3625" t="s">
        <v>468</v>
      </c>
      <c r="C3625" t="str">
        <f t="shared" si="438"/>
        <v>00556080109</v>
      </c>
      <c r="D3625" t="str">
        <f t="shared" si="438"/>
        <v>00556080109</v>
      </c>
      <c r="E3625" t="s">
        <v>52</v>
      </c>
      <c r="F3625">
        <v>2015</v>
      </c>
      <c r="G3625" t="str">
        <f>"             V1-2988"</f>
        <v xml:space="preserve">             V1-2988</v>
      </c>
      <c r="H3625" s="3">
        <v>42164</v>
      </c>
      <c r="I3625" s="3">
        <v>42167</v>
      </c>
      <c r="J3625" s="3">
        <v>42165</v>
      </c>
      <c r="K3625" s="3">
        <v>42225</v>
      </c>
      <c r="L3625" s="1">
        <v>59.75</v>
      </c>
      <c r="M3625">
        <v>302</v>
      </c>
      <c r="N3625" s="5">
        <v>18044.5</v>
      </c>
      <c r="O3625">
        <v>59.75</v>
      </c>
      <c r="P3625">
        <v>302</v>
      </c>
      <c r="Q3625" s="4">
        <v>18044.5</v>
      </c>
      <c r="R3625">
        <v>13.15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 s="3">
        <v>42562</v>
      </c>
      <c r="AC3625" t="s">
        <v>53</v>
      </c>
      <c r="AD3625" t="s">
        <v>53</v>
      </c>
      <c r="AK3625">
        <v>13.15</v>
      </c>
      <c r="AU3625" s="3">
        <v>42527</v>
      </c>
      <c r="AV3625" s="3">
        <v>42527</v>
      </c>
      <c r="AW3625" t="s">
        <v>54</v>
      </c>
      <c r="AX3625" t="str">
        <f t="shared" si="439"/>
        <v>FOR</v>
      </c>
      <c r="AY3625" t="s">
        <v>55</v>
      </c>
    </row>
    <row r="3626" spans="1:51">
      <c r="A3626">
        <v>106456</v>
      </c>
      <c r="B3626" t="s">
        <v>468</v>
      </c>
      <c r="C3626" t="str">
        <f t="shared" si="438"/>
        <v>00556080109</v>
      </c>
      <c r="D3626" t="str">
        <f t="shared" si="438"/>
        <v>00556080109</v>
      </c>
      <c r="E3626" t="s">
        <v>52</v>
      </c>
      <c r="F3626">
        <v>2015</v>
      </c>
      <c r="G3626" t="str">
        <f>"             V1-3120"</f>
        <v xml:space="preserve">             V1-3120</v>
      </c>
      <c r="H3626" s="3">
        <v>42170</v>
      </c>
      <c r="I3626" s="3">
        <v>42171</v>
      </c>
      <c r="J3626" s="3">
        <v>42170</v>
      </c>
      <c r="K3626" s="3">
        <v>42230</v>
      </c>
      <c r="L3626" s="1">
        <v>230.39</v>
      </c>
      <c r="M3626">
        <v>297</v>
      </c>
      <c r="N3626" s="5">
        <v>68425.83</v>
      </c>
      <c r="O3626">
        <v>230.39</v>
      </c>
      <c r="P3626">
        <v>297</v>
      </c>
      <c r="Q3626" s="4">
        <v>68425.83</v>
      </c>
      <c r="R3626">
        <v>50.69</v>
      </c>
      <c r="V3626">
        <v>0</v>
      </c>
      <c r="W3626">
        <v>0</v>
      </c>
      <c r="X3626">
        <v>0</v>
      </c>
      <c r="Y3626">
        <v>0</v>
      </c>
      <c r="Z3626">
        <v>0</v>
      </c>
      <c r="AA3626">
        <v>0</v>
      </c>
      <c r="AB3626" s="3">
        <v>42562</v>
      </c>
      <c r="AC3626" t="s">
        <v>53</v>
      </c>
      <c r="AD3626" t="s">
        <v>53</v>
      </c>
      <c r="AK3626">
        <v>50.69</v>
      </c>
      <c r="AU3626" s="3">
        <v>42527</v>
      </c>
      <c r="AV3626" s="3">
        <v>42527</v>
      </c>
      <c r="AW3626" t="s">
        <v>54</v>
      </c>
      <c r="AX3626" t="str">
        <f t="shared" si="439"/>
        <v>FOR</v>
      </c>
      <c r="AY3626" t="s">
        <v>55</v>
      </c>
    </row>
    <row r="3627" spans="1:51">
      <c r="A3627">
        <v>106456</v>
      </c>
      <c r="B3627" t="s">
        <v>468</v>
      </c>
      <c r="C3627" t="str">
        <f t="shared" si="438"/>
        <v>00556080109</v>
      </c>
      <c r="D3627" t="str">
        <f t="shared" si="438"/>
        <v>00556080109</v>
      </c>
      <c r="E3627" t="s">
        <v>52</v>
      </c>
      <c r="F3627">
        <v>2015</v>
      </c>
      <c r="G3627" t="str">
        <f>"             V1-3121"</f>
        <v xml:space="preserve">             V1-3121</v>
      </c>
      <c r="H3627" s="3">
        <v>42170</v>
      </c>
      <c r="I3627" s="3">
        <v>42171</v>
      </c>
      <c r="J3627" s="3">
        <v>42170</v>
      </c>
      <c r="K3627" s="3">
        <v>42230</v>
      </c>
      <c r="L3627" s="5">
        <v>1788.6</v>
      </c>
      <c r="M3627">
        <v>297</v>
      </c>
      <c r="N3627" s="5">
        <v>531214.19999999995</v>
      </c>
      <c r="O3627" s="4">
        <v>1788.6</v>
      </c>
      <c r="P3627">
        <v>297</v>
      </c>
      <c r="Q3627" s="4">
        <v>531214.19999999995</v>
      </c>
      <c r="R3627">
        <v>393.49</v>
      </c>
      <c r="V3627">
        <v>0</v>
      </c>
      <c r="W3627">
        <v>0</v>
      </c>
      <c r="X3627">
        <v>0</v>
      </c>
      <c r="Y3627">
        <v>0</v>
      </c>
      <c r="Z3627">
        <v>0</v>
      </c>
      <c r="AA3627">
        <v>0</v>
      </c>
      <c r="AB3627" s="3">
        <v>42562</v>
      </c>
      <c r="AC3627" t="s">
        <v>53</v>
      </c>
      <c r="AD3627" t="s">
        <v>53</v>
      </c>
      <c r="AK3627">
        <v>393.49</v>
      </c>
      <c r="AU3627" s="3">
        <v>42527</v>
      </c>
      <c r="AV3627" s="3">
        <v>42527</v>
      </c>
      <c r="AW3627" t="s">
        <v>54</v>
      </c>
      <c r="AX3627" t="str">
        <f t="shared" si="439"/>
        <v>FOR</v>
      </c>
      <c r="AY3627" t="s">
        <v>55</v>
      </c>
    </row>
    <row r="3628" spans="1:51" hidden="1">
      <c r="A3628">
        <v>106457</v>
      </c>
      <c r="B3628" t="s">
        <v>469</v>
      </c>
      <c r="C3628" t="str">
        <f>"02761340641"</f>
        <v>02761340641</v>
      </c>
      <c r="D3628" t="str">
        <f>"CPNSNT75B56A509R"</f>
        <v>CPNSNT75B56A509R</v>
      </c>
      <c r="E3628" t="s">
        <v>52</v>
      </c>
      <c r="F3628">
        <v>2016</v>
      </c>
      <c r="G3628" t="str">
        <f>"         FATTPA 2_16"</f>
        <v xml:space="preserve">         FATTPA 2_16</v>
      </c>
      <c r="H3628" s="3">
        <v>42403</v>
      </c>
      <c r="I3628" s="3">
        <v>42404</v>
      </c>
      <c r="J3628" s="3">
        <v>42403</v>
      </c>
      <c r="K3628" s="3">
        <v>42463</v>
      </c>
      <c r="L3628"/>
      <c r="N3628"/>
      <c r="O3628" s="4">
        <v>1661.78</v>
      </c>
      <c r="P3628">
        <v>-37</v>
      </c>
      <c r="Q3628" s="4">
        <v>-61485.86</v>
      </c>
      <c r="R3628">
        <v>0</v>
      </c>
      <c r="V3628">
        <v>0</v>
      </c>
      <c r="W3628">
        <v>0</v>
      </c>
      <c r="X3628">
        <v>0</v>
      </c>
      <c r="Y3628" s="4">
        <v>1661.78</v>
      </c>
      <c r="Z3628" s="4">
        <v>1661.78</v>
      </c>
      <c r="AA3628" s="4">
        <v>1661.78</v>
      </c>
      <c r="AB3628" s="3">
        <v>42562</v>
      </c>
      <c r="AC3628" t="s">
        <v>53</v>
      </c>
      <c r="AD3628" t="s">
        <v>53</v>
      </c>
      <c r="AK3628">
        <v>0</v>
      </c>
      <c r="AU3628" s="3">
        <v>42426</v>
      </c>
      <c r="AV3628" s="3">
        <v>42426</v>
      </c>
      <c r="AW3628" t="s">
        <v>54</v>
      </c>
      <c r="AX3628" t="str">
        <f t="shared" ref="AX3628:AX3642" si="440">"ALTPRO"</f>
        <v>ALTPRO</v>
      </c>
      <c r="AY3628" t="s">
        <v>93</v>
      </c>
    </row>
    <row r="3629" spans="1:51" hidden="1">
      <c r="A3629">
        <v>106457</v>
      </c>
      <c r="B3629" t="s">
        <v>469</v>
      </c>
      <c r="C3629" t="str">
        <f>"02761340641"</f>
        <v>02761340641</v>
      </c>
      <c r="D3629" t="str">
        <f>"CPNSNT75B56A509R"</f>
        <v>CPNSNT75B56A509R</v>
      </c>
      <c r="E3629" t="s">
        <v>52</v>
      </c>
      <c r="F3629">
        <v>2016</v>
      </c>
      <c r="G3629" t="str">
        <f>"         FATTPA 3_16"</f>
        <v xml:space="preserve">         FATTPA 3_16</v>
      </c>
      <c r="H3629" s="3">
        <v>42433</v>
      </c>
      <c r="I3629" s="3">
        <v>42436</v>
      </c>
      <c r="J3629" s="3">
        <v>42433</v>
      </c>
      <c r="K3629" s="3">
        <v>42493</v>
      </c>
      <c r="L3629"/>
      <c r="N3629"/>
      <c r="O3629" s="4">
        <v>1632.49</v>
      </c>
      <c r="P3629">
        <v>-42</v>
      </c>
      <c r="Q3629" s="4">
        <v>-68564.58</v>
      </c>
      <c r="R3629">
        <v>0</v>
      </c>
      <c r="V3629">
        <v>0</v>
      </c>
      <c r="W3629">
        <v>0</v>
      </c>
      <c r="X3629">
        <v>0</v>
      </c>
      <c r="Y3629" s="4">
        <v>1632.49</v>
      </c>
      <c r="Z3629" s="4">
        <v>1632.49</v>
      </c>
      <c r="AA3629" s="4">
        <v>1632.49</v>
      </c>
      <c r="AB3629" s="3">
        <v>42562</v>
      </c>
      <c r="AC3629" t="s">
        <v>53</v>
      </c>
      <c r="AD3629" t="s">
        <v>53</v>
      </c>
      <c r="AK3629">
        <v>0</v>
      </c>
      <c r="AU3629" s="3">
        <v>42451</v>
      </c>
      <c r="AV3629" s="3">
        <v>42451</v>
      </c>
      <c r="AW3629" t="s">
        <v>54</v>
      </c>
      <c r="AX3629" t="str">
        <f t="shared" si="440"/>
        <v>ALTPRO</v>
      </c>
      <c r="AY3629" t="s">
        <v>93</v>
      </c>
    </row>
    <row r="3630" spans="1:51">
      <c r="A3630">
        <v>106457</v>
      </c>
      <c r="B3630" t="s">
        <v>469</v>
      </c>
      <c r="C3630" t="str">
        <f>"02761340641"</f>
        <v>02761340641</v>
      </c>
      <c r="D3630" t="str">
        <f>"CPNSNT75B56A509R"</f>
        <v>CPNSNT75B56A509R</v>
      </c>
      <c r="E3630" t="s">
        <v>52</v>
      </c>
      <c r="F3630">
        <v>2016</v>
      </c>
      <c r="G3630" t="str">
        <f>"         FATTPA 4_16"</f>
        <v xml:space="preserve">         FATTPA 4_16</v>
      </c>
      <c r="H3630" s="3">
        <v>42468</v>
      </c>
      <c r="I3630" s="3">
        <v>42471</v>
      </c>
      <c r="J3630" s="3">
        <v>42469</v>
      </c>
      <c r="K3630" s="3">
        <v>42529</v>
      </c>
      <c r="L3630" s="5">
        <v>1847.39</v>
      </c>
      <c r="M3630">
        <v>-42</v>
      </c>
      <c r="N3630" s="5">
        <v>-77590.38</v>
      </c>
      <c r="O3630" s="4">
        <v>1847.39</v>
      </c>
      <c r="P3630">
        <v>-42</v>
      </c>
      <c r="Q3630" s="4">
        <v>-77590.38</v>
      </c>
      <c r="R3630">
        <v>0</v>
      </c>
      <c r="V3630">
        <v>0</v>
      </c>
      <c r="W3630" s="4">
        <v>1847.39</v>
      </c>
      <c r="X3630" s="4">
        <v>1847.39</v>
      </c>
      <c r="Y3630" s="4">
        <v>1847.39</v>
      </c>
      <c r="Z3630" s="4">
        <v>1847.39</v>
      </c>
      <c r="AA3630" s="4">
        <v>1847.39</v>
      </c>
      <c r="AB3630" s="3">
        <v>42562</v>
      </c>
      <c r="AC3630" t="s">
        <v>53</v>
      </c>
      <c r="AD3630" t="s">
        <v>53</v>
      </c>
      <c r="AK3630">
        <v>0</v>
      </c>
      <c r="AU3630" s="3">
        <v>42487</v>
      </c>
      <c r="AV3630" s="3">
        <v>42487</v>
      </c>
      <c r="AW3630" t="s">
        <v>54</v>
      </c>
      <c r="AX3630" t="str">
        <f t="shared" si="440"/>
        <v>ALTPRO</v>
      </c>
      <c r="AY3630" t="s">
        <v>93</v>
      </c>
    </row>
    <row r="3631" spans="1:51">
      <c r="A3631">
        <v>106457</v>
      </c>
      <c r="B3631" t="s">
        <v>469</v>
      </c>
      <c r="C3631" t="str">
        <f>"02761340641"</f>
        <v>02761340641</v>
      </c>
      <c r="D3631" t="str">
        <f>"CPNSNT75B56A509R"</f>
        <v>CPNSNT75B56A509R</v>
      </c>
      <c r="E3631" t="s">
        <v>52</v>
      </c>
      <c r="F3631">
        <v>2016</v>
      </c>
      <c r="G3631" t="str">
        <f>"         FATTPA 5_16"</f>
        <v xml:space="preserve">         FATTPA 5_16</v>
      </c>
      <c r="H3631" s="3">
        <v>42494</v>
      </c>
      <c r="I3631" s="3">
        <v>42495</v>
      </c>
      <c r="J3631" s="3">
        <v>42494</v>
      </c>
      <c r="K3631" s="3">
        <v>42554</v>
      </c>
      <c r="L3631" s="5">
        <v>1980.84</v>
      </c>
      <c r="M3631">
        <v>-38</v>
      </c>
      <c r="N3631" s="5">
        <v>-75271.92</v>
      </c>
      <c r="O3631" s="4">
        <v>1980.84</v>
      </c>
      <c r="P3631">
        <v>-38</v>
      </c>
      <c r="Q3631" s="4">
        <v>-75271.92</v>
      </c>
      <c r="R3631">
        <v>0</v>
      </c>
      <c r="V3631" s="4">
        <v>1980.84</v>
      </c>
      <c r="W3631" s="4">
        <v>1980.84</v>
      </c>
      <c r="X3631" s="4">
        <v>1980.84</v>
      </c>
      <c r="Y3631" s="4">
        <v>1980.84</v>
      </c>
      <c r="Z3631" s="4">
        <v>1980.84</v>
      </c>
      <c r="AA3631" s="4">
        <v>1980.84</v>
      </c>
      <c r="AB3631" s="3">
        <v>42562</v>
      </c>
      <c r="AC3631" t="s">
        <v>53</v>
      </c>
      <c r="AD3631" t="s">
        <v>53</v>
      </c>
      <c r="AK3631">
        <v>0</v>
      </c>
      <c r="AU3631" s="3">
        <v>42516</v>
      </c>
      <c r="AV3631" s="3">
        <v>42516</v>
      </c>
      <c r="AW3631" t="s">
        <v>54</v>
      </c>
      <c r="AX3631" t="str">
        <f t="shared" si="440"/>
        <v>ALTPRO</v>
      </c>
      <c r="AY3631" t="s">
        <v>93</v>
      </c>
    </row>
    <row r="3632" spans="1:51" hidden="1">
      <c r="A3632">
        <v>106457</v>
      </c>
      <c r="B3632" t="s">
        <v>469</v>
      </c>
      <c r="C3632" t="str">
        <f>"02761340641"</f>
        <v>02761340641</v>
      </c>
      <c r="D3632" t="str">
        <f>"CPNSNT75B56A509R"</f>
        <v>CPNSNT75B56A509R</v>
      </c>
      <c r="E3632" t="s">
        <v>52</v>
      </c>
      <c r="F3632">
        <v>2016</v>
      </c>
      <c r="G3632" t="str">
        <f>"         FatPAM 1_16"</f>
        <v xml:space="preserve">         FatPAM 1_16</v>
      </c>
      <c r="H3632" s="3">
        <v>42383</v>
      </c>
      <c r="I3632" s="3">
        <v>42405</v>
      </c>
      <c r="J3632" s="3">
        <v>42405</v>
      </c>
      <c r="K3632" s="3">
        <v>42465</v>
      </c>
      <c r="L3632"/>
      <c r="N3632"/>
      <c r="O3632" s="4">
        <v>1623.14</v>
      </c>
      <c r="P3632">
        <v>-39</v>
      </c>
      <c r="Q3632" s="4">
        <v>-63302.46</v>
      </c>
      <c r="R3632">
        <v>0</v>
      </c>
      <c r="V3632">
        <v>0</v>
      </c>
      <c r="W3632">
        <v>0</v>
      </c>
      <c r="X3632">
        <v>0</v>
      </c>
      <c r="Y3632">
        <v>0</v>
      </c>
      <c r="Z3632" s="4">
        <v>1623.14</v>
      </c>
      <c r="AA3632" s="4">
        <v>1623.14</v>
      </c>
      <c r="AB3632" s="3">
        <v>42562</v>
      </c>
      <c r="AC3632" t="s">
        <v>53</v>
      </c>
      <c r="AD3632" t="s">
        <v>53</v>
      </c>
      <c r="AK3632">
        <v>0</v>
      </c>
      <c r="AU3632" s="3">
        <v>42426</v>
      </c>
      <c r="AV3632" s="3">
        <v>42426</v>
      </c>
      <c r="AW3632" t="s">
        <v>54</v>
      </c>
      <c r="AX3632" t="str">
        <f t="shared" si="440"/>
        <v>ALTPRO</v>
      </c>
      <c r="AY3632" t="s">
        <v>93</v>
      </c>
    </row>
    <row r="3633" spans="1:51" hidden="1">
      <c r="A3633">
        <v>106463</v>
      </c>
      <c r="B3633" t="s">
        <v>470</v>
      </c>
      <c r="C3633" t="str">
        <f>"07818101219"</f>
        <v>07818101219</v>
      </c>
      <c r="D3633" t="str">
        <f>"VNDMRA84A63F839F"</f>
        <v>VNDMRA84A63F839F</v>
      </c>
      <c r="E3633" t="s">
        <v>52</v>
      </c>
      <c r="F3633">
        <v>2016</v>
      </c>
      <c r="G3633" t="str">
        <f>"         FATTPA 1_16"</f>
        <v xml:space="preserve">         FATTPA 1_16</v>
      </c>
      <c r="H3633" s="3">
        <v>42371</v>
      </c>
      <c r="I3633" s="3">
        <v>42376</v>
      </c>
      <c r="J3633" s="3">
        <v>42371</v>
      </c>
      <c r="K3633" s="3">
        <v>42431</v>
      </c>
      <c r="L3633"/>
      <c r="N3633"/>
      <c r="O3633" s="4">
        <v>5995.97</v>
      </c>
      <c r="P3633">
        <v>-34</v>
      </c>
      <c r="Q3633" s="4">
        <v>-203862.98</v>
      </c>
      <c r="R3633">
        <v>0</v>
      </c>
      <c r="V3633">
        <v>0</v>
      </c>
      <c r="W3633">
        <v>0</v>
      </c>
      <c r="X3633">
        <v>0</v>
      </c>
      <c r="Y3633">
        <v>0</v>
      </c>
      <c r="Z3633" s="4">
        <v>5995.97</v>
      </c>
      <c r="AA3633" s="4">
        <v>5995.97</v>
      </c>
      <c r="AB3633" s="3">
        <v>42562</v>
      </c>
      <c r="AC3633" t="s">
        <v>53</v>
      </c>
      <c r="AD3633" t="s">
        <v>53</v>
      </c>
      <c r="AK3633">
        <v>0</v>
      </c>
      <c r="AU3633" s="3">
        <v>42397</v>
      </c>
      <c r="AV3633" s="3">
        <v>42397</v>
      </c>
      <c r="AW3633" t="s">
        <v>54</v>
      </c>
      <c r="AX3633" t="str">
        <f t="shared" si="440"/>
        <v>ALTPRO</v>
      </c>
      <c r="AY3633" t="s">
        <v>93</v>
      </c>
    </row>
    <row r="3634" spans="1:51" hidden="1">
      <c r="A3634">
        <v>106463</v>
      </c>
      <c r="B3634" t="s">
        <v>470</v>
      </c>
      <c r="C3634" t="str">
        <f>"07818101219"</f>
        <v>07818101219</v>
      </c>
      <c r="D3634" t="str">
        <f>"VNDMRA84A63F839F"</f>
        <v>VNDMRA84A63F839F</v>
      </c>
      <c r="E3634" t="s">
        <v>52</v>
      </c>
      <c r="F3634">
        <v>2016</v>
      </c>
      <c r="G3634" t="str">
        <f>"         FATTPA 2_16"</f>
        <v xml:space="preserve">         FATTPA 2_16</v>
      </c>
      <c r="H3634" s="3">
        <v>42373</v>
      </c>
      <c r="I3634" s="3">
        <v>42377</v>
      </c>
      <c r="J3634" s="3">
        <v>42373</v>
      </c>
      <c r="K3634" s="3">
        <v>42433</v>
      </c>
      <c r="L3634"/>
      <c r="N3634"/>
      <c r="O3634" s="4">
        <v>1242.9100000000001</v>
      </c>
      <c r="P3634">
        <v>-36</v>
      </c>
      <c r="Q3634" s="4">
        <v>-44744.76</v>
      </c>
      <c r="R3634">
        <v>0</v>
      </c>
      <c r="V3634">
        <v>0</v>
      </c>
      <c r="W3634">
        <v>0</v>
      </c>
      <c r="X3634">
        <v>0</v>
      </c>
      <c r="Y3634">
        <v>0</v>
      </c>
      <c r="Z3634" s="4">
        <v>1242.9100000000001</v>
      </c>
      <c r="AA3634" s="4">
        <v>1242.9100000000001</v>
      </c>
      <c r="AB3634" s="3">
        <v>42562</v>
      </c>
      <c r="AC3634" t="s">
        <v>53</v>
      </c>
      <c r="AD3634" t="s">
        <v>53</v>
      </c>
      <c r="AK3634">
        <v>0</v>
      </c>
      <c r="AU3634" s="3">
        <v>42397</v>
      </c>
      <c r="AV3634" s="3">
        <v>42397</v>
      </c>
      <c r="AW3634" t="s">
        <v>54</v>
      </c>
      <c r="AX3634" t="str">
        <f t="shared" si="440"/>
        <v>ALTPRO</v>
      </c>
      <c r="AY3634" t="s">
        <v>93</v>
      </c>
    </row>
    <row r="3635" spans="1:51" hidden="1">
      <c r="A3635">
        <v>106464</v>
      </c>
      <c r="B3635" t="s">
        <v>471</v>
      </c>
      <c r="C3635" t="str">
        <f>"01521570620"</f>
        <v>01521570620</v>
      </c>
      <c r="D3635" t="str">
        <f>"CRCPTR81B07F839C"</f>
        <v>CRCPTR81B07F839C</v>
      </c>
      <c r="E3635" t="s">
        <v>52</v>
      </c>
      <c r="F3635">
        <v>2015</v>
      </c>
      <c r="G3635" t="str">
        <f>"        FATTPA 16_15"</f>
        <v xml:space="preserve">        FATTPA 16_15</v>
      </c>
      <c r="H3635" s="3">
        <v>42369</v>
      </c>
      <c r="I3635" s="3">
        <v>42369</v>
      </c>
      <c r="J3635" s="3">
        <v>42369</v>
      </c>
      <c r="K3635" s="3">
        <v>42429</v>
      </c>
      <c r="L3635"/>
      <c r="N3635"/>
      <c r="O3635" s="4">
        <v>2378.5100000000002</v>
      </c>
      <c r="P3635">
        <v>-32</v>
      </c>
      <c r="Q3635" s="4">
        <v>-76112.320000000007</v>
      </c>
      <c r="R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 s="3">
        <v>42562</v>
      </c>
      <c r="AC3635" t="s">
        <v>53</v>
      </c>
      <c r="AD3635" t="s">
        <v>53</v>
      </c>
      <c r="AK3635">
        <v>0</v>
      </c>
      <c r="AU3635" s="3">
        <v>42397</v>
      </c>
      <c r="AV3635" s="3">
        <v>42397</v>
      </c>
      <c r="AW3635" t="s">
        <v>54</v>
      </c>
      <c r="AX3635" t="str">
        <f t="shared" si="440"/>
        <v>ALTPRO</v>
      </c>
      <c r="AY3635" t="s">
        <v>93</v>
      </c>
    </row>
    <row r="3636" spans="1:51" hidden="1">
      <c r="A3636">
        <v>106464</v>
      </c>
      <c r="B3636" t="s">
        <v>471</v>
      </c>
      <c r="C3636" t="str">
        <f>"01521570620"</f>
        <v>01521570620</v>
      </c>
      <c r="D3636" t="str">
        <f>"CRCPTR81B07F839C"</f>
        <v>CRCPTR81B07F839C</v>
      </c>
      <c r="E3636" t="s">
        <v>52</v>
      </c>
      <c r="F3636">
        <v>2016</v>
      </c>
      <c r="G3636" t="str">
        <f>"         FATTPA 1_16"</f>
        <v xml:space="preserve">         FATTPA 1_16</v>
      </c>
      <c r="H3636" s="3">
        <v>42397</v>
      </c>
      <c r="I3636" s="3">
        <v>42402</v>
      </c>
      <c r="J3636" s="3">
        <v>42397</v>
      </c>
      <c r="K3636" s="3">
        <v>42457</v>
      </c>
      <c r="L3636"/>
      <c r="N3636"/>
      <c r="O3636" s="4">
        <v>2355.31</v>
      </c>
      <c r="P3636">
        <v>-31</v>
      </c>
      <c r="Q3636" s="4">
        <v>-73014.61</v>
      </c>
      <c r="R3636">
        <v>0</v>
      </c>
      <c r="V3636">
        <v>0</v>
      </c>
      <c r="W3636">
        <v>0</v>
      </c>
      <c r="X3636">
        <v>0</v>
      </c>
      <c r="Y3636" s="4">
        <v>2355.31</v>
      </c>
      <c r="Z3636" s="4">
        <v>2355.31</v>
      </c>
      <c r="AA3636" s="4">
        <v>2355.31</v>
      </c>
      <c r="AB3636" s="3">
        <v>42562</v>
      </c>
      <c r="AC3636" t="s">
        <v>53</v>
      </c>
      <c r="AD3636" t="s">
        <v>53</v>
      </c>
      <c r="AK3636">
        <v>0</v>
      </c>
      <c r="AU3636" s="3">
        <v>42426</v>
      </c>
      <c r="AV3636" s="3">
        <v>42426</v>
      </c>
      <c r="AW3636" t="s">
        <v>54</v>
      </c>
      <c r="AX3636" t="str">
        <f t="shared" si="440"/>
        <v>ALTPRO</v>
      </c>
      <c r="AY3636" t="s">
        <v>93</v>
      </c>
    </row>
    <row r="3637" spans="1:51" hidden="1">
      <c r="A3637">
        <v>106464</v>
      </c>
      <c r="B3637" t="s">
        <v>471</v>
      </c>
      <c r="C3637" t="str">
        <f>"01521570620"</f>
        <v>01521570620</v>
      </c>
      <c r="D3637" t="str">
        <f>"CRCPTR81B07F839C"</f>
        <v>CRCPTR81B07F839C</v>
      </c>
      <c r="E3637" t="s">
        <v>52</v>
      </c>
      <c r="F3637">
        <v>2016</v>
      </c>
      <c r="G3637" t="str">
        <f>"         FATTPA 2_16"</f>
        <v xml:space="preserve">         FATTPA 2_16</v>
      </c>
      <c r="H3637" s="3">
        <v>42424</v>
      </c>
      <c r="I3637" s="3">
        <v>42426</v>
      </c>
      <c r="J3637" s="3">
        <v>42424</v>
      </c>
      <c r="K3637" s="3">
        <v>42484</v>
      </c>
      <c r="L3637"/>
      <c r="N3637"/>
      <c r="O3637" s="4">
        <v>1110.98</v>
      </c>
      <c r="P3637">
        <v>-33</v>
      </c>
      <c r="Q3637" s="4">
        <v>-36662.339999999997</v>
      </c>
      <c r="R3637">
        <v>0</v>
      </c>
      <c r="V3637">
        <v>0</v>
      </c>
      <c r="W3637">
        <v>0</v>
      </c>
      <c r="X3637">
        <v>0</v>
      </c>
      <c r="Y3637" s="4">
        <v>1110.98</v>
      </c>
      <c r="Z3637" s="4">
        <v>1110.98</v>
      </c>
      <c r="AA3637" s="4">
        <v>1110.98</v>
      </c>
      <c r="AB3637" s="3">
        <v>42562</v>
      </c>
      <c r="AC3637" t="s">
        <v>53</v>
      </c>
      <c r="AD3637" t="s">
        <v>53</v>
      </c>
      <c r="AK3637">
        <v>0</v>
      </c>
      <c r="AU3637" s="3">
        <v>42451</v>
      </c>
      <c r="AV3637" s="3">
        <v>42451</v>
      </c>
      <c r="AW3637" t="s">
        <v>54</v>
      </c>
      <c r="AX3637" t="str">
        <f t="shared" si="440"/>
        <v>ALTPRO</v>
      </c>
      <c r="AY3637" t="s">
        <v>93</v>
      </c>
    </row>
    <row r="3638" spans="1:51" hidden="1">
      <c r="A3638">
        <v>106467</v>
      </c>
      <c r="B3638" t="s">
        <v>472</v>
      </c>
      <c r="C3638" t="str">
        <f>"07841501211"</f>
        <v>07841501211</v>
      </c>
      <c r="D3638" t="str">
        <f>"RDCDNI84E53L259D"</f>
        <v>RDCDNI84E53L259D</v>
      </c>
      <c r="E3638" t="s">
        <v>52</v>
      </c>
      <c r="F3638">
        <v>2016</v>
      </c>
      <c r="G3638" t="str">
        <f>"         FATTPA 1_16"</f>
        <v xml:space="preserve">         FATTPA 1_16</v>
      </c>
      <c r="H3638" s="3">
        <v>42376</v>
      </c>
      <c r="I3638" s="3">
        <v>42382</v>
      </c>
      <c r="J3638" s="3">
        <v>42379</v>
      </c>
      <c r="K3638" s="3">
        <v>42439</v>
      </c>
      <c r="L3638"/>
      <c r="N3638"/>
      <c r="O3638" s="4">
        <v>2212.63</v>
      </c>
      <c r="P3638">
        <v>-42</v>
      </c>
      <c r="Q3638" s="4">
        <v>-92930.46</v>
      </c>
      <c r="R3638">
        <v>0</v>
      </c>
      <c r="V3638">
        <v>0</v>
      </c>
      <c r="W3638">
        <v>0</v>
      </c>
      <c r="X3638">
        <v>0</v>
      </c>
      <c r="Y3638">
        <v>0</v>
      </c>
      <c r="Z3638" s="4">
        <v>2212.63</v>
      </c>
      <c r="AA3638" s="4">
        <v>2212.63</v>
      </c>
      <c r="AB3638" s="3">
        <v>42562</v>
      </c>
      <c r="AC3638" t="s">
        <v>53</v>
      </c>
      <c r="AD3638" t="s">
        <v>53</v>
      </c>
      <c r="AK3638">
        <v>0</v>
      </c>
      <c r="AU3638" s="3">
        <v>42397</v>
      </c>
      <c r="AV3638" s="3">
        <v>42397</v>
      </c>
      <c r="AW3638" t="s">
        <v>54</v>
      </c>
      <c r="AX3638" t="str">
        <f t="shared" si="440"/>
        <v>ALTPRO</v>
      </c>
      <c r="AY3638" t="s">
        <v>93</v>
      </c>
    </row>
    <row r="3639" spans="1:51" hidden="1">
      <c r="A3639">
        <v>106467</v>
      </c>
      <c r="B3639" t="s">
        <v>472</v>
      </c>
      <c r="C3639" t="str">
        <f>"07841501211"</f>
        <v>07841501211</v>
      </c>
      <c r="D3639" t="str">
        <f>"RDCDNI84E53L259D"</f>
        <v>RDCDNI84E53L259D</v>
      </c>
      <c r="E3639" t="s">
        <v>52</v>
      </c>
      <c r="F3639">
        <v>2016</v>
      </c>
      <c r="G3639" t="str">
        <f>"         FATTPA 2_16"</f>
        <v xml:space="preserve">         FATTPA 2_16</v>
      </c>
      <c r="H3639" s="3">
        <v>42404</v>
      </c>
      <c r="I3639" s="3">
        <v>42408</v>
      </c>
      <c r="J3639" s="3">
        <v>42405</v>
      </c>
      <c r="K3639" s="3">
        <v>42465</v>
      </c>
      <c r="L3639"/>
      <c r="N3639"/>
      <c r="O3639" s="4">
        <v>2513.79</v>
      </c>
      <c r="P3639">
        <v>-39</v>
      </c>
      <c r="Q3639" s="4">
        <v>-98037.81</v>
      </c>
      <c r="R3639">
        <v>0</v>
      </c>
      <c r="V3639">
        <v>0</v>
      </c>
      <c r="W3639">
        <v>0</v>
      </c>
      <c r="X3639">
        <v>0</v>
      </c>
      <c r="Y3639" s="4">
        <v>2513.79</v>
      </c>
      <c r="Z3639" s="4">
        <v>2513.79</v>
      </c>
      <c r="AA3639" s="4">
        <v>2513.79</v>
      </c>
      <c r="AB3639" s="3">
        <v>42562</v>
      </c>
      <c r="AC3639" t="s">
        <v>53</v>
      </c>
      <c r="AD3639" t="s">
        <v>53</v>
      </c>
      <c r="AK3639">
        <v>0</v>
      </c>
      <c r="AU3639" s="3">
        <v>42426</v>
      </c>
      <c r="AV3639" s="3">
        <v>42426</v>
      </c>
      <c r="AW3639" t="s">
        <v>54</v>
      </c>
      <c r="AX3639" t="str">
        <f t="shared" si="440"/>
        <v>ALTPRO</v>
      </c>
      <c r="AY3639" t="s">
        <v>93</v>
      </c>
    </row>
    <row r="3640" spans="1:51" hidden="1">
      <c r="A3640">
        <v>106467</v>
      </c>
      <c r="B3640" t="s">
        <v>472</v>
      </c>
      <c r="C3640" t="str">
        <f>"07841501211"</f>
        <v>07841501211</v>
      </c>
      <c r="D3640" t="str">
        <f>"RDCDNI84E53L259D"</f>
        <v>RDCDNI84E53L259D</v>
      </c>
      <c r="E3640" t="s">
        <v>52</v>
      </c>
      <c r="F3640">
        <v>2016</v>
      </c>
      <c r="G3640" t="str">
        <f>"         FATTPA 3_16"</f>
        <v xml:space="preserve">         FATTPA 3_16</v>
      </c>
      <c r="H3640" s="3">
        <v>42436</v>
      </c>
      <c r="I3640" s="3">
        <v>42438</v>
      </c>
      <c r="J3640" s="3">
        <v>42437</v>
      </c>
      <c r="K3640" s="3">
        <v>42497</v>
      </c>
      <c r="L3640"/>
      <c r="N3640"/>
      <c r="O3640" s="4">
        <v>2396.14</v>
      </c>
      <c r="P3640">
        <v>-46</v>
      </c>
      <c r="Q3640" s="4">
        <v>-110222.44</v>
      </c>
      <c r="R3640">
        <v>0</v>
      </c>
      <c r="V3640">
        <v>0</v>
      </c>
      <c r="W3640">
        <v>0</v>
      </c>
      <c r="X3640">
        <v>0</v>
      </c>
      <c r="Y3640" s="4">
        <v>2396.14</v>
      </c>
      <c r="Z3640" s="4">
        <v>2396.14</v>
      </c>
      <c r="AA3640" s="4">
        <v>2396.14</v>
      </c>
      <c r="AB3640" s="3">
        <v>42562</v>
      </c>
      <c r="AC3640" t="s">
        <v>53</v>
      </c>
      <c r="AD3640" t="s">
        <v>53</v>
      </c>
      <c r="AK3640">
        <v>0</v>
      </c>
      <c r="AU3640" s="3">
        <v>42451</v>
      </c>
      <c r="AV3640" s="3">
        <v>42451</v>
      </c>
      <c r="AW3640" t="s">
        <v>54</v>
      </c>
      <c r="AX3640" t="str">
        <f t="shared" si="440"/>
        <v>ALTPRO</v>
      </c>
      <c r="AY3640" t="s">
        <v>93</v>
      </c>
    </row>
    <row r="3641" spans="1:51">
      <c r="A3641">
        <v>106467</v>
      </c>
      <c r="B3641" t="s">
        <v>472</v>
      </c>
      <c r="C3641" t="str">
        <f>"07841501211"</f>
        <v>07841501211</v>
      </c>
      <c r="D3641" t="str">
        <f>"RDCDNI84E53L259D"</f>
        <v>RDCDNI84E53L259D</v>
      </c>
      <c r="E3641" t="s">
        <v>52</v>
      </c>
      <c r="F3641">
        <v>2016</v>
      </c>
      <c r="G3641" t="str">
        <f>"         FATTPA 4_16"</f>
        <v xml:space="preserve">         FATTPA 4_16</v>
      </c>
      <c r="H3641" s="3">
        <v>42463</v>
      </c>
      <c r="I3641" s="3">
        <v>42465</v>
      </c>
      <c r="J3641" s="3">
        <v>42464</v>
      </c>
      <c r="K3641" s="3">
        <v>42524</v>
      </c>
      <c r="L3641" s="5">
        <v>2741.36</v>
      </c>
      <c r="M3641">
        <v>-37</v>
      </c>
      <c r="N3641" s="5">
        <v>-101430.32</v>
      </c>
      <c r="O3641" s="4">
        <v>2741.36</v>
      </c>
      <c r="P3641">
        <v>-37</v>
      </c>
      <c r="Q3641" s="4">
        <v>-101430.32</v>
      </c>
      <c r="R3641">
        <v>0</v>
      </c>
      <c r="V3641">
        <v>0</v>
      </c>
      <c r="W3641" s="4">
        <v>2741.36</v>
      </c>
      <c r="X3641" s="4">
        <v>2741.36</v>
      </c>
      <c r="Y3641" s="4">
        <v>2741.36</v>
      </c>
      <c r="Z3641" s="4">
        <v>2741.36</v>
      </c>
      <c r="AA3641" s="4">
        <v>2741.36</v>
      </c>
      <c r="AB3641" s="3">
        <v>42562</v>
      </c>
      <c r="AC3641" t="s">
        <v>53</v>
      </c>
      <c r="AD3641" t="s">
        <v>53</v>
      </c>
      <c r="AK3641">
        <v>0</v>
      </c>
      <c r="AU3641" s="3">
        <v>42487</v>
      </c>
      <c r="AV3641" s="3">
        <v>42487</v>
      </c>
      <c r="AW3641" t="s">
        <v>54</v>
      </c>
      <c r="AX3641" t="str">
        <f t="shared" si="440"/>
        <v>ALTPRO</v>
      </c>
      <c r="AY3641" t="s">
        <v>93</v>
      </c>
    </row>
    <row r="3642" spans="1:51">
      <c r="A3642">
        <v>106467</v>
      </c>
      <c r="B3642" t="s">
        <v>472</v>
      </c>
      <c r="C3642" t="str">
        <f>"07841501211"</f>
        <v>07841501211</v>
      </c>
      <c r="D3642" t="str">
        <f>"RDCDNI84E53L259D"</f>
        <v>RDCDNI84E53L259D</v>
      </c>
      <c r="E3642" t="s">
        <v>52</v>
      </c>
      <c r="F3642">
        <v>2016</v>
      </c>
      <c r="G3642" t="str">
        <f>"         FATTPA 5_16"</f>
        <v xml:space="preserve">         FATTPA 5_16</v>
      </c>
      <c r="H3642" s="3">
        <v>42493</v>
      </c>
      <c r="I3642" s="3">
        <v>42495</v>
      </c>
      <c r="J3642" s="3">
        <v>42493</v>
      </c>
      <c r="K3642" s="3">
        <v>42553</v>
      </c>
      <c r="L3642" s="5">
        <v>2423.35</v>
      </c>
      <c r="M3642">
        <v>-37</v>
      </c>
      <c r="N3642" s="5">
        <v>-89663.95</v>
      </c>
      <c r="O3642" s="4">
        <v>2423.35</v>
      </c>
      <c r="P3642">
        <v>-37</v>
      </c>
      <c r="Q3642" s="4">
        <v>-89663.95</v>
      </c>
      <c r="R3642">
        <v>0</v>
      </c>
      <c r="V3642" s="4">
        <v>2423.35</v>
      </c>
      <c r="W3642" s="4">
        <v>2423.35</v>
      </c>
      <c r="X3642" s="4">
        <v>2423.35</v>
      </c>
      <c r="Y3642" s="4">
        <v>2423.35</v>
      </c>
      <c r="Z3642" s="4">
        <v>2423.35</v>
      </c>
      <c r="AA3642" s="4">
        <v>2423.35</v>
      </c>
      <c r="AB3642" s="3">
        <v>42562</v>
      </c>
      <c r="AC3642" t="s">
        <v>53</v>
      </c>
      <c r="AD3642" t="s">
        <v>53</v>
      </c>
      <c r="AK3642">
        <v>0</v>
      </c>
      <c r="AU3642" s="3">
        <v>42516</v>
      </c>
      <c r="AV3642" s="3">
        <v>42516</v>
      </c>
      <c r="AW3642" t="s">
        <v>54</v>
      </c>
      <c r="AX3642" t="str">
        <f t="shared" si="440"/>
        <v>ALTPRO</v>
      </c>
      <c r="AY3642" t="s">
        <v>93</v>
      </c>
    </row>
    <row r="3643" spans="1:51" hidden="1">
      <c r="A3643">
        <v>106483</v>
      </c>
      <c r="B3643" t="s">
        <v>473</v>
      </c>
      <c r="C3643" t="str">
        <f t="shared" ref="C3643:D3658" si="441">"01587310622"</f>
        <v>01587310622</v>
      </c>
      <c r="D3643" t="str">
        <f t="shared" si="441"/>
        <v>01587310622</v>
      </c>
      <c r="E3643" t="s">
        <v>52</v>
      </c>
      <c r="F3643">
        <v>2015</v>
      </c>
      <c r="G3643" t="str">
        <f>"     000022-2015-FPA"</f>
        <v xml:space="preserve">     000022-2015-FPA</v>
      </c>
      <c r="H3643" s="3">
        <v>42254</v>
      </c>
      <c r="I3643" s="3">
        <v>42257</v>
      </c>
      <c r="J3643" s="3">
        <v>42254</v>
      </c>
      <c r="K3643" s="3">
        <v>42314</v>
      </c>
      <c r="L3643"/>
      <c r="N3643"/>
      <c r="O3643" s="4">
        <v>79689.5</v>
      </c>
      <c r="P3643">
        <v>87</v>
      </c>
      <c r="Q3643" s="4">
        <v>6932986.5</v>
      </c>
      <c r="R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 s="3">
        <v>42562</v>
      </c>
      <c r="AC3643" t="s">
        <v>53</v>
      </c>
      <c r="AD3643" t="s">
        <v>53</v>
      </c>
      <c r="AK3643">
        <v>0</v>
      </c>
      <c r="AU3643" s="3">
        <v>42401</v>
      </c>
      <c r="AV3643" s="3">
        <v>42401</v>
      </c>
      <c r="AW3643" t="s">
        <v>54</v>
      </c>
      <c r="AX3643" t="str">
        <f t="shared" ref="AX3643:AX3658" si="442">"ALT"</f>
        <v>ALT</v>
      </c>
      <c r="AY3643" t="s">
        <v>72</v>
      </c>
    </row>
    <row r="3644" spans="1:51" hidden="1">
      <c r="A3644">
        <v>106483</v>
      </c>
      <c r="B3644" t="s">
        <v>473</v>
      </c>
      <c r="C3644" t="str">
        <f t="shared" si="441"/>
        <v>01587310622</v>
      </c>
      <c r="D3644" t="str">
        <f t="shared" si="441"/>
        <v>01587310622</v>
      </c>
      <c r="E3644" t="s">
        <v>52</v>
      </c>
      <c r="F3644">
        <v>2015</v>
      </c>
      <c r="G3644" t="str">
        <f>"     000023-2015-FPA"</f>
        <v xml:space="preserve">     000023-2015-FPA</v>
      </c>
      <c r="H3644" s="3">
        <v>42254</v>
      </c>
      <c r="I3644" s="3">
        <v>42257</v>
      </c>
      <c r="J3644" s="3">
        <v>42254</v>
      </c>
      <c r="K3644" s="3">
        <v>42314</v>
      </c>
      <c r="L3644"/>
      <c r="N3644"/>
      <c r="O3644" s="4">
        <v>17502</v>
      </c>
      <c r="P3644">
        <v>87</v>
      </c>
      <c r="Q3644" s="4">
        <v>1522674</v>
      </c>
      <c r="R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 s="3">
        <v>42562</v>
      </c>
      <c r="AC3644" t="s">
        <v>53</v>
      </c>
      <c r="AD3644" t="s">
        <v>53</v>
      </c>
      <c r="AK3644">
        <v>0</v>
      </c>
      <c r="AU3644" s="3">
        <v>42401</v>
      </c>
      <c r="AV3644" s="3">
        <v>42401</v>
      </c>
      <c r="AW3644" t="s">
        <v>54</v>
      </c>
      <c r="AX3644" t="str">
        <f t="shared" si="442"/>
        <v>ALT</v>
      </c>
      <c r="AY3644" t="s">
        <v>72</v>
      </c>
    </row>
    <row r="3645" spans="1:51" hidden="1">
      <c r="A3645">
        <v>106483</v>
      </c>
      <c r="B3645" t="s">
        <v>473</v>
      </c>
      <c r="C3645" t="str">
        <f t="shared" si="441"/>
        <v>01587310622</v>
      </c>
      <c r="D3645" t="str">
        <f t="shared" si="441"/>
        <v>01587310622</v>
      </c>
      <c r="E3645" t="s">
        <v>52</v>
      </c>
      <c r="F3645">
        <v>2015</v>
      </c>
      <c r="G3645" t="str">
        <f>"     000024-2015-FPA"</f>
        <v xml:space="preserve">     000024-2015-FPA</v>
      </c>
      <c r="H3645" s="3">
        <v>42254</v>
      </c>
      <c r="I3645" s="3">
        <v>42257</v>
      </c>
      <c r="J3645" s="3">
        <v>42254</v>
      </c>
      <c r="K3645" s="3">
        <v>42314</v>
      </c>
      <c r="L3645"/>
      <c r="N3645"/>
      <c r="O3645" s="4">
        <v>2260</v>
      </c>
      <c r="P3645">
        <v>87</v>
      </c>
      <c r="Q3645" s="4">
        <v>196620</v>
      </c>
      <c r="R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 s="3">
        <v>42562</v>
      </c>
      <c r="AC3645" t="s">
        <v>53</v>
      </c>
      <c r="AD3645" t="s">
        <v>53</v>
      </c>
      <c r="AK3645">
        <v>0</v>
      </c>
      <c r="AU3645" s="3">
        <v>42401</v>
      </c>
      <c r="AV3645" s="3">
        <v>42401</v>
      </c>
      <c r="AW3645" t="s">
        <v>54</v>
      </c>
      <c r="AX3645" t="str">
        <f t="shared" si="442"/>
        <v>ALT</v>
      </c>
      <c r="AY3645" t="s">
        <v>72</v>
      </c>
    </row>
    <row r="3646" spans="1:51" hidden="1">
      <c r="A3646">
        <v>106483</v>
      </c>
      <c r="B3646" t="s">
        <v>473</v>
      </c>
      <c r="C3646" t="str">
        <f t="shared" si="441"/>
        <v>01587310622</v>
      </c>
      <c r="D3646" t="str">
        <f t="shared" si="441"/>
        <v>01587310622</v>
      </c>
      <c r="E3646" t="s">
        <v>52</v>
      </c>
      <c r="F3646">
        <v>2015</v>
      </c>
      <c r="G3646" t="str">
        <f>"     000026-2015-FPA"</f>
        <v xml:space="preserve">     000026-2015-FPA</v>
      </c>
      <c r="H3646" s="3">
        <v>42278</v>
      </c>
      <c r="I3646" s="3">
        <v>42283</v>
      </c>
      <c r="J3646" s="3">
        <v>42278</v>
      </c>
      <c r="K3646" s="3">
        <v>42338</v>
      </c>
      <c r="L3646"/>
      <c r="N3646"/>
      <c r="O3646" s="4">
        <v>79689.5</v>
      </c>
      <c r="P3646">
        <v>94</v>
      </c>
      <c r="Q3646" s="4">
        <v>7490813</v>
      </c>
      <c r="R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 s="3">
        <v>42562</v>
      </c>
      <c r="AC3646" t="s">
        <v>53</v>
      </c>
      <c r="AD3646" t="s">
        <v>53</v>
      </c>
      <c r="AK3646">
        <v>0</v>
      </c>
      <c r="AU3646" s="3">
        <v>42432</v>
      </c>
      <c r="AV3646" s="3">
        <v>42432</v>
      </c>
      <c r="AW3646" t="s">
        <v>54</v>
      </c>
      <c r="AX3646" t="str">
        <f t="shared" si="442"/>
        <v>ALT</v>
      </c>
      <c r="AY3646" t="s">
        <v>72</v>
      </c>
    </row>
    <row r="3647" spans="1:51" hidden="1">
      <c r="A3647">
        <v>106483</v>
      </c>
      <c r="B3647" t="s">
        <v>473</v>
      </c>
      <c r="C3647" t="str">
        <f t="shared" si="441"/>
        <v>01587310622</v>
      </c>
      <c r="D3647" t="str">
        <f t="shared" si="441"/>
        <v>01587310622</v>
      </c>
      <c r="E3647" t="s">
        <v>52</v>
      </c>
      <c r="F3647">
        <v>2015</v>
      </c>
      <c r="G3647" t="str">
        <f>"     000027-2015-FPA"</f>
        <v xml:space="preserve">     000027-2015-FPA</v>
      </c>
      <c r="H3647" s="3">
        <v>42278</v>
      </c>
      <c r="I3647" s="3">
        <v>42283</v>
      </c>
      <c r="J3647" s="3">
        <v>42278</v>
      </c>
      <c r="K3647" s="3">
        <v>42338</v>
      </c>
      <c r="L3647"/>
      <c r="N3647"/>
      <c r="O3647" s="4">
        <v>17502</v>
      </c>
      <c r="P3647">
        <v>94</v>
      </c>
      <c r="Q3647" s="4">
        <v>1645188</v>
      </c>
      <c r="R3647">
        <v>0</v>
      </c>
      <c r="V3647">
        <v>0</v>
      </c>
      <c r="W3647">
        <v>0</v>
      </c>
      <c r="X3647">
        <v>0</v>
      </c>
      <c r="Y3647">
        <v>0</v>
      </c>
      <c r="Z3647">
        <v>0</v>
      </c>
      <c r="AA3647">
        <v>0</v>
      </c>
      <c r="AB3647" s="3">
        <v>42562</v>
      </c>
      <c r="AC3647" t="s">
        <v>53</v>
      </c>
      <c r="AD3647" t="s">
        <v>53</v>
      </c>
      <c r="AK3647">
        <v>0</v>
      </c>
      <c r="AU3647" s="3">
        <v>42432</v>
      </c>
      <c r="AV3647" s="3">
        <v>42432</v>
      </c>
      <c r="AW3647" t="s">
        <v>54</v>
      </c>
      <c r="AX3647" t="str">
        <f t="shared" si="442"/>
        <v>ALT</v>
      </c>
      <c r="AY3647" t="s">
        <v>72</v>
      </c>
    </row>
    <row r="3648" spans="1:51" hidden="1">
      <c r="A3648">
        <v>106483</v>
      </c>
      <c r="B3648" t="s">
        <v>473</v>
      </c>
      <c r="C3648" t="str">
        <f t="shared" si="441"/>
        <v>01587310622</v>
      </c>
      <c r="D3648" t="str">
        <f t="shared" si="441"/>
        <v>01587310622</v>
      </c>
      <c r="E3648" t="s">
        <v>52</v>
      </c>
      <c r="F3648">
        <v>2015</v>
      </c>
      <c r="G3648" t="str">
        <f>"     000028-2015-FPA"</f>
        <v xml:space="preserve">     000028-2015-FPA</v>
      </c>
      <c r="H3648" s="3">
        <v>42282</v>
      </c>
      <c r="I3648" s="3">
        <v>42283</v>
      </c>
      <c r="J3648" s="3">
        <v>42282</v>
      </c>
      <c r="K3648" s="3">
        <v>42342</v>
      </c>
      <c r="L3648"/>
      <c r="N3648"/>
      <c r="O3648" s="4">
        <v>3777</v>
      </c>
      <c r="P3648">
        <v>90</v>
      </c>
      <c r="Q3648" s="4">
        <v>339930</v>
      </c>
      <c r="R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 s="3">
        <v>42562</v>
      </c>
      <c r="AC3648" t="s">
        <v>53</v>
      </c>
      <c r="AD3648" t="s">
        <v>53</v>
      </c>
      <c r="AK3648">
        <v>0</v>
      </c>
      <c r="AU3648" s="3">
        <v>42432</v>
      </c>
      <c r="AV3648" s="3">
        <v>42432</v>
      </c>
      <c r="AW3648" t="s">
        <v>54</v>
      </c>
      <c r="AX3648" t="str">
        <f t="shared" si="442"/>
        <v>ALT</v>
      </c>
      <c r="AY3648" t="s">
        <v>72</v>
      </c>
    </row>
    <row r="3649" spans="1:51" hidden="1">
      <c r="A3649">
        <v>106483</v>
      </c>
      <c r="B3649" t="s">
        <v>473</v>
      </c>
      <c r="C3649" t="str">
        <f t="shared" si="441"/>
        <v>01587310622</v>
      </c>
      <c r="D3649" t="str">
        <f t="shared" si="441"/>
        <v>01587310622</v>
      </c>
      <c r="E3649" t="s">
        <v>52</v>
      </c>
      <c r="F3649">
        <v>2015</v>
      </c>
      <c r="G3649" t="str">
        <f>"     000030-2015-FPA"</f>
        <v xml:space="preserve">     000030-2015-FPA</v>
      </c>
      <c r="H3649" s="3">
        <v>42311</v>
      </c>
      <c r="I3649" s="3">
        <v>42325</v>
      </c>
      <c r="J3649" s="3">
        <v>42311</v>
      </c>
      <c r="K3649" s="3">
        <v>42371</v>
      </c>
      <c r="L3649"/>
      <c r="N3649"/>
      <c r="O3649" s="4">
        <v>79689.5</v>
      </c>
      <c r="P3649">
        <v>82</v>
      </c>
      <c r="Q3649" s="4">
        <v>6534539</v>
      </c>
      <c r="R3649">
        <v>0</v>
      </c>
      <c r="V3649">
        <v>0</v>
      </c>
      <c r="W3649">
        <v>0</v>
      </c>
      <c r="X3649">
        <v>0</v>
      </c>
      <c r="Y3649">
        <v>0</v>
      </c>
      <c r="Z3649">
        <v>0</v>
      </c>
      <c r="AA3649">
        <v>0</v>
      </c>
      <c r="AB3649" s="3">
        <v>42562</v>
      </c>
      <c r="AC3649" t="s">
        <v>53</v>
      </c>
      <c r="AD3649" t="s">
        <v>53</v>
      </c>
      <c r="AK3649">
        <v>0</v>
      </c>
      <c r="AU3649" s="3">
        <v>42453</v>
      </c>
      <c r="AV3649" s="3">
        <v>42453</v>
      </c>
      <c r="AW3649" t="s">
        <v>54</v>
      </c>
      <c r="AX3649" t="str">
        <f t="shared" si="442"/>
        <v>ALT</v>
      </c>
      <c r="AY3649" t="s">
        <v>72</v>
      </c>
    </row>
    <row r="3650" spans="1:51" hidden="1">
      <c r="A3650">
        <v>106483</v>
      </c>
      <c r="B3650" t="s">
        <v>473</v>
      </c>
      <c r="C3650" t="str">
        <f t="shared" si="441"/>
        <v>01587310622</v>
      </c>
      <c r="D3650" t="str">
        <f t="shared" si="441"/>
        <v>01587310622</v>
      </c>
      <c r="E3650" t="s">
        <v>52</v>
      </c>
      <c r="F3650">
        <v>2015</v>
      </c>
      <c r="G3650" t="str">
        <f>"     000031-2015-FPA"</f>
        <v xml:space="preserve">     000031-2015-FPA</v>
      </c>
      <c r="H3650" s="3">
        <v>42319</v>
      </c>
      <c r="I3650" s="3">
        <v>42325</v>
      </c>
      <c r="J3650" s="3">
        <v>42319</v>
      </c>
      <c r="K3650" s="3">
        <v>42379</v>
      </c>
      <c r="L3650"/>
      <c r="N3650"/>
      <c r="O3650" s="4">
        <v>2642.75</v>
      </c>
      <c r="P3650">
        <v>74</v>
      </c>
      <c r="Q3650" s="4">
        <v>195563.5</v>
      </c>
      <c r="R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 s="3">
        <v>42562</v>
      </c>
      <c r="AC3650" t="s">
        <v>53</v>
      </c>
      <c r="AD3650" t="s">
        <v>53</v>
      </c>
      <c r="AK3650">
        <v>0</v>
      </c>
      <c r="AU3650" s="3">
        <v>42453</v>
      </c>
      <c r="AV3650" s="3">
        <v>42453</v>
      </c>
      <c r="AW3650" t="s">
        <v>54</v>
      </c>
      <c r="AX3650" t="str">
        <f t="shared" si="442"/>
        <v>ALT</v>
      </c>
      <c r="AY3650" t="s">
        <v>72</v>
      </c>
    </row>
    <row r="3651" spans="1:51">
      <c r="A3651">
        <v>106483</v>
      </c>
      <c r="B3651" t="s">
        <v>473</v>
      </c>
      <c r="C3651" t="str">
        <f t="shared" si="441"/>
        <v>01587310622</v>
      </c>
      <c r="D3651" t="str">
        <f t="shared" si="441"/>
        <v>01587310622</v>
      </c>
      <c r="E3651" t="s">
        <v>52</v>
      </c>
      <c r="F3651">
        <v>2015</v>
      </c>
      <c r="G3651" t="str">
        <f>"     000035-2015-FPA"</f>
        <v xml:space="preserve">     000035-2015-FPA</v>
      </c>
      <c r="H3651" s="3">
        <v>42339</v>
      </c>
      <c r="I3651" s="3">
        <v>42345</v>
      </c>
      <c r="J3651" s="3">
        <v>42345</v>
      </c>
      <c r="K3651" s="3">
        <v>42405</v>
      </c>
      <c r="L3651" s="5">
        <v>79689.5</v>
      </c>
      <c r="M3651">
        <v>66</v>
      </c>
      <c r="N3651" s="5">
        <v>5259507</v>
      </c>
      <c r="O3651" s="4">
        <v>79689.5</v>
      </c>
      <c r="P3651">
        <v>66</v>
      </c>
      <c r="Q3651" s="4">
        <v>5259507</v>
      </c>
      <c r="R3651">
        <v>0</v>
      </c>
      <c r="V3651">
        <v>0</v>
      </c>
      <c r="W3651">
        <v>0</v>
      </c>
      <c r="X3651">
        <v>0</v>
      </c>
      <c r="Y3651">
        <v>0</v>
      </c>
      <c r="Z3651">
        <v>0</v>
      </c>
      <c r="AA3651">
        <v>0</v>
      </c>
      <c r="AB3651" s="3">
        <v>42562</v>
      </c>
      <c r="AC3651" t="s">
        <v>53</v>
      </c>
      <c r="AD3651" t="s">
        <v>53</v>
      </c>
      <c r="AK3651">
        <v>0</v>
      </c>
      <c r="AU3651" s="3">
        <v>42471</v>
      </c>
      <c r="AV3651" s="3">
        <v>42471</v>
      </c>
      <c r="AW3651" t="s">
        <v>54</v>
      </c>
      <c r="AX3651" t="str">
        <f t="shared" si="442"/>
        <v>ALT</v>
      </c>
      <c r="AY3651" t="s">
        <v>72</v>
      </c>
    </row>
    <row r="3652" spans="1:51">
      <c r="A3652">
        <v>106483</v>
      </c>
      <c r="B3652" t="s">
        <v>473</v>
      </c>
      <c r="C3652" t="str">
        <f t="shared" si="441"/>
        <v>01587310622</v>
      </c>
      <c r="D3652" t="str">
        <f t="shared" si="441"/>
        <v>01587310622</v>
      </c>
      <c r="E3652" t="s">
        <v>52</v>
      </c>
      <c r="F3652">
        <v>2015</v>
      </c>
      <c r="G3652" t="str">
        <f>"     000036-2015-FPA"</f>
        <v xml:space="preserve">     000036-2015-FPA</v>
      </c>
      <c r="H3652" s="3">
        <v>42347</v>
      </c>
      <c r="I3652" s="3">
        <v>42352</v>
      </c>
      <c r="J3652" s="3">
        <v>42347</v>
      </c>
      <c r="K3652" s="3">
        <v>42407</v>
      </c>
      <c r="L3652" s="5">
        <v>17502</v>
      </c>
      <c r="M3652">
        <v>64</v>
      </c>
      <c r="N3652" s="5">
        <v>1120128</v>
      </c>
      <c r="O3652" s="4">
        <v>17502</v>
      </c>
      <c r="P3652">
        <v>64</v>
      </c>
      <c r="Q3652" s="4">
        <v>1120128</v>
      </c>
      <c r="R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  <c r="AB3652" s="3">
        <v>42562</v>
      </c>
      <c r="AC3652" t="s">
        <v>53</v>
      </c>
      <c r="AD3652" t="s">
        <v>53</v>
      </c>
      <c r="AK3652">
        <v>0</v>
      </c>
      <c r="AU3652" s="3">
        <v>42471</v>
      </c>
      <c r="AV3652" s="3">
        <v>42471</v>
      </c>
      <c r="AW3652" t="s">
        <v>54</v>
      </c>
      <c r="AX3652" t="str">
        <f t="shared" si="442"/>
        <v>ALT</v>
      </c>
      <c r="AY3652" t="s">
        <v>72</v>
      </c>
    </row>
    <row r="3653" spans="1:51">
      <c r="A3653">
        <v>106483</v>
      </c>
      <c r="B3653" t="s">
        <v>473</v>
      </c>
      <c r="C3653" t="str">
        <f t="shared" si="441"/>
        <v>01587310622</v>
      </c>
      <c r="D3653" t="str">
        <f t="shared" si="441"/>
        <v>01587310622</v>
      </c>
      <c r="E3653" t="s">
        <v>52</v>
      </c>
      <c r="F3653">
        <v>2015</v>
      </c>
      <c r="G3653" t="str">
        <f>"     000037-2015-FPA"</f>
        <v xml:space="preserve">     000037-2015-FPA</v>
      </c>
      <c r="H3653" s="3">
        <v>42347</v>
      </c>
      <c r="I3653" s="3">
        <v>42352</v>
      </c>
      <c r="J3653" s="3">
        <v>42347</v>
      </c>
      <c r="K3653" s="3">
        <v>42407</v>
      </c>
      <c r="L3653" s="5">
        <v>17502</v>
      </c>
      <c r="M3653">
        <v>64</v>
      </c>
      <c r="N3653" s="5">
        <v>1120128</v>
      </c>
      <c r="O3653" s="4">
        <v>17502</v>
      </c>
      <c r="P3653">
        <v>64</v>
      </c>
      <c r="Q3653" s="4">
        <v>1120128</v>
      </c>
      <c r="R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 s="3">
        <v>42562</v>
      </c>
      <c r="AC3653" t="s">
        <v>53</v>
      </c>
      <c r="AD3653" t="s">
        <v>53</v>
      </c>
      <c r="AK3653">
        <v>0</v>
      </c>
      <c r="AU3653" s="3">
        <v>42471</v>
      </c>
      <c r="AV3653" s="3">
        <v>42471</v>
      </c>
      <c r="AW3653" t="s">
        <v>54</v>
      </c>
      <c r="AX3653" t="str">
        <f t="shared" si="442"/>
        <v>ALT</v>
      </c>
      <c r="AY3653" t="s">
        <v>72</v>
      </c>
    </row>
    <row r="3654" spans="1:51">
      <c r="A3654">
        <v>106483</v>
      </c>
      <c r="B3654" t="s">
        <v>473</v>
      </c>
      <c r="C3654" t="str">
        <f t="shared" si="441"/>
        <v>01587310622</v>
      </c>
      <c r="D3654" t="str">
        <f t="shared" si="441"/>
        <v>01587310622</v>
      </c>
      <c r="E3654" t="s">
        <v>52</v>
      </c>
      <c r="F3654">
        <v>2015</v>
      </c>
      <c r="G3654" t="str">
        <f>"     000038-2015-FPA"</f>
        <v xml:space="preserve">     000038-2015-FPA</v>
      </c>
      <c r="H3654" s="3">
        <v>42352</v>
      </c>
      <c r="I3654" s="3">
        <v>42356</v>
      </c>
      <c r="J3654" s="3">
        <v>42352</v>
      </c>
      <c r="K3654" s="3">
        <v>42412</v>
      </c>
      <c r="L3654" s="5">
        <v>4112.75</v>
      </c>
      <c r="M3654">
        <v>59</v>
      </c>
      <c r="N3654" s="5">
        <v>242652.25</v>
      </c>
      <c r="O3654" s="4">
        <v>4112.75</v>
      </c>
      <c r="P3654">
        <v>59</v>
      </c>
      <c r="Q3654" s="4">
        <v>242652.25</v>
      </c>
      <c r="R3654">
        <v>0</v>
      </c>
      <c r="V3654">
        <v>0</v>
      </c>
      <c r="W3654">
        <v>0</v>
      </c>
      <c r="X3654">
        <v>0</v>
      </c>
      <c r="Y3654">
        <v>0</v>
      </c>
      <c r="Z3654">
        <v>0</v>
      </c>
      <c r="AA3654">
        <v>0</v>
      </c>
      <c r="AB3654" s="3">
        <v>42562</v>
      </c>
      <c r="AC3654" t="s">
        <v>53</v>
      </c>
      <c r="AD3654" t="s">
        <v>53</v>
      </c>
      <c r="AK3654">
        <v>0</v>
      </c>
      <c r="AU3654" s="3">
        <v>42471</v>
      </c>
      <c r="AV3654" s="3">
        <v>42471</v>
      </c>
      <c r="AW3654" t="s">
        <v>54</v>
      </c>
      <c r="AX3654" t="str">
        <f t="shared" si="442"/>
        <v>ALT</v>
      </c>
      <c r="AY3654" t="s">
        <v>72</v>
      </c>
    </row>
    <row r="3655" spans="1:51">
      <c r="A3655">
        <v>106483</v>
      </c>
      <c r="B3655" t="s">
        <v>473</v>
      </c>
      <c r="C3655" t="str">
        <f t="shared" si="441"/>
        <v>01587310622</v>
      </c>
      <c r="D3655" t="str">
        <f t="shared" si="441"/>
        <v>01587310622</v>
      </c>
      <c r="E3655" t="s">
        <v>52</v>
      </c>
      <c r="F3655">
        <v>2015</v>
      </c>
      <c r="G3655" t="str">
        <f>"     000039-2015-FPA"</f>
        <v xml:space="preserve">     000039-2015-FPA</v>
      </c>
      <c r="H3655" s="3">
        <v>42369</v>
      </c>
      <c r="I3655" s="3">
        <v>42369</v>
      </c>
      <c r="J3655" s="3">
        <v>42369</v>
      </c>
      <c r="K3655" s="3">
        <v>42429</v>
      </c>
      <c r="L3655" s="5">
        <v>79689.5</v>
      </c>
      <c r="M3655">
        <v>99</v>
      </c>
      <c r="N3655" s="5">
        <v>7889260.5</v>
      </c>
      <c r="O3655" s="4">
        <v>79689.5</v>
      </c>
      <c r="P3655">
        <v>99</v>
      </c>
      <c r="Q3655" s="4">
        <v>7889260.5</v>
      </c>
      <c r="R3655">
        <v>0</v>
      </c>
      <c r="V3655">
        <v>0</v>
      </c>
      <c r="W3655">
        <v>0</v>
      </c>
      <c r="X3655">
        <v>0</v>
      </c>
      <c r="Y3655">
        <v>0</v>
      </c>
      <c r="Z3655">
        <v>0</v>
      </c>
      <c r="AA3655">
        <v>0</v>
      </c>
      <c r="AB3655" s="3">
        <v>42562</v>
      </c>
      <c r="AC3655" t="s">
        <v>53</v>
      </c>
      <c r="AD3655" t="s">
        <v>53</v>
      </c>
      <c r="AK3655">
        <v>0</v>
      </c>
      <c r="AU3655" s="3">
        <v>42528</v>
      </c>
      <c r="AV3655" s="3">
        <v>42528</v>
      </c>
      <c r="AW3655" t="s">
        <v>54</v>
      </c>
      <c r="AX3655" t="str">
        <f t="shared" si="442"/>
        <v>ALT</v>
      </c>
      <c r="AY3655" t="s">
        <v>72</v>
      </c>
    </row>
    <row r="3656" spans="1:51">
      <c r="A3656">
        <v>106483</v>
      </c>
      <c r="B3656" t="s">
        <v>473</v>
      </c>
      <c r="C3656" t="str">
        <f t="shared" si="441"/>
        <v>01587310622</v>
      </c>
      <c r="D3656" t="str">
        <f t="shared" si="441"/>
        <v>01587310622</v>
      </c>
      <c r="E3656" t="s">
        <v>52</v>
      </c>
      <c r="F3656">
        <v>2015</v>
      </c>
      <c r="G3656" t="str">
        <f>"     000040-2015-FPA"</f>
        <v xml:space="preserve">     000040-2015-FPA</v>
      </c>
      <c r="H3656" s="3">
        <v>42369</v>
      </c>
      <c r="I3656" s="3">
        <v>42369</v>
      </c>
      <c r="J3656" s="3">
        <v>42369</v>
      </c>
      <c r="K3656" s="3">
        <v>42429</v>
      </c>
      <c r="L3656" s="5">
        <v>17502</v>
      </c>
      <c r="M3656">
        <v>99</v>
      </c>
      <c r="N3656" s="5">
        <v>1732698</v>
      </c>
      <c r="O3656" s="4">
        <v>17502</v>
      </c>
      <c r="P3656">
        <v>99</v>
      </c>
      <c r="Q3656" s="4">
        <v>1732698</v>
      </c>
      <c r="R3656">
        <v>0</v>
      </c>
      <c r="V3656">
        <v>0</v>
      </c>
      <c r="W3656">
        <v>0</v>
      </c>
      <c r="X3656">
        <v>0</v>
      </c>
      <c r="Y3656">
        <v>0</v>
      </c>
      <c r="Z3656">
        <v>0</v>
      </c>
      <c r="AA3656">
        <v>0</v>
      </c>
      <c r="AB3656" s="3">
        <v>42562</v>
      </c>
      <c r="AC3656" t="s">
        <v>53</v>
      </c>
      <c r="AD3656" t="s">
        <v>53</v>
      </c>
      <c r="AK3656">
        <v>0</v>
      </c>
      <c r="AU3656" s="3">
        <v>42528</v>
      </c>
      <c r="AV3656" s="3">
        <v>42528</v>
      </c>
      <c r="AW3656" t="s">
        <v>54</v>
      </c>
      <c r="AX3656" t="str">
        <f t="shared" si="442"/>
        <v>ALT</v>
      </c>
      <c r="AY3656" t="s">
        <v>72</v>
      </c>
    </row>
    <row r="3657" spans="1:51">
      <c r="A3657">
        <v>106483</v>
      </c>
      <c r="B3657" t="s">
        <v>473</v>
      </c>
      <c r="C3657" t="str">
        <f t="shared" si="441"/>
        <v>01587310622</v>
      </c>
      <c r="D3657" t="str">
        <f t="shared" si="441"/>
        <v>01587310622</v>
      </c>
      <c r="E3657" t="s">
        <v>52</v>
      </c>
      <c r="F3657">
        <v>2015</v>
      </c>
      <c r="G3657" t="str">
        <f>"     000041-2015-FPA"</f>
        <v xml:space="preserve">     000041-2015-FPA</v>
      </c>
      <c r="H3657" s="3">
        <v>42369</v>
      </c>
      <c r="I3657" s="3">
        <v>42369</v>
      </c>
      <c r="J3657" s="3">
        <v>42369</v>
      </c>
      <c r="K3657" s="3">
        <v>42429</v>
      </c>
      <c r="L3657" s="5">
        <v>3761.25</v>
      </c>
      <c r="M3657">
        <v>99</v>
      </c>
      <c r="N3657" s="5">
        <v>372363.75</v>
      </c>
      <c r="O3657" s="4">
        <v>3761.25</v>
      </c>
      <c r="P3657">
        <v>99</v>
      </c>
      <c r="Q3657" s="4">
        <v>372363.75</v>
      </c>
      <c r="R3657">
        <v>0</v>
      </c>
      <c r="V3657">
        <v>0</v>
      </c>
      <c r="W3657">
        <v>0</v>
      </c>
      <c r="X3657">
        <v>0</v>
      </c>
      <c r="Y3657">
        <v>0</v>
      </c>
      <c r="Z3657">
        <v>0</v>
      </c>
      <c r="AA3657">
        <v>0</v>
      </c>
      <c r="AB3657" s="3">
        <v>42562</v>
      </c>
      <c r="AC3657" t="s">
        <v>53</v>
      </c>
      <c r="AD3657" t="s">
        <v>53</v>
      </c>
      <c r="AK3657">
        <v>0</v>
      </c>
      <c r="AU3657" s="3">
        <v>42528</v>
      </c>
      <c r="AV3657" s="3">
        <v>42528</v>
      </c>
      <c r="AW3657" t="s">
        <v>54</v>
      </c>
      <c r="AX3657" t="str">
        <f t="shared" si="442"/>
        <v>ALT</v>
      </c>
      <c r="AY3657" t="s">
        <v>72</v>
      </c>
    </row>
    <row r="3658" spans="1:51">
      <c r="A3658">
        <v>106483</v>
      </c>
      <c r="B3658" t="s">
        <v>473</v>
      </c>
      <c r="C3658" t="str">
        <f t="shared" si="441"/>
        <v>01587310622</v>
      </c>
      <c r="D3658" t="str">
        <f t="shared" si="441"/>
        <v>01587310622</v>
      </c>
      <c r="E3658" t="s">
        <v>52</v>
      </c>
      <c r="F3658">
        <v>2016</v>
      </c>
      <c r="G3658" t="str">
        <f>"                 105"</f>
        <v xml:space="preserve">                 105</v>
      </c>
      <c r="H3658" s="3">
        <v>42489</v>
      </c>
      <c r="I3658" s="3">
        <v>42489</v>
      </c>
      <c r="J3658" s="3">
        <v>42489</v>
      </c>
      <c r="K3658" s="3">
        <v>42549</v>
      </c>
      <c r="L3658" s="5">
        <v>7268</v>
      </c>
      <c r="M3658">
        <v>-21</v>
      </c>
      <c r="N3658" s="5">
        <v>-152628</v>
      </c>
      <c r="O3658" s="4">
        <v>7268</v>
      </c>
      <c r="P3658">
        <v>-21</v>
      </c>
      <c r="Q3658" s="4">
        <v>-152628</v>
      </c>
      <c r="R3658">
        <v>0</v>
      </c>
      <c r="V3658" s="4">
        <v>7268</v>
      </c>
      <c r="W3658" s="4">
        <v>7268</v>
      </c>
      <c r="X3658" s="4">
        <v>7268</v>
      </c>
      <c r="Y3658" s="4">
        <v>7268</v>
      </c>
      <c r="Z3658" s="4">
        <v>7268</v>
      </c>
      <c r="AA3658" s="4">
        <v>7268</v>
      </c>
      <c r="AB3658" s="3">
        <v>42562</v>
      </c>
      <c r="AC3658" t="s">
        <v>53</v>
      </c>
      <c r="AD3658" t="s">
        <v>53</v>
      </c>
      <c r="AK3658">
        <v>0</v>
      </c>
      <c r="AU3658" s="3">
        <v>42528</v>
      </c>
      <c r="AV3658" s="3">
        <v>42528</v>
      </c>
      <c r="AW3658" t="s">
        <v>54</v>
      </c>
      <c r="AX3658" t="str">
        <f t="shared" si="442"/>
        <v>ALT</v>
      </c>
      <c r="AY3658" t="s">
        <v>72</v>
      </c>
    </row>
    <row r="3659" spans="1:51">
      <c r="A3659">
        <v>106488</v>
      </c>
      <c r="B3659" t="s">
        <v>474</v>
      </c>
      <c r="C3659" t="str">
        <f>""</f>
        <v/>
      </c>
      <c r="D3659" t="str">
        <f>""</f>
        <v/>
      </c>
      <c r="E3659" t="s">
        <v>52</v>
      </c>
      <c r="F3659">
        <v>2015</v>
      </c>
      <c r="G3659" t="str">
        <f>"            56050560"</f>
        <v xml:space="preserve">            56050560</v>
      </c>
      <c r="H3659" s="3">
        <v>42082</v>
      </c>
      <c r="I3659" s="3">
        <v>42115</v>
      </c>
      <c r="J3659" s="3">
        <v>42115</v>
      </c>
      <c r="K3659" s="3">
        <v>42175</v>
      </c>
      <c r="L3659" s="5">
        <v>1092</v>
      </c>
      <c r="M3659">
        <v>345</v>
      </c>
      <c r="N3659" s="5">
        <v>376740</v>
      </c>
      <c r="O3659" s="4">
        <v>1092</v>
      </c>
      <c r="P3659">
        <v>345</v>
      </c>
      <c r="Q3659" s="4">
        <v>376740</v>
      </c>
      <c r="R3659">
        <v>21</v>
      </c>
      <c r="V3659">
        <v>0</v>
      </c>
      <c r="W3659">
        <v>0</v>
      </c>
      <c r="X3659">
        <v>0</v>
      </c>
      <c r="Y3659">
        <v>0</v>
      </c>
      <c r="Z3659">
        <v>0</v>
      </c>
      <c r="AA3659">
        <v>0</v>
      </c>
      <c r="AB3659" s="3">
        <v>42562</v>
      </c>
      <c r="AC3659" t="s">
        <v>53</v>
      </c>
      <c r="AD3659" t="s">
        <v>53</v>
      </c>
      <c r="AK3659">
        <v>21</v>
      </c>
      <c r="AU3659" s="3">
        <v>42520</v>
      </c>
      <c r="AV3659" s="3">
        <v>42520</v>
      </c>
      <c r="AW3659" t="s">
        <v>54</v>
      </c>
      <c r="AX3659" t="str">
        <f t="shared" ref="AX3659:AX3687" si="443">"FOR"</f>
        <v>FOR</v>
      </c>
      <c r="AY3659" t="s">
        <v>55</v>
      </c>
    </row>
    <row r="3660" spans="1:51">
      <c r="A3660">
        <v>106488</v>
      </c>
      <c r="B3660" t="s">
        <v>474</v>
      </c>
      <c r="C3660" t="str">
        <f>""</f>
        <v/>
      </c>
      <c r="D3660" t="str">
        <f>""</f>
        <v/>
      </c>
      <c r="E3660" t="s">
        <v>52</v>
      </c>
      <c r="F3660">
        <v>2015</v>
      </c>
      <c r="G3660" t="str">
        <f>"            56050929"</f>
        <v xml:space="preserve">            56050929</v>
      </c>
      <c r="H3660" s="3">
        <v>42128</v>
      </c>
      <c r="I3660" s="3">
        <v>42143</v>
      </c>
      <c r="J3660" s="3">
        <v>42143</v>
      </c>
      <c r="K3660" s="3">
        <v>42203</v>
      </c>
      <c r="L3660" s="5">
        <v>1092</v>
      </c>
      <c r="M3660">
        <v>317</v>
      </c>
      <c r="N3660" s="5">
        <v>346164</v>
      </c>
      <c r="O3660" s="4">
        <v>1092</v>
      </c>
      <c r="P3660">
        <v>317</v>
      </c>
      <c r="Q3660" s="4">
        <v>346164</v>
      </c>
      <c r="R3660">
        <v>21</v>
      </c>
      <c r="V3660">
        <v>0</v>
      </c>
      <c r="W3660">
        <v>0</v>
      </c>
      <c r="X3660">
        <v>0</v>
      </c>
      <c r="Y3660">
        <v>0</v>
      </c>
      <c r="Z3660">
        <v>0</v>
      </c>
      <c r="AA3660">
        <v>0</v>
      </c>
      <c r="AB3660" s="3">
        <v>42562</v>
      </c>
      <c r="AC3660" t="s">
        <v>53</v>
      </c>
      <c r="AD3660" t="s">
        <v>53</v>
      </c>
      <c r="AK3660">
        <v>21</v>
      </c>
      <c r="AU3660" s="3">
        <v>42520</v>
      </c>
      <c r="AV3660" s="3">
        <v>42520</v>
      </c>
      <c r="AW3660" t="s">
        <v>54</v>
      </c>
      <c r="AX3660" t="str">
        <f t="shared" si="443"/>
        <v>FOR</v>
      </c>
      <c r="AY3660" t="s">
        <v>55</v>
      </c>
    </row>
    <row r="3661" spans="1:51">
      <c r="A3661">
        <v>106488</v>
      </c>
      <c r="B3661" t="s">
        <v>474</v>
      </c>
      <c r="C3661" t="str">
        <f>""</f>
        <v/>
      </c>
      <c r="D3661" t="str">
        <f>""</f>
        <v/>
      </c>
      <c r="E3661" t="s">
        <v>52</v>
      </c>
      <c r="F3661">
        <v>2015</v>
      </c>
      <c r="G3661" t="str">
        <f>"            56050985"</f>
        <v xml:space="preserve">            56050985</v>
      </c>
      <c r="H3661" s="3">
        <v>42132</v>
      </c>
      <c r="I3661" s="3">
        <v>42143</v>
      </c>
      <c r="J3661" s="3">
        <v>42143</v>
      </c>
      <c r="K3661" s="3">
        <v>42203</v>
      </c>
      <c r="L3661" s="5">
        <v>1092</v>
      </c>
      <c r="M3661">
        <v>317</v>
      </c>
      <c r="N3661" s="5">
        <v>346164</v>
      </c>
      <c r="O3661" s="4">
        <v>1092</v>
      </c>
      <c r="P3661">
        <v>317</v>
      </c>
      <c r="Q3661" s="4">
        <v>346164</v>
      </c>
      <c r="R3661">
        <v>21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 s="3">
        <v>42562</v>
      </c>
      <c r="AC3661" t="s">
        <v>53</v>
      </c>
      <c r="AD3661" t="s">
        <v>53</v>
      </c>
      <c r="AK3661">
        <v>21</v>
      </c>
      <c r="AU3661" s="3">
        <v>42520</v>
      </c>
      <c r="AV3661" s="3">
        <v>42520</v>
      </c>
      <c r="AW3661" t="s">
        <v>54</v>
      </c>
      <c r="AX3661" t="str">
        <f t="shared" si="443"/>
        <v>FOR</v>
      </c>
      <c r="AY3661" t="s">
        <v>55</v>
      </c>
    </row>
    <row r="3662" spans="1:51">
      <c r="A3662">
        <v>106488</v>
      </c>
      <c r="B3662" t="s">
        <v>474</v>
      </c>
      <c r="C3662" t="str">
        <f>""</f>
        <v/>
      </c>
      <c r="D3662" t="str">
        <f>""</f>
        <v/>
      </c>
      <c r="E3662" t="s">
        <v>52</v>
      </c>
      <c r="F3662">
        <v>2015</v>
      </c>
      <c r="G3662" t="str">
        <f>"            56051216"</f>
        <v xml:space="preserve">            56051216</v>
      </c>
      <c r="H3662" s="3">
        <v>42159</v>
      </c>
      <c r="I3662" s="3">
        <v>42171</v>
      </c>
      <c r="J3662" s="3">
        <v>42171</v>
      </c>
      <c r="K3662" s="3">
        <v>42231</v>
      </c>
      <c r="L3662" s="5">
        <v>1092</v>
      </c>
      <c r="M3662">
        <v>289</v>
      </c>
      <c r="N3662" s="5">
        <v>315588</v>
      </c>
      <c r="O3662" s="4">
        <v>1092</v>
      </c>
      <c r="P3662">
        <v>289</v>
      </c>
      <c r="Q3662" s="4">
        <v>315588</v>
      </c>
      <c r="R3662">
        <v>21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 s="3">
        <v>42562</v>
      </c>
      <c r="AC3662" t="s">
        <v>53</v>
      </c>
      <c r="AD3662" t="s">
        <v>53</v>
      </c>
      <c r="AK3662">
        <v>21</v>
      </c>
      <c r="AU3662" s="3">
        <v>42520</v>
      </c>
      <c r="AV3662" s="3">
        <v>42520</v>
      </c>
      <c r="AW3662" t="s">
        <v>54</v>
      </c>
      <c r="AX3662" t="str">
        <f t="shared" si="443"/>
        <v>FOR</v>
      </c>
      <c r="AY3662" t="s">
        <v>55</v>
      </c>
    </row>
    <row r="3663" spans="1:51">
      <c r="A3663">
        <v>106488</v>
      </c>
      <c r="B3663" t="s">
        <v>474</v>
      </c>
      <c r="C3663" t="str">
        <f>""</f>
        <v/>
      </c>
      <c r="D3663" t="str">
        <f>""</f>
        <v/>
      </c>
      <c r="E3663" t="s">
        <v>52</v>
      </c>
      <c r="F3663">
        <v>2015</v>
      </c>
      <c r="G3663" t="str">
        <f>"            56051217"</f>
        <v xml:space="preserve">            56051217</v>
      </c>
      <c r="H3663" s="3">
        <v>42159</v>
      </c>
      <c r="I3663" s="3">
        <v>42171</v>
      </c>
      <c r="J3663" s="3">
        <v>42171</v>
      </c>
      <c r="K3663" s="3">
        <v>42231</v>
      </c>
      <c r="L3663" s="5">
        <v>1092</v>
      </c>
      <c r="M3663">
        <v>289</v>
      </c>
      <c r="N3663" s="5">
        <v>315588</v>
      </c>
      <c r="O3663" s="4">
        <v>1092</v>
      </c>
      <c r="P3663">
        <v>289</v>
      </c>
      <c r="Q3663" s="4">
        <v>315588</v>
      </c>
      <c r="R3663">
        <v>21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 s="3">
        <v>42562</v>
      </c>
      <c r="AC3663" t="s">
        <v>53</v>
      </c>
      <c r="AD3663" t="s">
        <v>53</v>
      </c>
      <c r="AK3663">
        <v>21</v>
      </c>
      <c r="AU3663" s="3">
        <v>42520</v>
      </c>
      <c r="AV3663" s="3">
        <v>42520</v>
      </c>
      <c r="AW3663" t="s">
        <v>54</v>
      </c>
      <c r="AX3663" t="str">
        <f t="shared" si="443"/>
        <v>FOR</v>
      </c>
      <c r="AY3663" t="s">
        <v>55</v>
      </c>
    </row>
    <row r="3664" spans="1:51">
      <c r="A3664">
        <v>106488</v>
      </c>
      <c r="B3664" t="s">
        <v>474</v>
      </c>
      <c r="C3664" t="str">
        <f>""</f>
        <v/>
      </c>
      <c r="D3664" t="str">
        <f>""</f>
        <v/>
      </c>
      <c r="E3664" t="s">
        <v>52</v>
      </c>
      <c r="F3664">
        <v>2015</v>
      </c>
      <c r="G3664" t="str">
        <f>"            56052320"</f>
        <v xml:space="preserve">            56052320</v>
      </c>
      <c r="H3664" s="3">
        <v>42283</v>
      </c>
      <c r="I3664" s="3">
        <v>42317</v>
      </c>
      <c r="J3664" s="3">
        <v>42317</v>
      </c>
      <c r="K3664" s="3">
        <v>42377</v>
      </c>
      <c r="L3664" s="5">
        <v>1092</v>
      </c>
      <c r="M3664">
        <v>143</v>
      </c>
      <c r="N3664" s="5">
        <v>156156</v>
      </c>
      <c r="O3664" s="4">
        <v>1092</v>
      </c>
      <c r="P3664">
        <v>143</v>
      </c>
      <c r="Q3664" s="4">
        <v>156156</v>
      </c>
      <c r="R3664">
        <v>21</v>
      </c>
      <c r="V3664">
        <v>0</v>
      </c>
      <c r="W3664">
        <v>0</v>
      </c>
      <c r="X3664">
        <v>0</v>
      </c>
      <c r="Y3664">
        <v>0</v>
      </c>
      <c r="Z3664">
        <v>0</v>
      </c>
      <c r="AA3664">
        <v>0</v>
      </c>
      <c r="AB3664" s="3">
        <v>42562</v>
      </c>
      <c r="AC3664" t="s">
        <v>53</v>
      </c>
      <c r="AD3664" t="s">
        <v>53</v>
      </c>
      <c r="AJ3664">
        <v>21</v>
      </c>
      <c r="AK3664">
        <v>0</v>
      </c>
      <c r="AU3664" s="3">
        <v>42520</v>
      </c>
      <c r="AV3664" s="3">
        <v>42520</v>
      </c>
      <c r="AW3664" t="s">
        <v>54</v>
      </c>
      <c r="AX3664" t="str">
        <f t="shared" si="443"/>
        <v>FOR</v>
      </c>
      <c r="AY3664" t="s">
        <v>55</v>
      </c>
    </row>
    <row r="3665" spans="1:51">
      <c r="A3665">
        <v>106488</v>
      </c>
      <c r="B3665" t="s">
        <v>474</v>
      </c>
      <c r="C3665" t="str">
        <f>""</f>
        <v/>
      </c>
      <c r="D3665" t="str">
        <f>""</f>
        <v/>
      </c>
      <c r="E3665" t="s">
        <v>52</v>
      </c>
      <c r="F3665">
        <v>2015</v>
      </c>
      <c r="G3665" t="str">
        <f>"            56052321"</f>
        <v xml:space="preserve">            56052321</v>
      </c>
      <c r="H3665" s="3">
        <v>42283</v>
      </c>
      <c r="I3665" s="3">
        <v>42293</v>
      </c>
      <c r="J3665" s="3">
        <v>42293</v>
      </c>
      <c r="K3665" s="3">
        <v>42353</v>
      </c>
      <c r="L3665" s="5">
        <v>1092</v>
      </c>
      <c r="M3665">
        <v>167</v>
      </c>
      <c r="N3665" s="5">
        <v>182364</v>
      </c>
      <c r="O3665" s="4">
        <v>1092</v>
      </c>
      <c r="P3665">
        <v>167</v>
      </c>
      <c r="Q3665" s="4">
        <v>182364</v>
      </c>
      <c r="R3665">
        <v>21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 s="3">
        <v>42562</v>
      </c>
      <c r="AC3665" t="s">
        <v>53</v>
      </c>
      <c r="AD3665" t="s">
        <v>53</v>
      </c>
      <c r="AK3665">
        <v>21</v>
      </c>
      <c r="AU3665" s="3">
        <v>42520</v>
      </c>
      <c r="AV3665" s="3">
        <v>42520</v>
      </c>
      <c r="AW3665" t="s">
        <v>54</v>
      </c>
      <c r="AX3665" t="str">
        <f t="shared" si="443"/>
        <v>FOR</v>
      </c>
      <c r="AY3665" t="s">
        <v>55</v>
      </c>
    </row>
    <row r="3666" spans="1:51">
      <c r="A3666">
        <v>106488</v>
      </c>
      <c r="B3666" t="s">
        <v>474</v>
      </c>
      <c r="C3666" t="str">
        <f>""</f>
        <v/>
      </c>
      <c r="D3666" t="str">
        <f>""</f>
        <v/>
      </c>
      <c r="E3666" t="s">
        <v>52</v>
      </c>
      <c r="F3666">
        <v>2015</v>
      </c>
      <c r="G3666" t="str">
        <f>"            56052322"</f>
        <v xml:space="preserve">            56052322</v>
      </c>
      <c r="H3666" s="3">
        <v>42283</v>
      </c>
      <c r="I3666" s="3">
        <v>42305</v>
      </c>
      <c r="J3666" s="3">
        <v>42305</v>
      </c>
      <c r="K3666" s="3">
        <v>42365</v>
      </c>
      <c r="L3666" s="5">
        <v>1092</v>
      </c>
      <c r="M3666">
        <v>155</v>
      </c>
      <c r="N3666" s="5">
        <v>169260</v>
      </c>
      <c r="O3666" s="4">
        <v>1092</v>
      </c>
      <c r="P3666">
        <v>155</v>
      </c>
      <c r="Q3666" s="4">
        <v>169260</v>
      </c>
      <c r="R3666">
        <v>21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 s="3">
        <v>42562</v>
      </c>
      <c r="AC3666" t="s">
        <v>53</v>
      </c>
      <c r="AD3666" t="s">
        <v>53</v>
      </c>
      <c r="AK3666">
        <v>21</v>
      </c>
      <c r="AU3666" s="3">
        <v>42520</v>
      </c>
      <c r="AV3666" s="3">
        <v>42520</v>
      </c>
      <c r="AW3666" t="s">
        <v>54</v>
      </c>
      <c r="AX3666" t="str">
        <f t="shared" si="443"/>
        <v>FOR</v>
      </c>
      <c r="AY3666" t="s">
        <v>55</v>
      </c>
    </row>
    <row r="3667" spans="1:51">
      <c r="A3667">
        <v>106488</v>
      </c>
      <c r="B3667" t="s">
        <v>474</v>
      </c>
      <c r="C3667" t="str">
        <f>""</f>
        <v/>
      </c>
      <c r="D3667" t="str">
        <f>""</f>
        <v/>
      </c>
      <c r="E3667" t="s">
        <v>52</v>
      </c>
      <c r="F3667">
        <v>2015</v>
      </c>
      <c r="G3667" t="str">
        <f>"            56052323"</f>
        <v xml:space="preserve">            56052323</v>
      </c>
      <c r="H3667" s="3">
        <v>42283</v>
      </c>
      <c r="I3667" s="3">
        <v>42317</v>
      </c>
      <c r="J3667" s="3">
        <v>42317</v>
      </c>
      <c r="K3667" s="3">
        <v>42377</v>
      </c>
      <c r="L3667" s="5">
        <v>1092</v>
      </c>
      <c r="M3667">
        <v>143</v>
      </c>
      <c r="N3667" s="5">
        <v>156156</v>
      </c>
      <c r="O3667" s="4">
        <v>1092</v>
      </c>
      <c r="P3667">
        <v>143</v>
      </c>
      <c r="Q3667" s="4">
        <v>156156</v>
      </c>
      <c r="R3667">
        <v>21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 s="3">
        <v>42562</v>
      </c>
      <c r="AC3667" t="s">
        <v>53</v>
      </c>
      <c r="AD3667" t="s">
        <v>53</v>
      </c>
      <c r="AJ3667">
        <v>21</v>
      </c>
      <c r="AK3667">
        <v>0</v>
      </c>
      <c r="AU3667" s="3">
        <v>42520</v>
      </c>
      <c r="AV3667" s="3">
        <v>42520</v>
      </c>
      <c r="AW3667" t="s">
        <v>54</v>
      </c>
      <c r="AX3667" t="str">
        <f t="shared" si="443"/>
        <v>FOR</v>
      </c>
      <c r="AY3667" t="s">
        <v>55</v>
      </c>
    </row>
    <row r="3668" spans="1:51">
      <c r="A3668">
        <v>106488</v>
      </c>
      <c r="B3668" t="s">
        <v>474</v>
      </c>
      <c r="C3668" t="str">
        <f>""</f>
        <v/>
      </c>
      <c r="D3668" t="str">
        <f>""</f>
        <v/>
      </c>
      <c r="E3668" t="s">
        <v>52</v>
      </c>
      <c r="F3668">
        <v>2015</v>
      </c>
      <c r="G3668" t="str">
        <f>"            56052324"</f>
        <v xml:space="preserve">            56052324</v>
      </c>
      <c r="H3668" s="3">
        <v>42283</v>
      </c>
      <c r="I3668" s="3">
        <v>42317</v>
      </c>
      <c r="J3668" s="3">
        <v>42317</v>
      </c>
      <c r="K3668" s="3">
        <v>42377</v>
      </c>
      <c r="L3668" s="5">
        <v>1092</v>
      </c>
      <c r="M3668">
        <v>143</v>
      </c>
      <c r="N3668" s="5">
        <v>156156</v>
      </c>
      <c r="O3668" s="4">
        <v>1092</v>
      </c>
      <c r="P3668">
        <v>143</v>
      </c>
      <c r="Q3668" s="4">
        <v>156156</v>
      </c>
      <c r="R3668">
        <v>21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 s="3">
        <v>42562</v>
      </c>
      <c r="AC3668" t="s">
        <v>53</v>
      </c>
      <c r="AD3668" t="s">
        <v>53</v>
      </c>
      <c r="AJ3668">
        <v>21</v>
      </c>
      <c r="AK3668">
        <v>0</v>
      </c>
      <c r="AU3668" s="3">
        <v>42520</v>
      </c>
      <c r="AV3668" s="3">
        <v>42520</v>
      </c>
      <c r="AW3668" t="s">
        <v>54</v>
      </c>
      <c r="AX3668" t="str">
        <f t="shared" si="443"/>
        <v>FOR</v>
      </c>
      <c r="AY3668" t="s">
        <v>55</v>
      </c>
    </row>
    <row r="3669" spans="1:51">
      <c r="A3669">
        <v>106488</v>
      </c>
      <c r="B3669" t="s">
        <v>474</v>
      </c>
      <c r="C3669" t="str">
        <f>""</f>
        <v/>
      </c>
      <c r="D3669" t="str">
        <f>""</f>
        <v/>
      </c>
      <c r="E3669" t="s">
        <v>52</v>
      </c>
      <c r="F3669">
        <v>2015</v>
      </c>
      <c r="G3669" t="str">
        <f>"            56052325"</f>
        <v xml:space="preserve">            56052325</v>
      </c>
      <c r="H3669" s="3">
        <v>42283</v>
      </c>
      <c r="I3669" s="3">
        <v>42303</v>
      </c>
      <c r="J3669" s="3">
        <v>42303</v>
      </c>
      <c r="K3669" s="3">
        <v>42363</v>
      </c>
      <c r="L3669" s="5">
        <v>1092</v>
      </c>
      <c r="M3669">
        <v>157</v>
      </c>
      <c r="N3669" s="5">
        <v>171444</v>
      </c>
      <c r="O3669" s="4">
        <v>1092</v>
      </c>
      <c r="P3669">
        <v>157</v>
      </c>
      <c r="Q3669" s="4">
        <v>171444</v>
      </c>
      <c r="R3669">
        <v>21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 s="3">
        <v>42562</v>
      </c>
      <c r="AC3669" t="s">
        <v>53</v>
      </c>
      <c r="AD3669" t="s">
        <v>53</v>
      </c>
      <c r="AK3669">
        <v>21</v>
      </c>
      <c r="AU3669" s="3">
        <v>42520</v>
      </c>
      <c r="AV3669" s="3">
        <v>42520</v>
      </c>
      <c r="AW3669" t="s">
        <v>54</v>
      </c>
      <c r="AX3669" t="str">
        <f t="shared" si="443"/>
        <v>FOR</v>
      </c>
      <c r="AY3669" t="s">
        <v>55</v>
      </c>
    </row>
    <row r="3670" spans="1:51">
      <c r="A3670">
        <v>106488</v>
      </c>
      <c r="B3670" t="s">
        <v>474</v>
      </c>
      <c r="C3670" t="str">
        <f>""</f>
        <v/>
      </c>
      <c r="D3670" t="str">
        <f>""</f>
        <v/>
      </c>
      <c r="E3670" t="s">
        <v>52</v>
      </c>
      <c r="F3670">
        <v>2015</v>
      </c>
      <c r="G3670" t="str">
        <f>"            56052326"</f>
        <v xml:space="preserve">            56052326</v>
      </c>
      <c r="H3670" s="3">
        <v>42283</v>
      </c>
      <c r="I3670" s="3">
        <v>42303</v>
      </c>
      <c r="J3670" s="3">
        <v>42303</v>
      </c>
      <c r="K3670" s="3">
        <v>42363</v>
      </c>
      <c r="L3670" s="5">
        <v>1092</v>
      </c>
      <c r="M3670">
        <v>157</v>
      </c>
      <c r="N3670" s="5">
        <v>171444</v>
      </c>
      <c r="O3670" s="4">
        <v>1092</v>
      </c>
      <c r="P3670">
        <v>157</v>
      </c>
      <c r="Q3670" s="4">
        <v>171444</v>
      </c>
      <c r="R3670">
        <v>21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 s="3">
        <v>42562</v>
      </c>
      <c r="AC3670" t="s">
        <v>53</v>
      </c>
      <c r="AD3670" t="s">
        <v>53</v>
      </c>
      <c r="AK3670">
        <v>21</v>
      </c>
      <c r="AU3670" s="3">
        <v>42520</v>
      </c>
      <c r="AV3670" s="3">
        <v>42520</v>
      </c>
      <c r="AW3670" t="s">
        <v>54</v>
      </c>
      <c r="AX3670" t="str">
        <f t="shared" si="443"/>
        <v>FOR</v>
      </c>
      <c r="AY3670" t="s">
        <v>55</v>
      </c>
    </row>
    <row r="3671" spans="1:51">
      <c r="A3671">
        <v>106488</v>
      </c>
      <c r="B3671" t="s">
        <v>474</v>
      </c>
      <c r="C3671" t="str">
        <f>""</f>
        <v/>
      </c>
      <c r="D3671" t="str">
        <f>""</f>
        <v/>
      </c>
      <c r="E3671" t="s">
        <v>52</v>
      </c>
      <c r="F3671">
        <v>2015</v>
      </c>
      <c r="G3671" t="str">
        <f>"            56052496"</f>
        <v xml:space="preserve">            56052496</v>
      </c>
      <c r="H3671" s="3">
        <v>42303</v>
      </c>
      <c r="I3671" s="3">
        <v>42312</v>
      </c>
      <c r="J3671" s="3">
        <v>42312</v>
      </c>
      <c r="K3671" s="3">
        <v>42372</v>
      </c>
      <c r="L3671" s="5">
        <v>1092</v>
      </c>
      <c r="M3671">
        <v>148</v>
      </c>
      <c r="N3671" s="5">
        <v>161616</v>
      </c>
      <c r="O3671" s="4">
        <v>1092</v>
      </c>
      <c r="P3671">
        <v>148</v>
      </c>
      <c r="Q3671" s="4">
        <v>161616</v>
      </c>
      <c r="R3671">
        <v>21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 s="3">
        <v>42562</v>
      </c>
      <c r="AC3671" t="s">
        <v>53</v>
      </c>
      <c r="AD3671" t="s">
        <v>53</v>
      </c>
      <c r="AJ3671">
        <v>21</v>
      </c>
      <c r="AK3671">
        <v>0</v>
      </c>
      <c r="AU3671" s="3">
        <v>42520</v>
      </c>
      <c r="AV3671" s="3">
        <v>42520</v>
      </c>
      <c r="AW3671" t="s">
        <v>54</v>
      </c>
      <c r="AX3671" t="str">
        <f t="shared" si="443"/>
        <v>FOR</v>
      </c>
      <c r="AY3671" t="s">
        <v>55</v>
      </c>
    </row>
    <row r="3672" spans="1:51">
      <c r="A3672">
        <v>106488</v>
      </c>
      <c r="B3672" t="s">
        <v>474</v>
      </c>
      <c r="C3672" t="str">
        <f>""</f>
        <v/>
      </c>
      <c r="D3672" t="str">
        <f>""</f>
        <v/>
      </c>
      <c r="E3672" t="s">
        <v>52</v>
      </c>
      <c r="F3672">
        <v>2015</v>
      </c>
      <c r="G3672" t="str">
        <f>"            56052724"</f>
        <v xml:space="preserve">            56052724</v>
      </c>
      <c r="H3672" s="3">
        <v>42321</v>
      </c>
      <c r="I3672" s="3">
        <v>42345</v>
      </c>
      <c r="J3672" s="3">
        <v>42345</v>
      </c>
      <c r="K3672" s="3">
        <v>42405</v>
      </c>
      <c r="L3672" s="5">
        <v>1092</v>
      </c>
      <c r="M3672">
        <v>115</v>
      </c>
      <c r="N3672" s="5">
        <v>125580</v>
      </c>
      <c r="O3672" s="4">
        <v>1092</v>
      </c>
      <c r="P3672">
        <v>115</v>
      </c>
      <c r="Q3672" s="4">
        <v>125580</v>
      </c>
      <c r="R3672">
        <v>21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 s="3">
        <v>42562</v>
      </c>
      <c r="AC3672" t="s">
        <v>53</v>
      </c>
      <c r="AD3672" t="s">
        <v>53</v>
      </c>
      <c r="AI3672">
        <v>21</v>
      </c>
      <c r="AK3672">
        <v>0</v>
      </c>
      <c r="AU3672" s="3">
        <v>42520</v>
      </c>
      <c r="AV3672" s="3">
        <v>42520</v>
      </c>
      <c r="AW3672" t="s">
        <v>54</v>
      </c>
      <c r="AX3672" t="str">
        <f t="shared" si="443"/>
        <v>FOR</v>
      </c>
      <c r="AY3672" t="s">
        <v>55</v>
      </c>
    </row>
    <row r="3673" spans="1:51">
      <c r="A3673">
        <v>106488</v>
      </c>
      <c r="B3673" t="s">
        <v>474</v>
      </c>
      <c r="C3673" t="str">
        <f>""</f>
        <v/>
      </c>
      <c r="D3673" t="str">
        <f>""</f>
        <v/>
      </c>
      <c r="E3673" t="s">
        <v>52</v>
      </c>
      <c r="F3673">
        <v>2015</v>
      </c>
      <c r="G3673" t="str">
        <f>"            56052725"</f>
        <v xml:space="preserve">            56052725</v>
      </c>
      <c r="H3673" s="3">
        <v>42321</v>
      </c>
      <c r="I3673" s="3">
        <v>42345</v>
      </c>
      <c r="J3673" s="3">
        <v>42345</v>
      </c>
      <c r="K3673" s="3">
        <v>42405</v>
      </c>
      <c r="L3673" s="5">
        <v>1092</v>
      </c>
      <c r="M3673">
        <v>115</v>
      </c>
      <c r="N3673" s="5">
        <v>125580</v>
      </c>
      <c r="O3673" s="4">
        <v>1092</v>
      </c>
      <c r="P3673">
        <v>115</v>
      </c>
      <c r="Q3673" s="4">
        <v>125580</v>
      </c>
      <c r="R3673">
        <v>21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 s="3">
        <v>42562</v>
      </c>
      <c r="AC3673" t="s">
        <v>53</v>
      </c>
      <c r="AD3673" t="s">
        <v>53</v>
      </c>
      <c r="AI3673">
        <v>21</v>
      </c>
      <c r="AK3673">
        <v>0</v>
      </c>
      <c r="AU3673" s="3">
        <v>42520</v>
      </c>
      <c r="AV3673" s="3">
        <v>42520</v>
      </c>
      <c r="AW3673" t="s">
        <v>54</v>
      </c>
      <c r="AX3673" t="str">
        <f t="shared" si="443"/>
        <v>FOR</v>
      </c>
      <c r="AY3673" t="s">
        <v>55</v>
      </c>
    </row>
    <row r="3674" spans="1:51">
      <c r="A3674">
        <v>106488</v>
      </c>
      <c r="B3674" t="s">
        <v>474</v>
      </c>
      <c r="C3674" t="str">
        <f>""</f>
        <v/>
      </c>
      <c r="D3674" t="str">
        <f>""</f>
        <v/>
      </c>
      <c r="E3674" t="s">
        <v>52</v>
      </c>
      <c r="F3674">
        <v>2015</v>
      </c>
      <c r="G3674" t="str">
        <f>"            56052907"</f>
        <v xml:space="preserve">            56052907</v>
      </c>
      <c r="H3674" s="3">
        <v>42335</v>
      </c>
      <c r="I3674" s="3">
        <v>42353</v>
      </c>
      <c r="J3674" s="3">
        <v>42353</v>
      </c>
      <c r="K3674" s="3">
        <v>42413</v>
      </c>
      <c r="L3674" s="5">
        <v>1092</v>
      </c>
      <c r="M3674">
        <v>107</v>
      </c>
      <c r="N3674" s="5">
        <v>116844</v>
      </c>
      <c r="O3674" s="4">
        <v>1092</v>
      </c>
      <c r="P3674">
        <v>107</v>
      </c>
      <c r="Q3674" s="4">
        <v>116844</v>
      </c>
      <c r="R3674">
        <v>21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 s="3">
        <v>42562</v>
      </c>
      <c r="AC3674" t="s">
        <v>53</v>
      </c>
      <c r="AD3674" t="s">
        <v>53</v>
      </c>
      <c r="AI3674">
        <v>21</v>
      </c>
      <c r="AK3674">
        <v>0</v>
      </c>
      <c r="AU3674" s="3">
        <v>42520</v>
      </c>
      <c r="AV3674" s="3">
        <v>42520</v>
      </c>
      <c r="AW3674" t="s">
        <v>54</v>
      </c>
      <c r="AX3674" t="str">
        <f t="shared" si="443"/>
        <v>FOR</v>
      </c>
      <c r="AY3674" t="s">
        <v>55</v>
      </c>
    </row>
    <row r="3675" spans="1:51">
      <c r="A3675">
        <v>106488</v>
      </c>
      <c r="B3675" t="s">
        <v>474</v>
      </c>
      <c r="C3675" t="str">
        <f>""</f>
        <v/>
      </c>
      <c r="D3675" t="str">
        <f>""</f>
        <v/>
      </c>
      <c r="E3675" t="s">
        <v>52</v>
      </c>
      <c r="F3675">
        <v>2015</v>
      </c>
      <c r="G3675" t="str">
        <f>"            56053165"</f>
        <v xml:space="preserve">            56053165</v>
      </c>
      <c r="H3675" s="3">
        <v>42366</v>
      </c>
      <c r="I3675" s="3">
        <v>42369</v>
      </c>
      <c r="J3675" s="3">
        <v>42369</v>
      </c>
      <c r="K3675" s="3">
        <v>42429</v>
      </c>
      <c r="L3675" s="5">
        <v>1092</v>
      </c>
      <c r="M3675">
        <v>91</v>
      </c>
      <c r="N3675" s="5">
        <v>99372</v>
      </c>
      <c r="O3675" s="4">
        <v>1092</v>
      </c>
      <c r="P3675">
        <v>91</v>
      </c>
      <c r="Q3675" s="4">
        <v>99372</v>
      </c>
      <c r="R3675">
        <v>21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 s="3">
        <v>42562</v>
      </c>
      <c r="AC3675" t="s">
        <v>53</v>
      </c>
      <c r="AD3675" t="s">
        <v>53</v>
      </c>
      <c r="AI3675">
        <v>21</v>
      </c>
      <c r="AK3675">
        <v>0</v>
      </c>
      <c r="AU3675" s="3">
        <v>42520</v>
      </c>
      <c r="AV3675" s="3">
        <v>42520</v>
      </c>
      <c r="AW3675" t="s">
        <v>54</v>
      </c>
      <c r="AX3675" t="str">
        <f t="shared" si="443"/>
        <v>FOR</v>
      </c>
      <c r="AY3675" t="s">
        <v>55</v>
      </c>
    </row>
    <row r="3676" spans="1:51">
      <c r="A3676">
        <v>106488</v>
      </c>
      <c r="B3676" t="s">
        <v>474</v>
      </c>
      <c r="C3676" t="str">
        <f>""</f>
        <v/>
      </c>
      <c r="D3676" t="str">
        <f>""</f>
        <v/>
      </c>
      <c r="E3676" t="s">
        <v>52</v>
      </c>
      <c r="F3676">
        <v>2016</v>
      </c>
      <c r="G3676" t="str">
        <f>"            56060178"</f>
        <v xml:space="preserve">            56060178</v>
      </c>
      <c r="H3676" s="3">
        <v>42395</v>
      </c>
      <c r="I3676" s="3">
        <v>42408</v>
      </c>
      <c r="J3676" s="3">
        <v>42408</v>
      </c>
      <c r="K3676" s="3">
        <v>42468</v>
      </c>
      <c r="L3676" s="5">
        <v>1092</v>
      </c>
      <c r="M3676">
        <v>52</v>
      </c>
      <c r="N3676" s="5">
        <v>56784</v>
      </c>
      <c r="O3676" s="4">
        <v>1092</v>
      </c>
      <c r="P3676">
        <v>52</v>
      </c>
      <c r="Q3676" s="4">
        <v>56784</v>
      </c>
      <c r="R3676">
        <v>21</v>
      </c>
      <c r="V3676">
        <v>0</v>
      </c>
      <c r="W3676">
        <v>0</v>
      </c>
      <c r="X3676">
        <v>0</v>
      </c>
      <c r="Y3676" s="4">
        <v>1113</v>
      </c>
      <c r="Z3676" s="4">
        <v>1113</v>
      </c>
      <c r="AA3676" s="4">
        <v>1113</v>
      </c>
      <c r="AB3676" s="3">
        <v>42562</v>
      </c>
      <c r="AC3676" t="s">
        <v>53</v>
      </c>
      <c r="AD3676" t="s">
        <v>53</v>
      </c>
      <c r="AG3676">
        <v>21</v>
      </c>
      <c r="AK3676">
        <v>0</v>
      </c>
      <c r="AU3676" s="3">
        <v>42520</v>
      </c>
      <c r="AV3676" s="3">
        <v>42520</v>
      </c>
      <c r="AW3676" t="s">
        <v>54</v>
      </c>
      <c r="AX3676" t="str">
        <f t="shared" si="443"/>
        <v>FOR</v>
      </c>
      <c r="AY3676" t="s">
        <v>55</v>
      </c>
    </row>
    <row r="3677" spans="1:51">
      <c r="A3677">
        <v>106488</v>
      </c>
      <c r="B3677" t="s">
        <v>474</v>
      </c>
      <c r="C3677" t="str">
        <f>""</f>
        <v/>
      </c>
      <c r="D3677" t="str">
        <f>""</f>
        <v/>
      </c>
      <c r="E3677" t="s">
        <v>52</v>
      </c>
      <c r="F3677">
        <v>2016</v>
      </c>
      <c r="G3677" t="str">
        <f>"            56060179"</f>
        <v xml:space="preserve">            56060179</v>
      </c>
      <c r="H3677" s="3">
        <v>42395</v>
      </c>
      <c r="I3677" s="3">
        <v>42408</v>
      </c>
      <c r="J3677" s="3">
        <v>42408</v>
      </c>
      <c r="K3677" s="3">
        <v>42468</v>
      </c>
      <c r="L3677" s="5">
        <v>1092</v>
      </c>
      <c r="M3677">
        <v>52</v>
      </c>
      <c r="N3677" s="5">
        <v>56784</v>
      </c>
      <c r="O3677" s="4">
        <v>1092</v>
      </c>
      <c r="P3677">
        <v>52</v>
      </c>
      <c r="Q3677" s="4">
        <v>56784</v>
      </c>
      <c r="R3677">
        <v>21</v>
      </c>
      <c r="V3677">
        <v>0</v>
      </c>
      <c r="W3677">
        <v>0</v>
      </c>
      <c r="X3677">
        <v>0</v>
      </c>
      <c r="Y3677" s="4">
        <v>1113</v>
      </c>
      <c r="Z3677" s="4">
        <v>1113</v>
      </c>
      <c r="AA3677" s="4">
        <v>1113</v>
      </c>
      <c r="AB3677" s="3">
        <v>42562</v>
      </c>
      <c r="AC3677" t="s">
        <v>53</v>
      </c>
      <c r="AD3677" t="s">
        <v>53</v>
      </c>
      <c r="AG3677">
        <v>21</v>
      </c>
      <c r="AK3677">
        <v>0</v>
      </c>
      <c r="AU3677" s="3">
        <v>42520</v>
      </c>
      <c r="AV3677" s="3">
        <v>42520</v>
      </c>
      <c r="AW3677" t="s">
        <v>54</v>
      </c>
      <c r="AX3677" t="str">
        <f t="shared" si="443"/>
        <v>FOR</v>
      </c>
      <c r="AY3677" t="s">
        <v>55</v>
      </c>
    </row>
    <row r="3678" spans="1:51">
      <c r="A3678">
        <v>106488</v>
      </c>
      <c r="B3678" t="s">
        <v>474</v>
      </c>
      <c r="C3678" t="str">
        <f>""</f>
        <v/>
      </c>
      <c r="D3678" t="str">
        <f>""</f>
        <v/>
      </c>
      <c r="E3678" t="s">
        <v>52</v>
      </c>
      <c r="F3678">
        <v>2016</v>
      </c>
      <c r="G3678" t="str">
        <f>"            56060955"</f>
        <v xml:space="preserve">            56060955</v>
      </c>
      <c r="H3678" s="3">
        <v>42481</v>
      </c>
      <c r="I3678" s="3">
        <v>42492</v>
      </c>
      <c r="J3678" s="3">
        <v>42492</v>
      </c>
      <c r="K3678" s="3">
        <v>42552</v>
      </c>
      <c r="L3678" s="5">
        <v>1050</v>
      </c>
      <c r="M3678">
        <v>-32</v>
      </c>
      <c r="N3678" s="5">
        <v>-33600</v>
      </c>
      <c r="O3678" s="4">
        <v>1050</v>
      </c>
      <c r="P3678">
        <v>-32</v>
      </c>
      <c r="Q3678" s="4">
        <v>-33600</v>
      </c>
      <c r="R3678">
        <v>0</v>
      </c>
      <c r="V3678">
        <v>-42</v>
      </c>
      <c r="W3678" s="4">
        <v>1050</v>
      </c>
      <c r="X3678" s="4">
        <v>1050</v>
      </c>
      <c r="Y3678" s="4">
        <v>1050</v>
      </c>
      <c r="Z3678" s="4">
        <v>1050</v>
      </c>
      <c r="AA3678" s="4">
        <v>1050</v>
      </c>
      <c r="AB3678" s="3">
        <v>42562</v>
      </c>
      <c r="AC3678" t="s">
        <v>53</v>
      </c>
      <c r="AD3678" t="s">
        <v>53</v>
      </c>
      <c r="AK3678">
        <v>0</v>
      </c>
      <c r="AU3678" s="3">
        <v>42520</v>
      </c>
      <c r="AV3678" s="3">
        <v>42520</v>
      </c>
      <c r="AW3678" t="s">
        <v>54</v>
      </c>
      <c r="AX3678" t="str">
        <f t="shared" si="443"/>
        <v>FOR</v>
      </c>
      <c r="AY3678" t="s">
        <v>55</v>
      </c>
    </row>
    <row r="3679" spans="1:51">
      <c r="A3679">
        <v>106488</v>
      </c>
      <c r="B3679" t="s">
        <v>474</v>
      </c>
      <c r="C3679" t="str">
        <f>""</f>
        <v/>
      </c>
      <c r="D3679" t="str">
        <f>""</f>
        <v/>
      </c>
      <c r="E3679" t="s">
        <v>52</v>
      </c>
      <c r="F3679">
        <v>2016</v>
      </c>
      <c r="G3679" t="str">
        <f>"            56060956"</f>
        <v xml:space="preserve">            56060956</v>
      </c>
      <c r="H3679" s="3">
        <v>42481</v>
      </c>
      <c r="I3679" s="3">
        <v>42492</v>
      </c>
      <c r="J3679" s="3">
        <v>42492</v>
      </c>
      <c r="K3679" s="3">
        <v>42552</v>
      </c>
      <c r="L3679" s="5">
        <v>1050</v>
      </c>
      <c r="M3679">
        <v>-32</v>
      </c>
      <c r="N3679" s="5">
        <v>-33600</v>
      </c>
      <c r="O3679" s="4">
        <v>1050</v>
      </c>
      <c r="P3679">
        <v>-32</v>
      </c>
      <c r="Q3679" s="4">
        <v>-33600</v>
      </c>
      <c r="R3679">
        <v>0</v>
      </c>
      <c r="V3679">
        <v>-42</v>
      </c>
      <c r="W3679" s="4">
        <v>1050</v>
      </c>
      <c r="X3679" s="4">
        <v>1050</v>
      </c>
      <c r="Y3679" s="4">
        <v>1050</v>
      </c>
      <c r="Z3679" s="4">
        <v>1050</v>
      </c>
      <c r="AA3679" s="4">
        <v>1050</v>
      </c>
      <c r="AB3679" s="3">
        <v>42562</v>
      </c>
      <c r="AC3679" t="s">
        <v>53</v>
      </c>
      <c r="AD3679" t="s">
        <v>53</v>
      </c>
      <c r="AK3679">
        <v>0</v>
      </c>
      <c r="AU3679" s="3">
        <v>42520</v>
      </c>
      <c r="AV3679" s="3">
        <v>42520</v>
      </c>
      <c r="AW3679" t="s">
        <v>54</v>
      </c>
      <c r="AX3679" t="str">
        <f t="shared" si="443"/>
        <v>FOR</v>
      </c>
      <c r="AY3679" t="s">
        <v>55</v>
      </c>
    </row>
    <row r="3680" spans="1:51">
      <c r="A3680">
        <v>106488</v>
      </c>
      <c r="B3680" t="s">
        <v>474</v>
      </c>
      <c r="C3680" t="str">
        <f>""</f>
        <v/>
      </c>
      <c r="D3680" t="str">
        <f>""</f>
        <v/>
      </c>
      <c r="E3680" t="s">
        <v>52</v>
      </c>
      <c r="F3680">
        <v>2016</v>
      </c>
      <c r="G3680" t="str">
        <f>"            56060957"</f>
        <v xml:space="preserve">            56060957</v>
      </c>
      <c r="H3680" s="3">
        <v>42481</v>
      </c>
      <c r="I3680" s="3">
        <v>42492</v>
      </c>
      <c r="J3680" s="3">
        <v>42492</v>
      </c>
      <c r="K3680" s="3">
        <v>42552</v>
      </c>
      <c r="L3680" s="5">
        <v>1050</v>
      </c>
      <c r="M3680">
        <v>-32</v>
      </c>
      <c r="N3680" s="5">
        <v>-33600</v>
      </c>
      <c r="O3680" s="4">
        <v>1050</v>
      </c>
      <c r="P3680">
        <v>-32</v>
      </c>
      <c r="Q3680" s="4">
        <v>-33600</v>
      </c>
      <c r="R3680">
        <v>0</v>
      </c>
      <c r="V3680">
        <v>-42</v>
      </c>
      <c r="W3680" s="4">
        <v>1050</v>
      </c>
      <c r="X3680" s="4">
        <v>1050</v>
      </c>
      <c r="Y3680" s="4">
        <v>1050</v>
      </c>
      <c r="Z3680" s="4">
        <v>1050</v>
      </c>
      <c r="AA3680" s="4">
        <v>1050</v>
      </c>
      <c r="AB3680" s="3">
        <v>42562</v>
      </c>
      <c r="AC3680" t="s">
        <v>53</v>
      </c>
      <c r="AD3680" t="s">
        <v>53</v>
      </c>
      <c r="AK3680">
        <v>0</v>
      </c>
      <c r="AU3680" s="3">
        <v>42520</v>
      </c>
      <c r="AV3680" s="3">
        <v>42520</v>
      </c>
      <c r="AW3680" t="s">
        <v>54</v>
      </c>
      <c r="AX3680" t="str">
        <f t="shared" si="443"/>
        <v>FOR</v>
      </c>
      <c r="AY3680" t="s">
        <v>55</v>
      </c>
    </row>
    <row r="3681" spans="1:51">
      <c r="A3681">
        <v>106488</v>
      </c>
      <c r="B3681" t="s">
        <v>474</v>
      </c>
      <c r="C3681" t="str">
        <f>""</f>
        <v/>
      </c>
      <c r="D3681" t="str">
        <f>""</f>
        <v/>
      </c>
      <c r="E3681" t="s">
        <v>52</v>
      </c>
      <c r="F3681">
        <v>2016</v>
      </c>
      <c r="G3681" t="str">
        <f>"            56060972"</f>
        <v xml:space="preserve">            56060972</v>
      </c>
      <c r="H3681" s="3">
        <v>42482</v>
      </c>
      <c r="I3681" s="3">
        <v>42492</v>
      </c>
      <c r="J3681" s="3">
        <v>42492</v>
      </c>
      <c r="K3681" s="3">
        <v>42552</v>
      </c>
      <c r="L3681" s="5">
        <v>1050</v>
      </c>
      <c r="M3681">
        <v>-32</v>
      </c>
      <c r="N3681" s="5">
        <v>-33600</v>
      </c>
      <c r="O3681" s="4">
        <v>1050</v>
      </c>
      <c r="P3681">
        <v>-32</v>
      </c>
      <c r="Q3681" s="4">
        <v>-33600</v>
      </c>
      <c r="R3681">
        <v>0</v>
      </c>
      <c r="V3681">
        <v>-42</v>
      </c>
      <c r="W3681" s="4">
        <v>1050</v>
      </c>
      <c r="X3681" s="4">
        <v>1050</v>
      </c>
      <c r="Y3681" s="4">
        <v>1050</v>
      </c>
      <c r="Z3681" s="4">
        <v>1050</v>
      </c>
      <c r="AA3681" s="4">
        <v>1050</v>
      </c>
      <c r="AB3681" s="3">
        <v>42562</v>
      </c>
      <c r="AC3681" t="s">
        <v>53</v>
      </c>
      <c r="AD3681" t="s">
        <v>53</v>
      </c>
      <c r="AK3681">
        <v>0</v>
      </c>
      <c r="AU3681" s="3">
        <v>42520</v>
      </c>
      <c r="AV3681" s="3">
        <v>42520</v>
      </c>
      <c r="AW3681" t="s">
        <v>54</v>
      </c>
      <c r="AX3681" t="str">
        <f t="shared" si="443"/>
        <v>FOR</v>
      </c>
      <c r="AY3681" t="s">
        <v>55</v>
      </c>
    </row>
    <row r="3682" spans="1:51">
      <c r="A3682">
        <v>106489</v>
      </c>
      <c r="B3682" t="s">
        <v>475</v>
      </c>
      <c r="C3682" t="str">
        <f t="shared" ref="C3682:D3687" si="444">"08592930963"</f>
        <v>08592930963</v>
      </c>
      <c r="D3682" t="str">
        <f t="shared" si="444"/>
        <v>08592930963</v>
      </c>
      <c r="E3682" t="s">
        <v>52</v>
      </c>
      <c r="F3682">
        <v>2014</v>
      </c>
      <c r="G3682" t="str">
        <f>"            14811539"</f>
        <v xml:space="preserve">            14811539</v>
      </c>
      <c r="H3682" s="3">
        <v>41992</v>
      </c>
      <c r="I3682" s="3">
        <v>42066</v>
      </c>
      <c r="J3682" s="3">
        <v>42066</v>
      </c>
      <c r="K3682" s="3">
        <v>42126</v>
      </c>
      <c r="L3682" s="5">
        <v>8539.99</v>
      </c>
      <c r="M3682">
        <v>403</v>
      </c>
      <c r="N3682" s="5">
        <v>3441615.97</v>
      </c>
      <c r="O3682" s="4">
        <v>8539.99</v>
      </c>
      <c r="P3682">
        <v>403</v>
      </c>
      <c r="Q3682" s="4">
        <v>3441615.97</v>
      </c>
      <c r="R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 s="3">
        <v>42562</v>
      </c>
      <c r="AC3682" t="s">
        <v>53</v>
      </c>
      <c r="AD3682" t="s">
        <v>53</v>
      </c>
      <c r="AK3682">
        <v>0</v>
      </c>
      <c r="AU3682" s="3">
        <v>42529</v>
      </c>
      <c r="AV3682" s="3">
        <v>42529</v>
      </c>
      <c r="AW3682" t="s">
        <v>54</v>
      </c>
      <c r="AX3682" t="str">
        <f t="shared" si="443"/>
        <v>FOR</v>
      </c>
      <c r="AY3682" t="s">
        <v>55</v>
      </c>
    </row>
    <row r="3683" spans="1:51" hidden="1">
      <c r="A3683">
        <v>106489</v>
      </c>
      <c r="B3683" t="s">
        <v>475</v>
      </c>
      <c r="C3683" t="str">
        <f t="shared" si="444"/>
        <v>08592930963</v>
      </c>
      <c r="D3683" t="str">
        <f t="shared" si="444"/>
        <v>08592930963</v>
      </c>
      <c r="E3683" t="s">
        <v>52</v>
      </c>
      <c r="F3683">
        <v>2015</v>
      </c>
      <c r="G3683" t="str">
        <f>"            15705091"</f>
        <v xml:space="preserve">            15705091</v>
      </c>
      <c r="H3683" s="3">
        <v>42081</v>
      </c>
      <c r="I3683" s="3">
        <v>42097</v>
      </c>
      <c r="J3683" s="3">
        <v>42097</v>
      </c>
      <c r="K3683" s="3">
        <v>42157</v>
      </c>
      <c r="L3683"/>
      <c r="N3683"/>
      <c r="O3683" s="4">
        <v>9490</v>
      </c>
      <c r="P3683">
        <v>258</v>
      </c>
      <c r="Q3683" s="4">
        <v>2448420</v>
      </c>
      <c r="R3683">
        <v>0</v>
      </c>
      <c r="V3683">
        <v>0</v>
      </c>
      <c r="W3683">
        <v>0</v>
      </c>
      <c r="X3683">
        <v>0</v>
      </c>
      <c r="Y3683">
        <v>0</v>
      </c>
      <c r="Z3683">
        <v>0</v>
      </c>
      <c r="AA3683">
        <v>0</v>
      </c>
      <c r="AB3683" s="3">
        <v>42562</v>
      </c>
      <c r="AC3683" t="s">
        <v>53</v>
      </c>
      <c r="AD3683" t="s">
        <v>53</v>
      </c>
      <c r="AK3683">
        <v>0</v>
      </c>
      <c r="AU3683" s="3">
        <v>42415</v>
      </c>
      <c r="AV3683" s="3">
        <v>42415</v>
      </c>
      <c r="AW3683" t="s">
        <v>54</v>
      </c>
      <c r="AX3683" t="str">
        <f t="shared" si="443"/>
        <v>FOR</v>
      </c>
      <c r="AY3683" t="s">
        <v>55</v>
      </c>
    </row>
    <row r="3684" spans="1:51">
      <c r="A3684">
        <v>106489</v>
      </c>
      <c r="B3684" t="s">
        <v>475</v>
      </c>
      <c r="C3684" t="str">
        <f t="shared" si="444"/>
        <v>08592930963</v>
      </c>
      <c r="D3684" t="str">
        <f t="shared" si="444"/>
        <v>08592930963</v>
      </c>
      <c r="E3684" t="s">
        <v>52</v>
      </c>
      <c r="F3684">
        <v>2015</v>
      </c>
      <c r="G3684" t="str">
        <f>"            15705475"</f>
        <v xml:space="preserve">            15705475</v>
      </c>
      <c r="H3684" s="3">
        <v>42082</v>
      </c>
      <c r="I3684" s="3">
        <v>42097</v>
      </c>
      <c r="J3684" s="3">
        <v>42097</v>
      </c>
      <c r="K3684" s="3">
        <v>42157</v>
      </c>
      <c r="L3684" s="5">
        <v>6999.99</v>
      </c>
      <c r="M3684">
        <v>372</v>
      </c>
      <c r="N3684" s="5">
        <v>2603996.2799999998</v>
      </c>
      <c r="O3684" s="4">
        <v>6999.99</v>
      </c>
      <c r="P3684">
        <v>372</v>
      </c>
      <c r="Q3684" s="4">
        <v>2603996.2799999998</v>
      </c>
      <c r="R3684" s="4">
        <v>1540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 s="3">
        <v>42562</v>
      </c>
      <c r="AC3684" t="s">
        <v>53</v>
      </c>
      <c r="AD3684" t="s">
        <v>53</v>
      </c>
      <c r="AK3684" s="4">
        <v>1540</v>
      </c>
      <c r="AU3684" s="3">
        <v>42529</v>
      </c>
      <c r="AV3684" s="3">
        <v>42529</v>
      </c>
      <c r="AW3684" t="s">
        <v>54</v>
      </c>
      <c r="AX3684" t="str">
        <f t="shared" si="443"/>
        <v>FOR</v>
      </c>
      <c r="AY3684" t="s">
        <v>55</v>
      </c>
    </row>
    <row r="3685" spans="1:51" hidden="1">
      <c r="A3685">
        <v>106489</v>
      </c>
      <c r="B3685" t="s">
        <v>475</v>
      </c>
      <c r="C3685" t="str">
        <f t="shared" si="444"/>
        <v>08592930963</v>
      </c>
      <c r="D3685" t="str">
        <f t="shared" si="444"/>
        <v>08592930963</v>
      </c>
      <c r="E3685" t="s">
        <v>52</v>
      </c>
      <c r="F3685">
        <v>2015</v>
      </c>
      <c r="G3685" t="str">
        <f>"            15709959"</f>
        <v xml:space="preserve">            15709959</v>
      </c>
      <c r="H3685" s="3">
        <v>42145</v>
      </c>
      <c r="I3685" s="3">
        <v>42263</v>
      </c>
      <c r="J3685" s="3">
        <v>42262</v>
      </c>
      <c r="K3685" s="3">
        <v>42322</v>
      </c>
      <c r="L3685"/>
      <c r="N3685"/>
      <c r="O3685" s="4">
        <v>13001</v>
      </c>
      <c r="P3685">
        <v>130</v>
      </c>
      <c r="Q3685" s="4">
        <v>1690130</v>
      </c>
      <c r="R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 s="3">
        <v>42562</v>
      </c>
      <c r="AC3685" t="s">
        <v>53</v>
      </c>
      <c r="AD3685" t="s">
        <v>53</v>
      </c>
      <c r="AK3685">
        <v>0</v>
      </c>
      <c r="AU3685" s="3">
        <v>42452</v>
      </c>
      <c r="AV3685" s="3">
        <v>42452</v>
      </c>
      <c r="AW3685" t="s">
        <v>54</v>
      </c>
      <c r="AX3685" t="str">
        <f t="shared" si="443"/>
        <v>FOR</v>
      </c>
      <c r="AY3685" t="s">
        <v>55</v>
      </c>
    </row>
    <row r="3686" spans="1:51">
      <c r="A3686">
        <v>106489</v>
      </c>
      <c r="B3686" t="s">
        <v>475</v>
      </c>
      <c r="C3686" t="str">
        <f t="shared" si="444"/>
        <v>08592930963</v>
      </c>
      <c r="D3686" t="str">
        <f t="shared" si="444"/>
        <v>08592930963</v>
      </c>
      <c r="E3686" t="s">
        <v>52</v>
      </c>
      <c r="F3686">
        <v>2015</v>
      </c>
      <c r="G3686" t="str">
        <f>"            15710541"</f>
        <v xml:space="preserve">            15710541</v>
      </c>
      <c r="H3686" s="3">
        <v>42159</v>
      </c>
      <c r="I3686" s="3">
        <v>42263</v>
      </c>
      <c r="J3686" s="3">
        <v>42263</v>
      </c>
      <c r="K3686" s="3">
        <v>42323</v>
      </c>
      <c r="L3686" s="5">
        <v>1378</v>
      </c>
      <c r="M3686">
        <v>164</v>
      </c>
      <c r="N3686" s="5">
        <v>225992</v>
      </c>
      <c r="O3686" s="4">
        <v>1378</v>
      </c>
      <c r="P3686">
        <v>164</v>
      </c>
      <c r="Q3686" s="4">
        <v>225992</v>
      </c>
      <c r="R3686">
        <v>0</v>
      </c>
      <c r="V3686">
        <v>0</v>
      </c>
      <c r="W3686">
        <v>0</v>
      </c>
      <c r="X3686">
        <v>0</v>
      </c>
      <c r="Y3686">
        <v>0</v>
      </c>
      <c r="Z3686">
        <v>0</v>
      </c>
      <c r="AA3686">
        <v>0</v>
      </c>
      <c r="AB3686" s="3">
        <v>42562</v>
      </c>
      <c r="AC3686" t="s">
        <v>53</v>
      </c>
      <c r="AD3686" t="s">
        <v>53</v>
      </c>
      <c r="AK3686">
        <v>0</v>
      </c>
      <c r="AU3686" s="3">
        <v>42487</v>
      </c>
      <c r="AV3686" s="3">
        <v>42487</v>
      </c>
      <c r="AW3686" t="s">
        <v>54</v>
      </c>
      <c r="AX3686" t="str">
        <f t="shared" si="443"/>
        <v>FOR</v>
      </c>
      <c r="AY3686" t="s">
        <v>55</v>
      </c>
    </row>
    <row r="3687" spans="1:51">
      <c r="A3687">
        <v>106489</v>
      </c>
      <c r="B3687" t="s">
        <v>475</v>
      </c>
      <c r="C3687" t="str">
        <f t="shared" si="444"/>
        <v>08592930963</v>
      </c>
      <c r="D3687" t="str">
        <f t="shared" si="444"/>
        <v>08592930963</v>
      </c>
      <c r="E3687" t="s">
        <v>52</v>
      </c>
      <c r="F3687">
        <v>2015</v>
      </c>
      <c r="G3687" t="str">
        <f>"            15711746"</f>
        <v xml:space="preserve">            15711746</v>
      </c>
      <c r="H3687" s="3">
        <v>42174</v>
      </c>
      <c r="I3687" s="3">
        <v>42198</v>
      </c>
      <c r="J3687" s="3">
        <v>42194</v>
      </c>
      <c r="K3687" s="3">
        <v>42254</v>
      </c>
      <c r="L3687" s="5">
        <v>6999.99</v>
      </c>
      <c r="M3687">
        <v>275</v>
      </c>
      <c r="N3687" s="5">
        <v>1924997.25</v>
      </c>
      <c r="O3687" s="4">
        <v>6999.99</v>
      </c>
      <c r="P3687">
        <v>275</v>
      </c>
      <c r="Q3687" s="4">
        <v>1924997.25</v>
      </c>
      <c r="R3687" s="4">
        <v>1540</v>
      </c>
      <c r="V3687">
        <v>0</v>
      </c>
      <c r="W3687">
        <v>0</v>
      </c>
      <c r="X3687">
        <v>0</v>
      </c>
      <c r="Y3687">
        <v>0</v>
      </c>
      <c r="Z3687">
        <v>0</v>
      </c>
      <c r="AA3687">
        <v>0</v>
      </c>
      <c r="AB3687" s="3">
        <v>42562</v>
      </c>
      <c r="AC3687" t="s">
        <v>53</v>
      </c>
      <c r="AD3687" t="s">
        <v>53</v>
      </c>
      <c r="AK3687" s="4">
        <v>1540</v>
      </c>
      <c r="AU3687" s="3">
        <v>42529</v>
      </c>
      <c r="AV3687" s="3">
        <v>42529</v>
      </c>
      <c r="AW3687" t="s">
        <v>54</v>
      </c>
      <c r="AX3687" t="str">
        <f t="shared" si="443"/>
        <v>FOR</v>
      </c>
      <c r="AY3687" t="s">
        <v>55</v>
      </c>
    </row>
    <row r="3688" spans="1:51" hidden="1">
      <c r="A3688">
        <v>106494</v>
      </c>
      <c r="B3688" t="s">
        <v>476</v>
      </c>
      <c r="C3688" t="str">
        <f t="shared" ref="C3688:C3693" si="445">"03986740615"</f>
        <v>03986740615</v>
      </c>
      <c r="D3688" t="str">
        <f t="shared" ref="D3688:D3693" si="446">"MZZMRN82H17C495G"</f>
        <v>MZZMRN82H17C495G</v>
      </c>
      <c r="E3688" t="s">
        <v>52</v>
      </c>
      <c r="F3688">
        <v>2015</v>
      </c>
      <c r="G3688" t="str">
        <f>"         FATTPA 7_15"</f>
        <v xml:space="preserve">         FATTPA 7_15</v>
      </c>
      <c r="H3688" s="3">
        <v>42312</v>
      </c>
      <c r="I3688" s="3">
        <v>42313</v>
      </c>
      <c r="J3688" s="3">
        <v>42312</v>
      </c>
      <c r="K3688" s="3">
        <v>42372</v>
      </c>
      <c r="L3688"/>
      <c r="N3688"/>
      <c r="O3688" s="4">
        <v>2710.99</v>
      </c>
      <c r="P3688">
        <v>8</v>
      </c>
      <c r="Q3688" s="4">
        <v>21687.919999999998</v>
      </c>
      <c r="R3688">
        <v>0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 s="3">
        <v>42562</v>
      </c>
      <c r="AC3688" t="s">
        <v>53</v>
      </c>
      <c r="AD3688" t="s">
        <v>53</v>
      </c>
      <c r="AK3688">
        <v>0</v>
      </c>
      <c r="AU3688" s="3">
        <v>42380</v>
      </c>
      <c r="AV3688" s="3">
        <v>42380</v>
      </c>
      <c r="AW3688" t="s">
        <v>54</v>
      </c>
      <c r="AX3688" t="str">
        <f t="shared" ref="AX3688:AX3693" si="447">"ALTPRO"</f>
        <v>ALTPRO</v>
      </c>
      <c r="AY3688" t="s">
        <v>93</v>
      </c>
    </row>
    <row r="3689" spans="1:51" hidden="1">
      <c r="A3689">
        <v>106494</v>
      </c>
      <c r="B3689" t="s">
        <v>476</v>
      </c>
      <c r="C3689" t="str">
        <f t="shared" si="445"/>
        <v>03986740615</v>
      </c>
      <c r="D3689" t="str">
        <f t="shared" si="446"/>
        <v>MZZMRN82H17C495G</v>
      </c>
      <c r="E3689" t="s">
        <v>52</v>
      </c>
      <c r="F3689">
        <v>2016</v>
      </c>
      <c r="G3689" t="str">
        <f>"         FATTPA 1_16"</f>
        <v xml:space="preserve">         FATTPA 1_16</v>
      </c>
      <c r="H3689" s="3">
        <v>42377</v>
      </c>
      <c r="I3689" s="3">
        <v>42388</v>
      </c>
      <c r="J3689" s="3">
        <v>42387</v>
      </c>
      <c r="K3689" s="3">
        <v>42447</v>
      </c>
      <c r="L3689"/>
      <c r="N3689"/>
      <c r="O3689" s="4">
        <v>1712.17</v>
      </c>
      <c r="P3689">
        <v>-50</v>
      </c>
      <c r="Q3689" s="4">
        <v>-85608.5</v>
      </c>
      <c r="R3689">
        <v>0</v>
      </c>
      <c r="V3689">
        <v>0</v>
      </c>
      <c r="W3689">
        <v>0</v>
      </c>
      <c r="X3689">
        <v>0</v>
      </c>
      <c r="Y3689">
        <v>0</v>
      </c>
      <c r="Z3689" s="4">
        <v>1712.17</v>
      </c>
      <c r="AA3689" s="4">
        <v>1712.17</v>
      </c>
      <c r="AB3689" s="3">
        <v>42562</v>
      </c>
      <c r="AC3689" t="s">
        <v>53</v>
      </c>
      <c r="AD3689" t="s">
        <v>53</v>
      </c>
      <c r="AK3689">
        <v>0</v>
      </c>
      <c r="AU3689" s="3">
        <v>42397</v>
      </c>
      <c r="AV3689" s="3">
        <v>42397</v>
      </c>
      <c r="AW3689" t="s">
        <v>54</v>
      </c>
      <c r="AX3689" t="str">
        <f t="shared" si="447"/>
        <v>ALTPRO</v>
      </c>
      <c r="AY3689" t="s">
        <v>93</v>
      </c>
    </row>
    <row r="3690" spans="1:51" hidden="1">
      <c r="A3690">
        <v>106494</v>
      </c>
      <c r="B3690" t="s">
        <v>476</v>
      </c>
      <c r="C3690" t="str">
        <f t="shared" si="445"/>
        <v>03986740615</v>
      </c>
      <c r="D3690" t="str">
        <f t="shared" si="446"/>
        <v>MZZMRN82H17C495G</v>
      </c>
      <c r="E3690" t="s">
        <v>52</v>
      </c>
      <c r="F3690">
        <v>2016</v>
      </c>
      <c r="G3690" t="str">
        <f>"         FATTPA 2_16"</f>
        <v xml:space="preserve">         FATTPA 2_16</v>
      </c>
      <c r="H3690" s="3">
        <v>42405</v>
      </c>
      <c r="I3690" s="3">
        <v>42408</v>
      </c>
      <c r="J3690" s="3">
        <v>42405</v>
      </c>
      <c r="K3690" s="3">
        <v>42465</v>
      </c>
      <c r="L3690"/>
      <c r="N3690"/>
      <c r="O3690" s="4">
        <v>2530.64</v>
      </c>
      <c r="P3690">
        <v>-39</v>
      </c>
      <c r="Q3690" s="4">
        <v>-98694.96</v>
      </c>
      <c r="R3690">
        <v>0</v>
      </c>
      <c r="V3690">
        <v>0</v>
      </c>
      <c r="W3690">
        <v>0</v>
      </c>
      <c r="X3690">
        <v>0</v>
      </c>
      <c r="Y3690" s="4">
        <v>2530.64</v>
      </c>
      <c r="Z3690" s="4">
        <v>2530.64</v>
      </c>
      <c r="AA3690" s="4">
        <v>2530.64</v>
      </c>
      <c r="AB3690" s="3">
        <v>42562</v>
      </c>
      <c r="AC3690" t="s">
        <v>53</v>
      </c>
      <c r="AD3690" t="s">
        <v>53</v>
      </c>
      <c r="AK3690">
        <v>0</v>
      </c>
      <c r="AU3690" s="3">
        <v>42426</v>
      </c>
      <c r="AV3690" s="3">
        <v>42426</v>
      </c>
      <c r="AW3690" t="s">
        <v>54</v>
      </c>
      <c r="AX3690" t="str">
        <f t="shared" si="447"/>
        <v>ALTPRO</v>
      </c>
      <c r="AY3690" t="s">
        <v>93</v>
      </c>
    </row>
    <row r="3691" spans="1:51" hidden="1">
      <c r="A3691">
        <v>106494</v>
      </c>
      <c r="B3691" t="s">
        <v>476</v>
      </c>
      <c r="C3691" t="str">
        <f t="shared" si="445"/>
        <v>03986740615</v>
      </c>
      <c r="D3691" t="str">
        <f t="shared" si="446"/>
        <v>MZZMRN82H17C495G</v>
      </c>
      <c r="E3691" t="s">
        <v>52</v>
      </c>
      <c r="F3691">
        <v>2016</v>
      </c>
      <c r="G3691" t="str">
        <f>"         FATTPA 3_16"</f>
        <v xml:space="preserve">         FATTPA 3_16</v>
      </c>
      <c r="H3691" s="3">
        <v>42437</v>
      </c>
      <c r="I3691" s="3">
        <v>42437</v>
      </c>
      <c r="J3691" s="3">
        <v>42437</v>
      </c>
      <c r="K3691" s="3">
        <v>42497</v>
      </c>
      <c r="L3691"/>
      <c r="N3691"/>
      <c r="O3691" s="4">
        <v>2636</v>
      </c>
      <c r="P3691">
        <v>-46</v>
      </c>
      <c r="Q3691" s="4">
        <v>-121256</v>
      </c>
      <c r="R3691">
        <v>0</v>
      </c>
      <c r="V3691">
        <v>0</v>
      </c>
      <c r="W3691">
        <v>0</v>
      </c>
      <c r="X3691">
        <v>0</v>
      </c>
      <c r="Y3691" s="4">
        <v>2636</v>
      </c>
      <c r="Z3691" s="4">
        <v>2636</v>
      </c>
      <c r="AA3691" s="4">
        <v>2636</v>
      </c>
      <c r="AB3691" s="3">
        <v>42562</v>
      </c>
      <c r="AC3691" t="s">
        <v>53</v>
      </c>
      <c r="AD3691" t="s">
        <v>53</v>
      </c>
      <c r="AK3691">
        <v>0</v>
      </c>
      <c r="AU3691" s="3">
        <v>42451</v>
      </c>
      <c r="AV3691" s="3">
        <v>42451</v>
      </c>
      <c r="AW3691" t="s">
        <v>54</v>
      </c>
      <c r="AX3691" t="str">
        <f t="shared" si="447"/>
        <v>ALTPRO</v>
      </c>
      <c r="AY3691" t="s">
        <v>93</v>
      </c>
    </row>
    <row r="3692" spans="1:51">
      <c r="A3692">
        <v>106494</v>
      </c>
      <c r="B3692" t="s">
        <v>476</v>
      </c>
      <c r="C3692" t="str">
        <f t="shared" si="445"/>
        <v>03986740615</v>
      </c>
      <c r="D3692" t="str">
        <f t="shared" si="446"/>
        <v>MZZMRN82H17C495G</v>
      </c>
      <c r="E3692" t="s">
        <v>52</v>
      </c>
      <c r="F3692">
        <v>2016</v>
      </c>
      <c r="G3692" t="str">
        <f>"         FATTPA 4_16"</f>
        <v xml:space="preserve">         FATTPA 4_16</v>
      </c>
      <c r="H3692" s="3">
        <v>42465</v>
      </c>
      <c r="I3692" s="3">
        <v>42466</v>
      </c>
      <c r="J3692" s="3">
        <v>42465</v>
      </c>
      <c r="K3692" s="3">
        <v>42525</v>
      </c>
      <c r="L3692" s="5">
        <v>2712.22</v>
      </c>
      <c r="M3692">
        <v>-38</v>
      </c>
      <c r="N3692" s="5">
        <v>-103064.36</v>
      </c>
      <c r="O3692" s="4">
        <v>2712.22</v>
      </c>
      <c r="P3692">
        <v>-38</v>
      </c>
      <c r="Q3692" s="4">
        <v>-103064.36</v>
      </c>
      <c r="R3692">
        <v>0</v>
      </c>
      <c r="V3692">
        <v>0</v>
      </c>
      <c r="W3692" s="4">
        <v>2712.22</v>
      </c>
      <c r="X3692" s="4">
        <v>2712.22</v>
      </c>
      <c r="Y3692" s="4">
        <v>2712.22</v>
      </c>
      <c r="Z3692" s="4">
        <v>2712.22</v>
      </c>
      <c r="AA3692" s="4">
        <v>2712.22</v>
      </c>
      <c r="AB3692" s="3">
        <v>42562</v>
      </c>
      <c r="AC3692" t="s">
        <v>53</v>
      </c>
      <c r="AD3692" t="s">
        <v>53</v>
      </c>
      <c r="AK3692">
        <v>0</v>
      </c>
      <c r="AU3692" s="3">
        <v>42487</v>
      </c>
      <c r="AV3692" s="3">
        <v>42487</v>
      </c>
      <c r="AW3692" t="s">
        <v>54</v>
      </c>
      <c r="AX3692" t="str">
        <f t="shared" si="447"/>
        <v>ALTPRO</v>
      </c>
      <c r="AY3692" t="s">
        <v>93</v>
      </c>
    </row>
    <row r="3693" spans="1:51">
      <c r="A3693">
        <v>106494</v>
      </c>
      <c r="B3693" t="s">
        <v>476</v>
      </c>
      <c r="C3693" t="str">
        <f t="shared" si="445"/>
        <v>03986740615</v>
      </c>
      <c r="D3693" t="str">
        <f t="shared" si="446"/>
        <v>MZZMRN82H17C495G</v>
      </c>
      <c r="E3693" t="s">
        <v>52</v>
      </c>
      <c r="F3693">
        <v>2016</v>
      </c>
      <c r="G3693" t="str">
        <f>"         FATTPA 5_16"</f>
        <v xml:space="preserve">         FATTPA 5_16</v>
      </c>
      <c r="H3693" s="3">
        <v>42493</v>
      </c>
      <c r="I3693" s="3">
        <v>42495</v>
      </c>
      <c r="J3693" s="3">
        <v>42494</v>
      </c>
      <c r="K3693" s="3">
        <v>42554</v>
      </c>
      <c r="L3693" s="5">
        <v>2496.23</v>
      </c>
      <c r="M3693">
        <v>-38</v>
      </c>
      <c r="N3693" s="5">
        <v>-94856.74</v>
      </c>
      <c r="O3693" s="4">
        <v>2496.23</v>
      </c>
      <c r="P3693">
        <v>-38</v>
      </c>
      <c r="Q3693" s="4">
        <v>-94856.74</v>
      </c>
      <c r="R3693">
        <v>0</v>
      </c>
      <c r="V3693" s="4">
        <v>2496.23</v>
      </c>
      <c r="W3693" s="4">
        <v>2496.23</v>
      </c>
      <c r="X3693" s="4">
        <v>2496.23</v>
      </c>
      <c r="Y3693" s="4">
        <v>2496.23</v>
      </c>
      <c r="Z3693" s="4">
        <v>2496.23</v>
      </c>
      <c r="AA3693" s="4">
        <v>2496.23</v>
      </c>
      <c r="AB3693" s="3">
        <v>42562</v>
      </c>
      <c r="AC3693" t="s">
        <v>53</v>
      </c>
      <c r="AD3693" t="s">
        <v>53</v>
      </c>
      <c r="AK3693">
        <v>0</v>
      </c>
      <c r="AU3693" s="3">
        <v>42516</v>
      </c>
      <c r="AV3693" s="3">
        <v>42516</v>
      </c>
      <c r="AW3693" t="s">
        <v>54</v>
      </c>
      <c r="AX3693" t="str">
        <f t="shared" si="447"/>
        <v>ALTPRO</v>
      </c>
      <c r="AY3693" t="s">
        <v>93</v>
      </c>
    </row>
    <row r="3694" spans="1:51" hidden="1">
      <c r="A3694">
        <v>106514</v>
      </c>
      <c r="B3694" t="s">
        <v>477</v>
      </c>
      <c r="C3694" t="str">
        <f t="shared" ref="C3694:D3698" si="448">"03562770481"</f>
        <v>03562770481</v>
      </c>
      <c r="D3694" t="str">
        <f t="shared" si="448"/>
        <v>03562770481</v>
      </c>
      <c r="E3694" t="s">
        <v>52</v>
      </c>
      <c r="F3694">
        <v>2016</v>
      </c>
      <c r="G3694" t="str">
        <f>"                0120"</f>
        <v xml:space="preserve">                0120</v>
      </c>
      <c r="H3694" s="3">
        <v>42389</v>
      </c>
      <c r="I3694" s="3">
        <v>42390</v>
      </c>
      <c r="J3694" s="3">
        <v>42390</v>
      </c>
      <c r="K3694" s="3">
        <v>42450</v>
      </c>
      <c r="L3694"/>
      <c r="N3694"/>
      <c r="O3694">
        <v>343.82</v>
      </c>
      <c r="P3694">
        <v>-60</v>
      </c>
      <c r="Q3694" s="4">
        <v>-20629.2</v>
      </c>
      <c r="R3694">
        <v>0</v>
      </c>
      <c r="V3694">
        <v>0</v>
      </c>
      <c r="W3694">
        <v>0</v>
      </c>
      <c r="X3694">
        <v>0</v>
      </c>
      <c r="Y3694">
        <v>343.82</v>
      </c>
      <c r="Z3694">
        <v>343.82</v>
      </c>
      <c r="AA3694">
        <v>343.82</v>
      </c>
      <c r="AB3694" s="3">
        <v>42562</v>
      </c>
      <c r="AC3694" t="s">
        <v>53</v>
      </c>
      <c r="AD3694" t="s">
        <v>53</v>
      </c>
      <c r="AK3694">
        <v>0</v>
      </c>
      <c r="AU3694" s="3">
        <v>42390</v>
      </c>
      <c r="AV3694" s="3">
        <v>42390</v>
      </c>
      <c r="AW3694" t="s">
        <v>54</v>
      </c>
      <c r="AX3694" t="str">
        <f>"ALT"</f>
        <v>ALT</v>
      </c>
      <c r="AY3694" t="s">
        <v>72</v>
      </c>
    </row>
    <row r="3695" spans="1:51" hidden="1">
      <c r="A3695">
        <v>106514</v>
      </c>
      <c r="B3695" t="s">
        <v>477</v>
      </c>
      <c r="C3695" t="str">
        <f t="shared" si="448"/>
        <v>03562770481</v>
      </c>
      <c r="D3695" t="str">
        <f t="shared" si="448"/>
        <v>03562770481</v>
      </c>
      <c r="E3695" t="s">
        <v>52</v>
      </c>
      <c r="F3695">
        <v>2016</v>
      </c>
      <c r="G3695" t="str">
        <f>"                0222"</f>
        <v xml:space="preserve">                0222</v>
      </c>
      <c r="H3695" s="3">
        <v>42422</v>
      </c>
      <c r="I3695" s="3">
        <v>42422</v>
      </c>
      <c r="J3695" s="3">
        <v>42422</v>
      </c>
      <c r="K3695" s="3">
        <v>42482</v>
      </c>
      <c r="L3695"/>
      <c r="N3695"/>
      <c r="O3695">
        <v>343.82</v>
      </c>
      <c r="P3695">
        <v>-58</v>
      </c>
      <c r="Q3695" s="4">
        <v>-19941.560000000001</v>
      </c>
      <c r="R3695">
        <v>0</v>
      </c>
      <c r="V3695">
        <v>0</v>
      </c>
      <c r="W3695">
        <v>0</v>
      </c>
      <c r="X3695">
        <v>0</v>
      </c>
      <c r="Y3695">
        <v>343.82</v>
      </c>
      <c r="Z3695">
        <v>343.82</v>
      </c>
      <c r="AA3695">
        <v>343.82</v>
      </c>
      <c r="AB3695" s="3">
        <v>42562</v>
      </c>
      <c r="AC3695" t="s">
        <v>53</v>
      </c>
      <c r="AD3695" t="s">
        <v>53</v>
      </c>
      <c r="AK3695">
        <v>0</v>
      </c>
      <c r="AU3695" s="3">
        <v>42424</v>
      </c>
      <c r="AV3695" s="3">
        <v>42424</v>
      </c>
      <c r="AW3695" t="s">
        <v>54</v>
      </c>
      <c r="AX3695" t="str">
        <f>"ALT"</f>
        <v>ALT</v>
      </c>
      <c r="AY3695" t="s">
        <v>72</v>
      </c>
    </row>
    <row r="3696" spans="1:51" hidden="1">
      <c r="A3696">
        <v>106514</v>
      </c>
      <c r="B3696" t="s">
        <v>477</v>
      </c>
      <c r="C3696" t="str">
        <f t="shared" si="448"/>
        <v>03562770481</v>
      </c>
      <c r="D3696" t="str">
        <f t="shared" si="448"/>
        <v>03562770481</v>
      </c>
      <c r="E3696" t="s">
        <v>52</v>
      </c>
      <c r="F3696">
        <v>2016</v>
      </c>
      <c r="G3696" t="str">
        <f>"                0321"</f>
        <v xml:space="preserve">                0321</v>
      </c>
      <c r="H3696" s="3">
        <v>42450</v>
      </c>
      <c r="I3696" s="3">
        <v>42450</v>
      </c>
      <c r="J3696" s="3">
        <v>42450</v>
      </c>
      <c r="K3696" s="3">
        <v>42510</v>
      </c>
      <c r="L3696"/>
      <c r="N3696"/>
      <c r="O3696">
        <v>343.82</v>
      </c>
      <c r="P3696">
        <v>-57</v>
      </c>
      <c r="Q3696" s="4">
        <v>-19597.740000000002</v>
      </c>
      <c r="R3696">
        <v>0</v>
      </c>
      <c r="V3696">
        <v>0</v>
      </c>
      <c r="W3696">
        <v>0</v>
      </c>
      <c r="X3696">
        <v>0</v>
      </c>
      <c r="Y3696">
        <v>343.82</v>
      </c>
      <c r="Z3696">
        <v>343.82</v>
      </c>
      <c r="AA3696">
        <v>343.82</v>
      </c>
      <c r="AB3696" s="3">
        <v>42562</v>
      </c>
      <c r="AC3696" t="s">
        <v>53</v>
      </c>
      <c r="AD3696" t="s">
        <v>53</v>
      </c>
      <c r="AK3696">
        <v>0</v>
      </c>
      <c r="AU3696" s="3">
        <v>42453</v>
      </c>
      <c r="AV3696" s="3">
        <v>42453</v>
      </c>
      <c r="AW3696" t="s">
        <v>54</v>
      </c>
      <c r="AX3696" t="str">
        <f>"ALT"</f>
        <v>ALT</v>
      </c>
      <c r="AY3696" t="s">
        <v>72</v>
      </c>
    </row>
    <row r="3697" spans="1:51" hidden="1">
      <c r="A3697">
        <v>106514</v>
      </c>
      <c r="B3697" t="s">
        <v>477</v>
      </c>
      <c r="C3697" t="str">
        <f t="shared" si="448"/>
        <v>03562770481</v>
      </c>
      <c r="D3697" t="str">
        <f t="shared" si="448"/>
        <v>03562770481</v>
      </c>
      <c r="E3697" t="s">
        <v>52</v>
      </c>
      <c r="F3697">
        <v>2016</v>
      </c>
      <c r="G3697" t="str">
        <f>"                0421"</f>
        <v xml:space="preserve">                0421</v>
      </c>
      <c r="H3697" s="3">
        <v>42481</v>
      </c>
      <c r="I3697" s="3">
        <v>42481</v>
      </c>
      <c r="J3697" s="3">
        <v>42481</v>
      </c>
      <c r="K3697" s="3">
        <v>42541</v>
      </c>
      <c r="L3697">
        <v>343.82</v>
      </c>
      <c r="M3697">
        <v>-60</v>
      </c>
      <c r="N3697" s="4">
        <v>-20629.2</v>
      </c>
      <c r="O3697">
        <v>343.82</v>
      </c>
      <c r="P3697">
        <v>-60</v>
      </c>
      <c r="Q3697" s="4">
        <v>-20629.2</v>
      </c>
      <c r="R3697">
        <v>0</v>
      </c>
      <c r="V3697">
        <v>343.82</v>
      </c>
      <c r="W3697">
        <v>343.82</v>
      </c>
      <c r="X3697">
        <v>343.82</v>
      </c>
      <c r="Y3697">
        <v>343.82</v>
      </c>
      <c r="Z3697">
        <v>343.82</v>
      </c>
      <c r="AA3697">
        <v>343.82</v>
      </c>
      <c r="AB3697" s="3">
        <v>42562</v>
      </c>
      <c r="AC3697" t="s">
        <v>53</v>
      </c>
      <c r="AD3697" t="s">
        <v>53</v>
      </c>
      <c r="AK3697">
        <v>0</v>
      </c>
      <c r="AU3697" s="3">
        <v>42481</v>
      </c>
      <c r="AV3697" s="3">
        <v>42481</v>
      </c>
      <c r="AW3697" t="s">
        <v>54</v>
      </c>
      <c r="AX3697" t="str">
        <f>"ALT"</f>
        <v>ALT</v>
      </c>
      <c r="AY3697" t="s">
        <v>72</v>
      </c>
    </row>
    <row r="3698" spans="1:51" hidden="1">
      <c r="A3698">
        <v>106514</v>
      </c>
      <c r="B3698" t="s">
        <v>477</v>
      </c>
      <c r="C3698" t="str">
        <f t="shared" si="448"/>
        <v>03562770481</v>
      </c>
      <c r="D3698" t="str">
        <f t="shared" si="448"/>
        <v>03562770481</v>
      </c>
      <c r="E3698" t="s">
        <v>52</v>
      </c>
      <c r="F3698">
        <v>2016</v>
      </c>
      <c r="G3698" t="str">
        <f>"                0518"</f>
        <v xml:space="preserve">                0518</v>
      </c>
      <c r="H3698" s="3">
        <v>42508</v>
      </c>
      <c r="I3698" s="3">
        <v>42510</v>
      </c>
      <c r="J3698" s="3">
        <v>42510</v>
      </c>
      <c r="K3698" s="3">
        <v>42570</v>
      </c>
      <c r="L3698">
        <v>343.82</v>
      </c>
      <c r="M3698">
        <v>-57</v>
      </c>
      <c r="N3698" s="4">
        <v>-19597.740000000002</v>
      </c>
      <c r="O3698">
        <v>343.82</v>
      </c>
      <c r="P3698">
        <v>-57</v>
      </c>
      <c r="Q3698" s="4">
        <v>-19597.740000000002</v>
      </c>
      <c r="R3698">
        <v>0</v>
      </c>
      <c r="V3698">
        <v>343.82</v>
      </c>
      <c r="W3698">
        <v>343.82</v>
      </c>
      <c r="X3698">
        <v>343.82</v>
      </c>
      <c r="Y3698">
        <v>343.82</v>
      </c>
      <c r="Z3698">
        <v>343.82</v>
      </c>
      <c r="AA3698">
        <v>343.82</v>
      </c>
      <c r="AB3698" s="3">
        <v>42562</v>
      </c>
      <c r="AC3698" t="s">
        <v>53</v>
      </c>
      <c r="AD3698" t="s">
        <v>53</v>
      </c>
      <c r="AK3698">
        <v>0</v>
      </c>
      <c r="AU3698" s="3">
        <v>42513</v>
      </c>
      <c r="AV3698" s="3">
        <v>42513</v>
      </c>
      <c r="AW3698" t="s">
        <v>54</v>
      </c>
      <c r="AX3698" t="str">
        <f>"ALT"</f>
        <v>ALT</v>
      </c>
      <c r="AY3698" t="s">
        <v>72</v>
      </c>
    </row>
    <row r="3699" spans="1:51">
      <c r="A3699">
        <v>106515</v>
      </c>
      <c r="B3699" t="s">
        <v>478</v>
      </c>
      <c r="C3699" t="str">
        <f>"08640300961"</f>
        <v>08640300961</v>
      </c>
      <c r="D3699" t="str">
        <f>"08640300961"</f>
        <v>08640300961</v>
      </c>
      <c r="E3699" t="s">
        <v>52</v>
      </c>
      <c r="F3699">
        <v>2015</v>
      </c>
      <c r="G3699" t="str">
        <f>"           000069/15"</f>
        <v xml:space="preserve">           000069/15</v>
      </c>
      <c r="H3699" s="3">
        <v>42123</v>
      </c>
      <c r="I3699" s="3">
        <v>42487</v>
      </c>
      <c r="J3699" s="3">
        <v>42487</v>
      </c>
      <c r="K3699" s="3">
        <v>42547</v>
      </c>
      <c r="L3699" s="5">
        <v>3013.2</v>
      </c>
      <c r="M3699">
        <v>-27</v>
      </c>
      <c r="N3699" s="5">
        <v>-81356.399999999994</v>
      </c>
      <c r="O3699" s="4">
        <v>3013.2</v>
      </c>
      <c r="P3699">
        <v>-27</v>
      </c>
      <c r="Q3699" s="4">
        <v>-81356.399999999994</v>
      </c>
      <c r="R3699">
        <v>0</v>
      </c>
      <c r="V3699">
        <v>0</v>
      </c>
      <c r="W3699" s="4">
        <v>3676.1</v>
      </c>
      <c r="X3699">
        <v>0</v>
      </c>
      <c r="Y3699">
        <v>0</v>
      </c>
      <c r="Z3699" s="4">
        <v>3676.1</v>
      </c>
      <c r="AA3699">
        <v>0</v>
      </c>
      <c r="AB3699" s="3">
        <v>42562</v>
      </c>
      <c r="AC3699" t="s">
        <v>53</v>
      </c>
      <c r="AD3699" t="s">
        <v>53</v>
      </c>
      <c r="AK3699">
        <v>0</v>
      </c>
      <c r="AU3699" s="3">
        <v>42520</v>
      </c>
      <c r="AV3699" s="3">
        <v>42520</v>
      </c>
      <c r="AW3699" t="s">
        <v>54</v>
      </c>
      <c r="AX3699" t="str">
        <f t="shared" ref="AX3699:AX3730" si="449">"FOR"</f>
        <v>FOR</v>
      </c>
      <c r="AY3699" t="s">
        <v>55</v>
      </c>
    </row>
    <row r="3700" spans="1:51">
      <c r="A3700">
        <v>106515</v>
      </c>
      <c r="B3700" t="s">
        <v>478</v>
      </c>
      <c r="C3700" t="str">
        <f>"08640300961"</f>
        <v>08640300961</v>
      </c>
      <c r="D3700" t="str">
        <f>"08640300961"</f>
        <v>08640300961</v>
      </c>
      <c r="E3700" t="s">
        <v>52</v>
      </c>
      <c r="F3700">
        <v>2015</v>
      </c>
      <c r="G3700" t="str">
        <f>"           000112/15"</f>
        <v xml:space="preserve">           000112/15</v>
      </c>
      <c r="H3700" s="3">
        <v>42194</v>
      </c>
      <c r="I3700" s="3">
        <v>42215</v>
      </c>
      <c r="J3700" s="3">
        <v>42213</v>
      </c>
      <c r="K3700" s="3">
        <v>42273</v>
      </c>
      <c r="L3700" s="5">
        <v>3013.2</v>
      </c>
      <c r="M3700">
        <v>254</v>
      </c>
      <c r="N3700" s="5">
        <v>765352.8</v>
      </c>
      <c r="O3700" s="4">
        <v>3013.2</v>
      </c>
      <c r="P3700">
        <v>254</v>
      </c>
      <c r="Q3700" s="4">
        <v>765352.8</v>
      </c>
      <c r="R3700">
        <v>662.9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 s="3">
        <v>42562</v>
      </c>
      <c r="AC3700" t="s">
        <v>53</v>
      </c>
      <c r="AD3700" t="s">
        <v>53</v>
      </c>
      <c r="AK3700">
        <v>662.9</v>
      </c>
      <c r="AU3700" s="3">
        <v>42527</v>
      </c>
      <c r="AV3700" s="3">
        <v>42527</v>
      </c>
      <c r="AW3700" t="s">
        <v>54</v>
      </c>
      <c r="AX3700" t="str">
        <f t="shared" si="449"/>
        <v>FOR</v>
      </c>
      <c r="AY3700" t="s">
        <v>55</v>
      </c>
    </row>
    <row r="3701" spans="1:51" hidden="1">
      <c r="A3701">
        <v>106519</v>
      </c>
      <c r="B3701" t="s">
        <v>479</v>
      </c>
      <c r="C3701" t="str">
        <f>"03346850963"</f>
        <v>03346850963</v>
      </c>
      <c r="D3701" t="str">
        <f>"03346850963"</f>
        <v>03346850963</v>
      </c>
      <c r="E3701" t="s">
        <v>52</v>
      </c>
      <c r="F3701">
        <v>2015</v>
      </c>
      <c r="G3701" t="str">
        <f>"                2/92"</f>
        <v xml:space="preserve">                2/92</v>
      </c>
      <c r="H3701" s="3">
        <v>42308</v>
      </c>
      <c r="I3701" s="3">
        <v>42312</v>
      </c>
      <c r="J3701" s="3">
        <v>42312</v>
      </c>
      <c r="K3701" s="3">
        <v>42372</v>
      </c>
      <c r="L3701"/>
      <c r="N3701"/>
      <c r="O3701">
        <v>311.39999999999998</v>
      </c>
      <c r="P3701">
        <v>44</v>
      </c>
      <c r="Q3701" s="4">
        <v>13701.6</v>
      </c>
      <c r="R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 s="3">
        <v>42562</v>
      </c>
      <c r="AC3701" t="s">
        <v>53</v>
      </c>
      <c r="AD3701" t="s">
        <v>53</v>
      </c>
      <c r="AK3701">
        <v>0</v>
      </c>
      <c r="AU3701" s="3">
        <v>42416</v>
      </c>
      <c r="AV3701" s="3">
        <v>42416</v>
      </c>
      <c r="AW3701" t="s">
        <v>54</v>
      </c>
      <c r="AX3701" t="str">
        <f t="shared" si="449"/>
        <v>FOR</v>
      </c>
      <c r="AY3701" t="s">
        <v>55</v>
      </c>
    </row>
    <row r="3702" spans="1:51" hidden="1">
      <c r="A3702">
        <v>106519</v>
      </c>
      <c r="B3702" t="s">
        <v>479</v>
      </c>
      <c r="C3702" t="str">
        <f>"03346850963"</f>
        <v>03346850963</v>
      </c>
      <c r="D3702" t="str">
        <f>"03346850963"</f>
        <v>03346850963</v>
      </c>
      <c r="E3702" t="s">
        <v>52</v>
      </c>
      <c r="F3702">
        <v>2015</v>
      </c>
      <c r="G3702" t="str">
        <f>"                2/93"</f>
        <v xml:space="preserve">                2/93</v>
      </c>
      <c r="H3702" s="3">
        <v>42308</v>
      </c>
      <c r="I3702" s="3">
        <v>42312</v>
      </c>
      <c r="J3702" s="3">
        <v>42312</v>
      </c>
      <c r="K3702" s="3">
        <v>42372</v>
      </c>
      <c r="L3702"/>
      <c r="N3702"/>
      <c r="O3702">
        <v>311.39999999999998</v>
      </c>
      <c r="P3702">
        <v>44</v>
      </c>
      <c r="Q3702" s="4">
        <v>13701.6</v>
      </c>
      <c r="R3702">
        <v>0</v>
      </c>
      <c r="V3702">
        <v>0</v>
      </c>
      <c r="W3702">
        <v>0</v>
      </c>
      <c r="X3702">
        <v>0</v>
      </c>
      <c r="Y3702">
        <v>0</v>
      </c>
      <c r="Z3702">
        <v>0</v>
      </c>
      <c r="AA3702">
        <v>0</v>
      </c>
      <c r="AB3702" s="3">
        <v>42562</v>
      </c>
      <c r="AC3702" t="s">
        <v>53</v>
      </c>
      <c r="AD3702" t="s">
        <v>53</v>
      </c>
      <c r="AK3702">
        <v>0</v>
      </c>
      <c r="AU3702" s="3">
        <v>42416</v>
      </c>
      <c r="AV3702" s="3">
        <v>42416</v>
      </c>
      <c r="AW3702" t="s">
        <v>54</v>
      </c>
      <c r="AX3702" t="str">
        <f t="shared" si="449"/>
        <v>FOR</v>
      </c>
      <c r="AY3702" t="s">
        <v>55</v>
      </c>
    </row>
    <row r="3703" spans="1:51" hidden="1">
      <c r="A3703">
        <v>106529</v>
      </c>
      <c r="B3703" t="s">
        <v>480</v>
      </c>
      <c r="C3703" t="str">
        <f>"07699621210"</f>
        <v>07699621210</v>
      </c>
      <c r="D3703" t="str">
        <f>"07699621210"</f>
        <v>07699621210</v>
      </c>
      <c r="E3703" t="s">
        <v>52</v>
      </c>
      <c r="F3703">
        <v>2015</v>
      </c>
      <c r="G3703" t="str">
        <f>"                   4"</f>
        <v xml:space="preserve">                   4</v>
      </c>
      <c r="H3703" s="3">
        <v>42191</v>
      </c>
      <c r="I3703" s="3">
        <v>42191</v>
      </c>
      <c r="J3703" s="3">
        <v>42191</v>
      </c>
      <c r="K3703" s="3">
        <v>42251</v>
      </c>
      <c r="L3703"/>
      <c r="N3703"/>
      <c r="O3703" s="4">
        <v>39300</v>
      </c>
      <c r="P3703">
        <v>208</v>
      </c>
      <c r="Q3703" s="4">
        <v>8174400</v>
      </c>
      <c r="R3703">
        <v>0</v>
      </c>
      <c r="V3703">
        <v>0</v>
      </c>
      <c r="W3703">
        <v>0</v>
      </c>
      <c r="X3703">
        <v>0</v>
      </c>
      <c r="Y3703">
        <v>0</v>
      </c>
      <c r="Z3703">
        <v>0</v>
      </c>
      <c r="AA3703">
        <v>0</v>
      </c>
      <c r="AB3703" s="3">
        <v>42562</v>
      </c>
      <c r="AC3703" t="s">
        <v>53</v>
      </c>
      <c r="AD3703" t="s">
        <v>53</v>
      </c>
      <c r="AK3703">
        <v>0</v>
      </c>
      <c r="AU3703" s="3">
        <v>42459</v>
      </c>
      <c r="AV3703" s="3">
        <v>42459</v>
      </c>
      <c r="AW3703" t="s">
        <v>54</v>
      </c>
      <c r="AX3703" t="str">
        <f t="shared" si="449"/>
        <v>FOR</v>
      </c>
      <c r="AY3703" t="s">
        <v>55</v>
      </c>
    </row>
    <row r="3704" spans="1:51" hidden="1">
      <c r="A3704">
        <v>106535</v>
      </c>
      <c r="B3704" t="s">
        <v>481</v>
      </c>
      <c r="C3704" t="str">
        <f t="shared" ref="C3704:D3723" si="450">"08862820969"</f>
        <v>08862820969</v>
      </c>
      <c r="D3704" t="str">
        <f t="shared" si="450"/>
        <v>08862820969</v>
      </c>
      <c r="E3704" t="s">
        <v>52</v>
      </c>
      <c r="F3704">
        <v>2015</v>
      </c>
      <c r="G3704" t="str">
        <f>"          2015106596"</f>
        <v xml:space="preserve">          2015106596</v>
      </c>
      <c r="H3704" s="3">
        <v>42187</v>
      </c>
      <c r="I3704" s="3">
        <v>42195</v>
      </c>
      <c r="J3704" s="3">
        <v>42195</v>
      </c>
      <c r="K3704" s="3">
        <v>42255</v>
      </c>
      <c r="L3704"/>
      <c r="N3704"/>
      <c r="O3704" s="4">
        <v>1320</v>
      </c>
      <c r="P3704">
        <v>146</v>
      </c>
      <c r="Q3704" s="4">
        <v>192720</v>
      </c>
      <c r="R3704">
        <v>0</v>
      </c>
      <c r="V3704">
        <v>0</v>
      </c>
      <c r="W3704">
        <v>0</v>
      </c>
      <c r="X3704">
        <v>0</v>
      </c>
      <c r="Y3704">
        <v>0</v>
      </c>
      <c r="Z3704">
        <v>0</v>
      </c>
      <c r="AA3704">
        <v>0</v>
      </c>
      <c r="AB3704" s="3">
        <v>42562</v>
      </c>
      <c r="AC3704" t="s">
        <v>53</v>
      </c>
      <c r="AD3704" t="s">
        <v>53</v>
      </c>
      <c r="AK3704">
        <v>0</v>
      </c>
      <c r="AU3704" s="3">
        <v>42401</v>
      </c>
      <c r="AV3704" s="3">
        <v>42401</v>
      </c>
      <c r="AW3704" t="s">
        <v>54</v>
      </c>
      <c r="AX3704" t="str">
        <f t="shared" si="449"/>
        <v>FOR</v>
      </c>
      <c r="AY3704" t="s">
        <v>55</v>
      </c>
    </row>
    <row r="3705" spans="1:51" hidden="1">
      <c r="A3705">
        <v>106535</v>
      </c>
      <c r="B3705" t="s">
        <v>481</v>
      </c>
      <c r="C3705" t="str">
        <f t="shared" si="450"/>
        <v>08862820969</v>
      </c>
      <c r="D3705" t="str">
        <f t="shared" si="450"/>
        <v>08862820969</v>
      </c>
      <c r="E3705" t="s">
        <v>52</v>
      </c>
      <c r="F3705">
        <v>2015</v>
      </c>
      <c r="G3705" t="str">
        <f>"          2015106597"</f>
        <v xml:space="preserve">          2015106597</v>
      </c>
      <c r="H3705" s="3">
        <v>42187</v>
      </c>
      <c r="I3705" s="3">
        <v>42195</v>
      </c>
      <c r="J3705" s="3">
        <v>42195</v>
      </c>
      <c r="K3705" s="3">
        <v>42255</v>
      </c>
      <c r="L3705"/>
      <c r="N3705"/>
      <c r="O3705" s="4">
        <v>1450</v>
      </c>
      <c r="P3705">
        <v>146</v>
      </c>
      <c r="Q3705" s="4">
        <v>211700</v>
      </c>
      <c r="R3705">
        <v>0</v>
      </c>
      <c r="V3705">
        <v>0</v>
      </c>
      <c r="W3705">
        <v>0</v>
      </c>
      <c r="X3705">
        <v>0</v>
      </c>
      <c r="Y3705">
        <v>0</v>
      </c>
      <c r="Z3705">
        <v>0</v>
      </c>
      <c r="AA3705">
        <v>0</v>
      </c>
      <c r="AB3705" s="3">
        <v>42562</v>
      </c>
      <c r="AC3705" t="s">
        <v>53</v>
      </c>
      <c r="AD3705" t="s">
        <v>53</v>
      </c>
      <c r="AK3705">
        <v>0</v>
      </c>
      <c r="AU3705" s="3">
        <v>42401</v>
      </c>
      <c r="AV3705" s="3">
        <v>42401</v>
      </c>
      <c r="AW3705" t="s">
        <v>54</v>
      </c>
      <c r="AX3705" t="str">
        <f t="shared" si="449"/>
        <v>FOR</v>
      </c>
      <c r="AY3705" t="s">
        <v>55</v>
      </c>
    </row>
    <row r="3706" spans="1:51" hidden="1">
      <c r="A3706">
        <v>106535</v>
      </c>
      <c r="B3706" t="s">
        <v>481</v>
      </c>
      <c r="C3706" t="str">
        <f t="shared" si="450"/>
        <v>08862820969</v>
      </c>
      <c r="D3706" t="str">
        <f t="shared" si="450"/>
        <v>08862820969</v>
      </c>
      <c r="E3706" t="s">
        <v>52</v>
      </c>
      <c r="F3706">
        <v>2015</v>
      </c>
      <c r="G3706" t="str">
        <f>"          2015106598"</f>
        <v xml:space="preserve">          2015106598</v>
      </c>
      <c r="H3706" s="3">
        <v>42187</v>
      </c>
      <c r="I3706" s="3">
        <v>42195</v>
      </c>
      <c r="J3706" s="3">
        <v>42195</v>
      </c>
      <c r="K3706" s="3">
        <v>42255</v>
      </c>
      <c r="L3706"/>
      <c r="N3706"/>
      <c r="O3706" s="4">
        <v>1450</v>
      </c>
      <c r="P3706">
        <v>146</v>
      </c>
      <c r="Q3706" s="4">
        <v>211700</v>
      </c>
      <c r="R3706">
        <v>0</v>
      </c>
      <c r="V3706">
        <v>0</v>
      </c>
      <c r="W3706">
        <v>0</v>
      </c>
      <c r="X3706">
        <v>0</v>
      </c>
      <c r="Y3706">
        <v>0</v>
      </c>
      <c r="Z3706">
        <v>0</v>
      </c>
      <c r="AA3706">
        <v>0</v>
      </c>
      <c r="AB3706" s="3">
        <v>42562</v>
      </c>
      <c r="AC3706" t="s">
        <v>53</v>
      </c>
      <c r="AD3706" t="s">
        <v>53</v>
      </c>
      <c r="AK3706">
        <v>0</v>
      </c>
      <c r="AU3706" s="3">
        <v>42401</v>
      </c>
      <c r="AV3706" s="3">
        <v>42401</v>
      </c>
      <c r="AW3706" t="s">
        <v>54</v>
      </c>
      <c r="AX3706" t="str">
        <f t="shared" si="449"/>
        <v>FOR</v>
      </c>
      <c r="AY3706" t="s">
        <v>55</v>
      </c>
    </row>
    <row r="3707" spans="1:51" hidden="1">
      <c r="A3707">
        <v>106535</v>
      </c>
      <c r="B3707" t="s">
        <v>481</v>
      </c>
      <c r="C3707" t="str">
        <f t="shared" si="450"/>
        <v>08862820969</v>
      </c>
      <c r="D3707" t="str">
        <f t="shared" si="450"/>
        <v>08862820969</v>
      </c>
      <c r="E3707" t="s">
        <v>52</v>
      </c>
      <c r="F3707">
        <v>2015</v>
      </c>
      <c r="G3707" t="str">
        <f>"          2015106599"</f>
        <v xml:space="preserve">          2015106599</v>
      </c>
      <c r="H3707" s="3">
        <v>42187</v>
      </c>
      <c r="I3707" s="3">
        <v>42195</v>
      </c>
      <c r="J3707" s="3">
        <v>42195</v>
      </c>
      <c r="K3707" s="3">
        <v>42255</v>
      </c>
      <c r="L3707"/>
      <c r="N3707"/>
      <c r="O3707" s="4">
        <v>1450</v>
      </c>
      <c r="P3707">
        <v>146</v>
      </c>
      <c r="Q3707" s="4">
        <v>211700</v>
      </c>
      <c r="R3707">
        <v>0</v>
      </c>
      <c r="V3707">
        <v>0</v>
      </c>
      <c r="W3707">
        <v>0</v>
      </c>
      <c r="X3707">
        <v>0</v>
      </c>
      <c r="Y3707">
        <v>0</v>
      </c>
      <c r="Z3707">
        <v>0</v>
      </c>
      <c r="AA3707">
        <v>0</v>
      </c>
      <c r="AB3707" s="3">
        <v>42562</v>
      </c>
      <c r="AC3707" t="s">
        <v>53</v>
      </c>
      <c r="AD3707" t="s">
        <v>53</v>
      </c>
      <c r="AK3707">
        <v>0</v>
      </c>
      <c r="AU3707" s="3">
        <v>42401</v>
      </c>
      <c r="AV3707" s="3">
        <v>42401</v>
      </c>
      <c r="AW3707" t="s">
        <v>54</v>
      </c>
      <c r="AX3707" t="str">
        <f t="shared" si="449"/>
        <v>FOR</v>
      </c>
      <c r="AY3707" t="s">
        <v>55</v>
      </c>
    </row>
    <row r="3708" spans="1:51" hidden="1">
      <c r="A3708">
        <v>106535</v>
      </c>
      <c r="B3708" t="s">
        <v>481</v>
      </c>
      <c r="C3708" t="str">
        <f t="shared" si="450"/>
        <v>08862820969</v>
      </c>
      <c r="D3708" t="str">
        <f t="shared" si="450"/>
        <v>08862820969</v>
      </c>
      <c r="E3708" t="s">
        <v>52</v>
      </c>
      <c r="F3708">
        <v>2015</v>
      </c>
      <c r="G3708" t="str">
        <f>"          2015106600"</f>
        <v xml:space="preserve">          2015106600</v>
      </c>
      <c r="H3708" s="3">
        <v>42187</v>
      </c>
      <c r="I3708" s="3">
        <v>42195</v>
      </c>
      <c r="J3708" s="3">
        <v>42195</v>
      </c>
      <c r="K3708" s="3">
        <v>42255</v>
      </c>
      <c r="L3708"/>
      <c r="N3708"/>
      <c r="O3708" s="4">
        <v>1450</v>
      </c>
      <c r="P3708">
        <v>146</v>
      </c>
      <c r="Q3708" s="4">
        <v>211700</v>
      </c>
      <c r="R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 s="3">
        <v>42562</v>
      </c>
      <c r="AC3708" t="s">
        <v>53</v>
      </c>
      <c r="AD3708" t="s">
        <v>53</v>
      </c>
      <c r="AK3708">
        <v>0</v>
      </c>
      <c r="AU3708" s="3">
        <v>42401</v>
      </c>
      <c r="AV3708" s="3">
        <v>42401</v>
      </c>
      <c r="AW3708" t="s">
        <v>54</v>
      </c>
      <c r="AX3708" t="str">
        <f t="shared" si="449"/>
        <v>FOR</v>
      </c>
      <c r="AY3708" t="s">
        <v>55</v>
      </c>
    </row>
    <row r="3709" spans="1:51" hidden="1">
      <c r="A3709">
        <v>106535</v>
      </c>
      <c r="B3709" t="s">
        <v>481</v>
      </c>
      <c r="C3709" t="str">
        <f t="shared" si="450"/>
        <v>08862820969</v>
      </c>
      <c r="D3709" t="str">
        <f t="shared" si="450"/>
        <v>08862820969</v>
      </c>
      <c r="E3709" t="s">
        <v>52</v>
      </c>
      <c r="F3709">
        <v>2015</v>
      </c>
      <c r="G3709" t="str">
        <f>"          2015106601"</f>
        <v xml:space="preserve">          2015106601</v>
      </c>
      <c r="H3709" s="3">
        <v>42187</v>
      </c>
      <c r="I3709" s="3">
        <v>42195</v>
      </c>
      <c r="J3709" s="3">
        <v>42195</v>
      </c>
      <c r="K3709" s="3">
        <v>42255</v>
      </c>
      <c r="L3709"/>
      <c r="N3709"/>
      <c r="O3709" s="4">
        <v>1450</v>
      </c>
      <c r="P3709">
        <v>146</v>
      </c>
      <c r="Q3709" s="4">
        <v>211700</v>
      </c>
      <c r="R3709">
        <v>0</v>
      </c>
      <c r="V3709">
        <v>0</v>
      </c>
      <c r="W3709">
        <v>0</v>
      </c>
      <c r="X3709">
        <v>0</v>
      </c>
      <c r="Y3709">
        <v>0</v>
      </c>
      <c r="Z3709">
        <v>0</v>
      </c>
      <c r="AA3709">
        <v>0</v>
      </c>
      <c r="AB3709" s="3">
        <v>42562</v>
      </c>
      <c r="AC3709" t="s">
        <v>53</v>
      </c>
      <c r="AD3709" t="s">
        <v>53</v>
      </c>
      <c r="AK3709">
        <v>0</v>
      </c>
      <c r="AU3709" s="3">
        <v>42401</v>
      </c>
      <c r="AV3709" s="3">
        <v>42401</v>
      </c>
      <c r="AW3709" t="s">
        <v>54</v>
      </c>
      <c r="AX3709" t="str">
        <f t="shared" si="449"/>
        <v>FOR</v>
      </c>
      <c r="AY3709" t="s">
        <v>55</v>
      </c>
    </row>
    <row r="3710" spans="1:51" hidden="1">
      <c r="A3710">
        <v>106535</v>
      </c>
      <c r="B3710" t="s">
        <v>481</v>
      </c>
      <c r="C3710" t="str">
        <f t="shared" si="450"/>
        <v>08862820969</v>
      </c>
      <c r="D3710" t="str">
        <f t="shared" si="450"/>
        <v>08862820969</v>
      </c>
      <c r="E3710" t="s">
        <v>52</v>
      </c>
      <c r="F3710">
        <v>2015</v>
      </c>
      <c r="G3710" t="str">
        <f>"          2015106602"</f>
        <v xml:space="preserve">          2015106602</v>
      </c>
      <c r="H3710" s="3">
        <v>42187</v>
      </c>
      <c r="I3710" s="3">
        <v>42195</v>
      </c>
      <c r="J3710" s="3">
        <v>42195</v>
      </c>
      <c r="K3710" s="3">
        <v>42255</v>
      </c>
      <c r="L3710"/>
      <c r="N3710"/>
      <c r="O3710" s="4">
        <v>1320</v>
      </c>
      <c r="P3710">
        <v>146</v>
      </c>
      <c r="Q3710" s="4">
        <v>192720</v>
      </c>
      <c r="R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>
        <v>0</v>
      </c>
      <c r="AB3710" s="3">
        <v>42562</v>
      </c>
      <c r="AC3710" t="s">
        <v>53</v>
      </c>
      <c r="AD3710" t="s">
        <v>53</v>
      </c>
      <c r="AK3710">
        <v>0</v>
      </c>
      <c r="AU3710" s="3">
        <v>42401</v>
      </c>
      <c r="AV3710" s="3">
        <v>42401</v>
      </c>
      <c r="AW3710" t="s">
        <v>54</v>
      </c>
      <c r="AX3710" t="str">
        <f t="shared" si="449"/>
        <v>FOR</v>
      </c>
      <c r="AY3710" t="s">
        <v>55</v>
      </c>
    </row>
    <row r="3711" spans="1:51" hidden="1">
      <c r="A3711">
        <v>106535</v>
      </c>
      <c r="B3711" t="s">
        <v>481</v>
      </c>
      <c r="C3711" t="str">
        <f t="shared" si="450"/>
        <v>08862820969</v>
      </c>
      <c r="D3711" t="str">
        <f t="shared" si="450"/>
        <v>08862820969</v>
      </c>
      <c r="E3711" t="s">
        <v>52</v>
      </c>
      <c r="F3711">
        <v>2015</v>
      </c>
      <c r="G3711" t="str">
        <f>"          2015106603"</f>
        <v xml:space="preserve">          2015106603</v>
      </c>
      <c r="H3711" s="3">
        <v>42187</v>
      </c>
      <c r="I3711" s="3">
        <v>42195</v>
      </c>
      <c r="J3711" s="3">
        <v>42195</v>
      </c>
      <c r="K3711" s="3">
        <v>42255</v>
      </c>
      <c r="L3711"/>
      <c r="N3711"/>
      <c r="O3711" s="4">
        <v>1320</v>
      </c>
      <c r="P3711">
        <v>146</v>
      </c>
      <c r="Q3711" s="4">
        <v>192720</v>
      </c>
      <c r="R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 s="3">
        <v>42562</v>
      </c>
      <c r="AC3711" t="s">
        <v>53</v>
      </c>
      <c r="AD3711" t="s">
        <v>53</v>
      </c>
      <c r="AK3711">
        <v>0</v>
      </c>
      <c r="AU3711" s="3">
        <v>42401</v>
      </c>
      <c r="AV3711" s="3">
        <v>42401</v>
      </c>
      <c r="AW3711" t="s">
        <v>54</v>
      </c>
      <c r="AX3711" t="str">
        <f t="shared" si="449"/>
        <v>FOR</v>
      </c>
      <c r="AY3711" t="s">
        <v>55</v>
      </c>
    </row>
    <row r="3712" spans="1:51" hidden="1">
      <c r="A3712">
        <v>106535</v>
      </c>
      <c r="B3712" t="s">
        <v>481</v>
      </c>
      <c r="C3712" t="str">
        <f t="shared" si="450"/>
        <v>08862820969</v>
      </c>
      <c r="D3712" t="str">
        <f t="shared" si="450"/>
        <v>08862820969</v>
      </c>
      <c r="E3712" t="s">
        <v>52</v>
      </c>
      <c r="F3712">
        <v>2015</v>
      </c>
      <c r="G3712" t="str">
        <f>"          2015106713"</f>
        <v xml:space="preserve">          2015106713</v>
      </c>
      <c r="H3712" s="3">
        <v>42192</v>
      </c>
      <c r="I3712" s="3">
        <v>42199</v>
      </c>
      <c r="J3712" s="3">
        <v>42198</v>
      </c>
      <c r="K3712" s="3">
        <v>42258</v>
      </c>
      <c r="L3712"/>
      <c r="N3712"/>
      <c r="O3712" s="4">
        <v>1450</v>
      </c>
      <c r="P3712">
        <v>143</v>
      </c>
      <c r="Q3712" s="4">
        <v>207350</v>
      </c>
      <c r="R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 s="3">
        <v>42562</v>
      </c>
      <c r="AC3712" t="s">
        <v>53</v>
      </c>
      <c r="AD3712" t="s">
        <v>53</v>
      </c>
      <c r="AK3712">
        <v>0</v>
      </c>
      <c r="AU3712" s="3">
        <v>42401</v>
      </c>
      <c r="AV3712" s="3">
        <v>42401</v>
      </c>
      <c r="AW3712" t="s">
        <v>54</v>
      </c>
      <c r="AX3712" t="str">
        <f t="shared" si="449"/>
        <v>FOR</v>
      </c>
      <c r="AY3712" t="s">
        <v>55</v>
      </c>
    </row>
    <row r="3713" spans="1:51" hidden="1">
      <c r="A3713">
        <v>106535</v>
      </c>
      <c r="B3713" t="s">
        <v>481</v>
      </c>
      <c r="C3713" t="str">
        <f t="shared" si="450"/>
        <v>08862820969</v>
      </c>
      <c r="D3713" t="str">
        <f t="shared" si="450"/>
        <v>08862820969</v>
      </c>
      <c r="E3713" t="s">
        <v>52</v>
      </c>
      <c r="F3713">
        <v>2015</v>
      </c>
      <c r="G3713" t="str">
        <f>"          2015106714"</f>
        <v xml:space="preserve">          2015106714</v>
      </c>
      <c r="H3713" s="3">
        <v>42192</v>
      </c>
      <c r="I3713" s="3">
        <v>42199</v>
      </c>
      <c r="J3713" s="3">
        <v>42198</v>
      </c>
      <c r="K3713" s="3">
        <v>42258</v>
      </c>
      <c r="L3713"/>
      <c r="N3713"/>
      <c r="O3713" s="4">
        <v>1450</v>
      </c>
      <c r="P3713">
        <v>143</v>
      </c>
      <c r="Q3713" s="4">
        <v>207350</v>
      </c>
      <c r="R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 s="3">
        <v>42562</v>
      </c>
      <c r="AC3713" t="s">
        <v>53</v>
      </c>
      <c r="AD3713" t="s">
        <v>53</v>
      </c>
      <c r="AK3713">
        <v>0</v>
      </c>
      <c r="AU3713" s="3">
        <v>42401</v>
      </c>
      <c r="AV3713" s="3">
        <v>42401</v>
      </c>
      <c r="AW3713" t="s">
        <v>54</v>
      </c>
      <c r="AX3713" t="str">
        <f t="shared" si="449"/>
        <v>FOR</v>
      </c>
      <c r="AY3713" t="s">
        <v>55</v>
      </c>
    </row>
    <row r="3714" spans="1:51" hidden="1">
      <c r="A3714">
        <v>106535</v>
      </c>
      <c r="B3714" t="s">
        <v>481</v>
      </c>
      <c r="C3714" t="str">
        <f t="shared" si="450"/>
        <v>08862820969</v>
      </c>
      <c r="D3714" t="str">
        <f t="shared" si="450"/>
        <v>08862820969</v>
      </c>
      <c r="E3714" t="s">
        <v>52</v>
      </c>
      <c r="F3714">
        <v>2015</v>
      </c>
      <c r="G3714" t="str">
        <f>"          2015106715"</f>
        <v xml:space="preserve">          2015106715</v>
      </c>
      <c r="H3714" s="3">
        <v>42192</v>
      </c>
      <c r="I3714" s="3">
        <v>42199</v>
      </c>
      <c r="J3714" s="3">
        <v>42198</v>
      </c>
      <c r="K3714" s="3">
        <v>42258</v>
      </c>
      <c r="L3714"/>
      <c r="N3714"/>
      <c r="O3714" s="4">
        <v>1450</v>
      </c>
      <c r="P3714">
        <v>143</v>
      </c>
      <c r="Q3714" s="4">
        <v>207350</v>
      </c>
      <c r="R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 s="3">
        <v>42562</v>
      </c>
      <c r="AC3714" t="s">
        <v>53</v>
      </c>
      <c r="AD3714" t="s">
        <v>53</v>
      </c>
      <c r="AK3714">
        <v>0</v>
      </c>
      <c r="AU3714" s="3">
        <v>42401</v>
      </c>
      <c r="AV3714" s="3">
        <v>42401</v>
      </c>
      <c r="AW3714" t="s">
        <v>54</v>
      </c>
      <c r="AX3714" t="str">
        <f t="shared" si="449"/>
        <v>FOR</v>
      </c>
      <c r="AY3714" t="s">
        <v>55</v>
      </c>
    </row>
    <row r="3715" spans="1:51" hidden="1">
      <c r="A3715">
        <v>106535</v>
      </c>
      <c r="B3715" t="s">
        <v>481</v>
      </c>
      <c r="C3715" t="str">
        <f t="shared" si="450"/>
        <v>08862820969</v>
      </c>
      <c r="D3715" t="str">
        <f t="shared" si="450"/>
        <v>08862820969</v>
      </c>
      <c r="E3715" t="s">
        <v>52</v>
      </c>
      <c r="F3715">
        <v>2015</v>
      </c>
      <c r="G3715" t="str">
        <f>"          2015106716"</f>
        <v xml:space="preserve">          2015106716</v>
      </c>
      <c r="H3715" s="3">
        <v>42192</v>
      </c>
      <c r="I3715" s="3">
        <v>42199</v>
      </c>
      <c r="J3715" s="3">
        <v>42198</v>
      </c>
      <c r="K3715" s="3">
        <v>42258</v>
      </c>
      <c r="L3715"/>
      <c r="N3715"/>
      <c r="O3715" s="4">
        <v>1450</v>
      </c>
      <c r="P3715">
        <v>143</v>
      </c>
      <c r="Q3715" s="4">
        <v>207350</v>
      </c>
      <c r="R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 s="3">
        <v>42562</v>
      </c>
      <c r="AC3715" t="s">
        <v>53</v>
      </c>
      <c r="AD3715" t="s">
        <v>53</v>
      </c>
      <c r="AK3715">
        <v>0</v>
      </c>
      <c r="AU3715" s="3">
        <v>42401</v>
      </c>
      <c r="AV3715" s="3">
        <v>42401</v>
      </c>
      <c r="AW3715" t="s">
        <v>54</v>
      </c>
      <c r="AX3715" t="str">
        <f t="shared" si="449"/>
        <v>FOR</v>
      </c>
      <c r="AY3715" t="s">
        <v>55</v>
      </c>
    </row>
    <row r="3716" spans="1:51" hidden="1">
      <c r="A3716">
        <v>106535</v>
      </c>
      <c r="B3716" t="s">
        <v>481</v>
      </c>
      <c r="C3716" t="str">
        <f t="shared" si="450"/>
        <v>08862820969</v>
      </c>
      <c r="D3716" t="str">
        <f t="shared" si="450"/>
        <v>08862820969</v>
      </c>
      <c r="E3716" t="s">
        <v>52</v>
      </c>
      <c r="F3716">
        <v>2015</v>
      </c>
      <c r="G3716" t="str">
        <f>"          2015106717"</f>
        <v xml:space="preserve">          2015106717</v>
      </c>
      <c r="H3716" s="3">
        <v>42192</v>
      </c>
      <c r="I3716" s="3">
        <v>42199</v>
      </c>
      <c r="J3716" s="3">
        <v>42198</v>
      </c>
      <c r="K3716" s="3">
        <v>42258</v>
      </c>
      <c r="L3716"/>
      <c r="N3716"/>
      <c r="O3716" s="4">
        <v>1320</v>
      </c>
      <c r="P3716">
        <v>143</v>
      </c>
      <c r="Q3716" s="4">
        <v>188760</v>
      </c>
      <c r="R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 s="3">
        <v>42562</v>
      </c>
      <c r="AC3716" t="s">
        <v>53</v>
      </c>
      <c r="AD3716" t="s">
        <v>53</v>
      </c>
      <c r="AK3716">
        <v>0</v>
      </c>
      <c r="AU3716" s="3">
        <v>42401</v>
      </c>
      <c r="AV3716" s="3">
        <v>42401</v>
      </c>
      <c r="AW3716" t="s">
        <v>54</v>
      </c>
      <c r="AX3716" t="str">
        <f t="shared" si="449"/>
        <v>FOR</v>
      </c>
      <c r="AY3716" t="s">
        <v>55</v>
      </c>
    </row>
    <row r="3717" spans="1:51" hidden="1">
      <c r="A3717">
        <v>106535</v>
      </c>
      <c r="B3717" t="s">
        <v>481</v>
      </c>
      <c r="C3717" t="str">
        <f t="shared" si="450"/>
        <v>08862820969</v>
      </c>
      <c r="D3717" t="str">
        <f t="shared" si="450"/>
        <v>08862820969</v>
      </c>
      <c r="E3717" t="s">
        <v>52</v>
      </c>
      <c r="F3717">
        <v>2015</v>
      </c>
      <c r="G3717" t="str">
        <f>"          2015106718"</f>
        <v xml:space="preserve">          2015106718</v>
      </c>
      <c r="H3717" s="3">
        <v>42192</v>
      </c>
      <c r="I3717" s="3">
        <v>42199</v>
      </c>
      <c r="J3717" s="3">
        <v>42198</v>
      </c>
      <c r="K3717" s="3">
        <v>42258</v>
      </c>
      <c r="L3717"/>
      <c r="N3717"/>
      <c r="O3717" s="4">
        <v>1450</v>
      </c>
      <c r="P3717">
        <v>143</v>
      </c>
      <c r="Q3717" s="4">
        <v>207350</v>
      </c>
      <c r="R3717">
        <v>0</v>
      </c>
      <c r="V3717">
        <v>0</v>
      </c>
      <c r="W3717">
        <v>0</v>
      </c>
      <c r="X3717">
        <v>0</v>
      </c>
      <c r="Y3717">
        <v>0</v>
      </c>
      <c r="Z3717">
        <v>0</v>
      </c>
      <c r="AA3717">
        <v>0</v>
      </c>
      <c r="AB3717" s="3">
        <v>42562</v>
      </c>
      <c r="AC3717" t="s">
        <v>53</v>
      </c>
      <c r="AD3717" t="s">
        <v>53</v>
      </c>
      <c r="AK3717">
        <v>0</v>
      </c>
      <c r="AU3717" s="3">
        <v>42401</v>
      </c>
      <c r="AV3717" s="3">
        <v>42401</v>
      </c>
      <c r="AW3717" t="s">
        <v>54</v>
      </c>
      <c r="AX3717" t="str">
        <f t="shared" si="449"/>
        <v>FOR</v>
      </c>
      <c r="AY3717" t="s">
        <v>55</v>
      </c>
    </row>
    <row r="3718" spans="1:51" hidden="1">
      <c r="A3718">
        <v>106535</v>
      </c>
      <c r="B3718" t="s">
        <v>481</v>
      </c>
      <c r="C3718" t="str">
        <f t="shared" si="450"/>
        <v>08862820969</v>
      </c>
      <c r="D3718" t="str">
        <f t="shared" si="450"/>
        <v>08862820969</v>
      </c>
      <c r="E3718" t="s">
        <v>52</v>
      </c>
      <c r="F3718">
        <v>2015</v>
      </c>
      <c r="G3718" t="str">
        <f>"          2015106719"</f>
        <v xml:space="preserve">          2015106719</v>
      </c>
      <c r="H3718" s="3">
        <v>42192</v>
      </c>
      <c r="I3718" s="3">
        <v>42199</v>
      </c>
      <c r="J3718" s="3">
        <v>42198</v>
      </c>
      <c r="K3718" s="3">
        <v>42258</v>
      </c>
      <c r="L3718"/>
      <c r="N3718"/>
      <c r="O3718" s="4">
        <v>1450</v>
      </c>
      <c r="P3718">
        <v>143</v>
      </c>
      <c r="Q3718" s="4">
        <v>207350</v>
      </c>
      <c r="R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 s="3">
        <v>42562</v>
      </c>
      <c r="AC3718" t="s">
        <v>53</v>
      </c>
      <c r="AD3718" t="s">
        <v>53</v>
      </c>
      <c r="AK3718">
        <v>0</v>
      </c>
      <c r="AU3718" s="3">
        <v>42401</v>
      </c>
      <c r="AV3718" s="3">
        <v>42401</v>
      </c>
      <c r="AW3718" t="s">
        <v>54</v>
      </c>
      <c r="AX3718" t="str">
        <f t="shared" si="449"/>
        <v>FOR</v>
      </c>
      <c r="AY3718" t="s">
        <v>55</v>
      </c>
    </row>
    <row r="3719" spans="1:51" hidden="1">
      <c r="A3719">
        <v>106535</v>
      </c>
      <c r="B3719" t="s">
        <v>481</v>
      </c>
      <c r="C3719" t="str">
        <f t="shared" si="450"/>
        <v>08862820969</v>
      </c>
      <c r="D3719" t="str">
        <f t="shared" si="450"/>
        <v>08862820969</v>
      </c>
      <c r="E3719" t="s">
        <v>52</v>
      </c>
      <c r="F3719">
        <v>2015</v>
      </c>
      <c r="G3719" t="str">
        <f>"          2015106720"</f>
        <v xml:space="preserve">          2015106720</v>
      </c>
      <c r="H3719" s="3">
        <v>42192</v>
      </c>
      <c r="I3719" s="3">
        <v>42199</v>
      </c>
      <c r="J3719" s="3">
        <v>42198</v>
      </c>
      <c r="K3719" s="3">
        <v>42258</v>
      </c>
      <c r="L3719"/>
      <c r="N3719"/>
      <c r="O3719" s="4">
        <v>1320</v>
      </c>
      <c r="P3719">
        <v>143</v>
      </c>
      <c r="Q3719" s="4">
        <v>188760</v>
      </c>
      <c r="R3719">
        <v>0</v>
      </c>
      <c r="V3719">
        <v>0</v>
      </c>
      <c r="W3719">
        <v>0</v>
      </c>
      <c r="X3719">
        <v>0</v>
      </c>
      <c r="Y3719">
        <v>0</v>
      </c>
      <c r="Z3719">
        <v>0</v>
      </c>
      <c r="AA3719">
        <v>0</v>
      </c>
      <c r="AB3719" s="3">
        <v>42562</v>
      </c>
      <c r="AC3719" t="s">
        <v>53</v>
      </c>
      <c r="AD3719" t="s">
        <v>53</v>
      </c>
      <c r="AK3719">
        <v>0</v>
      </c>
      <c r="AU3719" s="3">
        <v>42401</v>
      </c>
      <c r="AV3719" s="3">
        <v>42401</v>
      </c>
      <c r="AW3719" t="s">
        <v>54</v>
      </c>
      <c r="AX3719" t="str">
        <f t="shared" si="449"/>
        <v>FOR</v>
      </c>
      <c r="AY3719" t="s">
        <v>55</v>
      </c>
    </row>
    <row r="3720" spans="1:51" hidden="1">
      <c r="A3720">
        <v>106535</v>
      </c>
      <c r="B3720" t="s">
        <v>481</v>
      </c>
      <c r="C3720" t="str">
        <f t="shared" si="450"/>
        <v>08862820969</v>
      </c>
      <c r="D3720" t="str">
        <f t="shared" si="450"/>
        <v>08862820969</v>
      </c>
      <c r="E3720" t="s">
        <v>52</v>
      </c>
      <c r="F3720">
        <v>2015</v>
      </c>
      <c r="G3720" t="str">
        <f>"          2015106721"</f>
        <v xml:space="preserve">          2015106721</v>
      </c>
      <c r="H3720" s="3">
        <v>42192</v>
      </c>
      <c r="I3720" s="3">
        <v>42199</v>
      </c>
      <c r="J3720" s="3">
        <v>42198</v>
      </c>
      <c r="K3720" s="3">
        <v>42258</v>
      </c>
      <c r="L3720"/>
      <c r="N3720"/>
      <c r="O3720">
        <v>275</v>
      </c>
      <c r="P3720">
        <v>143</v>
      </c>
      <c r="Q3720" s="4">
        <v>39325</v>
      </c>
      <c r="R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 s="3">
        <v>42562</v>
      </c>
      <c r="AC3720" t="s">
        <v>53</v>
      </c>
      <c r="AD3720" t="s">
        <v>53</v>
      </c>
      <c r="AK3720">
        <v>0</v>
      </c>
      <c r="AU3720" s="3">
        <v>42401</v>
      </c>
      <c r="AV3720" s="3">
        <v>42401</v>
      </c>
      <c r="AW3720" t="s">
        <v>54</v>
      </c>
      <c r="AX3720" t="str">
        <f t="shared" si="449"/>
        <v>FOR</v>
      </c>
      <c r="AY3720" t="s">
        <v>55</v>
      </c>
    </row>
    <row r="3721" spans="1:51" hidden="1">
      <c r="A3721">
        <v>106535</v>
      </c>
      <c r="B3721" t="s">
        <v>481</v>
      </c>
      <c r="C3721" t="str">
        <f t="shared" si="450"/>
        <v>08862820969</v>
      </c>
      <c r="D3721" t="str">
        <f t="shared" si="450"/>
        <v>08862820969</v>
      </c>
      <c r="E3721" t="s">
        <v>52</v>
      </c>
      <c r="F3721">
        <v>2015</v>
      </c>
      <c r="G3721" t="str">
        <f>"          2015107176"</f>
        <v xml:space="preserve">          2015107176</v>
      </c>
      <c r="H3721" s="3">
        <v>42206</v>
      </c>
      <c r="I3721" s="3">
        <v>42215</v>
      </c>
      <c r="J3721" s="3">
        <v>42212</v>
      </c>
      <c r="K3721" s="3">
        <v>42272</v>
      </c>
      <c r="L3721"/>
      <c r="N3721"/>
      <c r="O3721" s="4">
        <v>1450</v>
      </c>
      <c r="P3721">
        <v>129</v>
      </c>
      <c r="Q3721" s="4">
        <v>187050</v>
      </c>
      <c r="R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 s="3">
        <v>42562</v>
      </c>
      <c r="AC3721" t="s">
        <v>53</v>
      </c>
      <c r="AD3721" t="s">
        <v>53</v>
      </c>
      <c r="AK3721">
        <v>0</v>
      </c>
      <c r="AU3721" s="3">
        <v>42401</v>
      </c>
      <c r="AV3721" s="3">
        <v>42401</v>
      </c>
      <c r="AW3721" t="s">
        <v>54</v>
      </c>
      <c r="AX3721" t="str">
        <f t="shared" si="449"/>
        <v>FOR</v>
      </c>
      <c r="AY3721" t="s">
        <v>55</v>
      </c>
    </row>
    <row r="3722" spans="1:51" hidden="1">
      <c r="A3722">
        <v>106535</v>
      </c>
      <c r="B3722" t="s">
        <v>481</v>
      </c>
      <c r="C3722" t="str">
        <f t="shared" si="450"/>
        <v>08862820969</v>
      </c>
      <c r="D3722" t="str">
        <f t="shared" si="450"/>
        <v>08862820969</v>
      </c>
      <c r="E3722" t="s">
        <v>52</v>
      </c>
      <c r="F3722">
        <v>2015</v>
      </c>
      <c r="G3722" t="str">
        <f>"          2015107177"</f>
        <v xml:space="preserve">          2015107177</v>
      </c>
      <c r="H3722" s="3">
        <v>42206</v>
      </c>
      <c r="I3722" s="3">
        <v>42215</v>
      </c>
      <c r="J3722" s="3">
        <v>42212</v>
      </c>
      <c r="K3722" s="3">
        <v>42272</v>
      </c>
      <c r="L3722"/>
      <c r="N3722"/>
      <c r="O3722" s="4">
        <v>1450</v>
      </c>
      <c r="P3722">
        <v>129</v>
      </c>
      <c r="Q3722" s="4">
        <v>187050</v>
      </c>
      <c r="R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  <c r="AB3722" s="3">
        <v>42562</v>
      </c>
      <c r="AC3722" t="s">
        <v>53</v>
      </c>
      <c r="AD3722" t="s">
        <v>53</v>
      </c>
      <c r="AK3722">
        <v>0</v>
      </c>
      <c r="AU3722" s="3">
        <v>42401</v>
      </c>
      <c r="AV3722" s="3">
        <v>42401</v>
      </c>
      <c r="AW3722" t="s">
        <v>54</v>
      </c>
      <c r="AX3722" t="str">
        <f t="shared" si="449"/>
        <v>FOR</v>
      </c>
      <c r="AY3722" t="s">
        <v>55</v>
      </c>
    </row>
    <row r="3723" spans="1:51" hidden="1">
      <c r="A3723">
        <v>106535</v>
      </c>
      <c r="B3723" t="s">
        <v>481</v>
      </c>
      <c r="C3723" t="str">
        <f t="shared" si="450"/>
        <v>08862820969</v>
      </c>
      <c r="D3723" t="str">
        <f t="shared" si="450"/>
        <v>08862820969</v>
      </c>
      <c r="E3723" t="s">
        <v>52</v>
      </c>
      <c r="F3723">
        <v>2015</v>
      </c>
      <c r="G3723" t="str">
        <f>"          2015107264"</f>
        <v xml:space="preserve">          2015107264</v>
      </c>
      <c r="H3723" s="3">
        <v>42208</v>
      </c>
      <c r="I3723" s="3">
        <v>42425</v>
      </c>
      <c r="J3723" s="3">
        <v>42423</v>
      </c>
      <c r="K3723" s="3">
        <v>42483</v>
      </c>
      <c r="L3723"/>
      <c r="N3723"/>
      <c r="O3723" s="4">
        <v>1450</v>
      </c>
      <c r="P3723">
        <v>-30</v>
      </c>
      <c r="Q3723" s="4">
        <v>-43500</v>
      </c>
      <c r="R3723">
        <v>0</v>
      </c>
      <c r="V3723">
        <v>0</v>
      </c>
      <c r="W3723">
        <v>0</v>
      </c>
      <c r="X3723">
        <v>0</v>
      </c>
      <c r="Y3723">
        <v>0</v>
      </c>
      <c r="Z3723" s="4">
        <v>1508</v>
      </c>
      <c r="AA3723">
        <v>0</v>
      </c>
      <c r="AB3723" s="3">
        <v>42562</v>
      </c>
      <c r="AC3723" t="s">
        <v>53</v>
      </c>
      <c r="AD3723" t="s">
        <v>53</v>
      </c>
      <c r="AK3723">
        <v>0</v>
      </c>
      <c r="AU3723" s="3">
        <v>42453</v>
      </c>
      <c r="AV3723" s="3">
        <v>42453</v>
      </c>
      <c r="AW3723" t="s">
        <v>54</v>
      </c>
      <c r="AX3723" t="str">
        <f t="shared" si="449"/>
        <v>FOR</v>
      </c>
      <c r="AY3723" t="s">
        <v>55</v>
      </c>
    </row>
    <row r="3724" spans="1:51" hidden="1">
      <c r="A3724">
        <v>106535</v>
      </c>
      <c r="B3724" t="s">
        <v>481</v>
      </c>
      <c r="C3724" t="str">
        <f t="shared" ref="C3724:D3743" si="451">"08862820969"</f>
        <v>08862820969</v>
      </c>
      <c r="D3724" t="str">
        <f t="shared" si="451"/>
        <v>08862820969</v>
      </c>
      <c r="E3724" t="s">
        <v>52</v>
      </c>
      <c r="F3724">
        <v>2015</v>
      </c>
      <c r="G3724" t="str">
        <f>"          2015107265"</f>
        <v xml:space="preserve">          2015107265</v>
      </c>
      <c r="H3724" s="3">
        <v>42208</v>
      </c>
      <c r="I3724" s="3">
        <v>42425</v>
      </c>
      <c r="J3724" s="3">
        <v>42423</v>
      </c>
      <c r="K3724" s="3">
        <v>42483</v>
      </c>
      <c r="L3724"/>
      <c r="N3724"/>
      <c r="O3724" s="4">
        <v>1450</v>
      </c>
      <c r="P3724">
        <v>-30</v>
      </c>
      <c r="Q3724" s="4">
        <v>-43500</v>
      </c>
      <c r="R3724">
        <v>0</v>
      </c>
      <c r="V3724">
        <v>0</v>
      </c>
      <c r="W3724">
        <v>0</v>
      </c>
      <c r="X3724">
        <v>0</v>
      </c>
      <c r="Y3724">
        <v>0</v>
      </c>
      <c r="Z3724" s="4">
        <v>1508</v>
      </c>
      <c r="AA3724">
        <v>0</v>
      </c>
      <c r="AB3724" s="3">
        <v>42562</v>
      </c>
      <c r="AC3724" t="s">
        <v>53</v>
      </c>
      <c r="AD3724" t="s">
        <v>53</v>
      </c>
      <c r="AK3724">
        <v>0</v>
      </c>
      <c r="AU3724" s="3">
        <v>42453</v>
      </c>
      <c r="AV3724" s="3">
        <v>42453</v>
      </c>
      <c r="AW3724" t="s">
        <v>54</v>
      </c>
      <c r="AX3724" t="str">
        <f t="shared" si="449"/>
        <v>FOR</v>
      </c>
      <c r="AY3724" t="s">
        <v>55</v>
      </c>
    </row>
    <row r="3725" spans="1:51" hidden="1">
      <c r="A3725">
        <v>106535</v>
      </c>
      <c r="B3725" t="s">
        <v>481</v>
      </c>
      <c r="C3725" t="str">
        <f t="shared" si="451"/>
        <v>08862820969</v>
      </c>
      <c r="D3725" t="str">
        <f t="shared" si="451"/>
        <v>08862820969</v>
      </c>
      <c r="E3725" t="s">
        <v>52</v>
      </c>
      <c r="F3725">
        <v>2015</v>
      </c>
      <c r="G3725" t="str">
        <f>"          2015107266"</f>
        <v xml:space="preserve">          2015107266</v>
      </c>
      <c r="H3725" s="3">
        <v>42208</v>
      </c>
      <c r="I3725" s="3">
        <v>42425</v>
      </c>
      <c r="J3725" s="3">
        <v>42423</v>
      </c>
      <c r="K3725" s="3">
        <v>42483</v>
      </c>
      <c r="L3725"/>
      <c r="N3725"/>
      <c r="O3725" s="4">
        <v>1450</v>
      </c>
      <c r="P3725">
        <v>-30</v>
      </c>
      <c r="Q3725" s="4">
        <v>-43500</v>
      </c>
      <c r="R3725">
        <v>0</v>
      </c>
      <c r="V3725">
        <v>0</v>
      </c>
      <c r="W3725">
        <v>0</v>
      </c>
      <c r="X3725">
        <v>0</v>
      </c>
      <c r="Y3725">
        <v>0</v>
      </c>
      <c r="Z3725" s="4">
        <v>1508</v>
      </c>
      <c r="AA3725">
        <v>0</v>
      </c>
      <c r="AB3725" s="3">
        <v>42562</v>
      </c>
      <c r="AC3725" t="s">
        <v>53</v>
      </c>
      <c r="AD3725" t="s">
        <v>53</v>
      </c>
      <c r="AK3725">
        <v>0</v>
      </c>
      <c r="AU3725" s="3">
        <v>42453</v>
      </c>
      <c r="AV3725" s="3">
        <v>42453</v>
      </c>
      <c r="AW3725" t="s">
        <v>54</v>
      </c>
      <c r="AX3725" t="str">
        <f t="shared" si="449"/>
        <v>FOR</v>
      </c>
      <c r="AY3725" t="s">
        <v>55</v>
      </c>
    </row>
    <row r="3726" spans="1:51" hidden="1">
      <c r="A3726">
        <v>106535</v>
      </c>
      <c r="B3726" t="s">
        <v>481</v>
      </c>
      <c r="C3726" t="str">
        <f t="shared" si="451"/>
        <v>08862820969</v>
      </c>
      <c r="D3726" t="str">
        <f t="shared" si="451"/>
        <v>08862820969</v>
      </c>
      <c r="E3726" t="s">
        <v>52</v>
      </c>
      <c r="F3726">
        <v>2015</v>
      </c>
      <c r="G3726" t="str">
        <f>"          2015107361"</f>
        <v xml:space="preserve">          2015107361</v>
      </c>
      <c r="H3726" s="3">
        <v>42212</v>
      </c>
      <c r="I3726" s="3">
        <v>42217</v>
      </c>
      <c r="J3726" s="3">
        <v>42216</v>
      </c>
      <c r="K3726" s="3">
        <v>42276</v>
      </c>
      <c r="L3726"/>
      <c r="N3726"/>
      <c r="O3726" s="4">
        <v>1450</v>
      </c>
      <c r="P3726">
        <v>125</v>
      </c>
      <c r="Q3726" s="4">
        <v>181250</v>
      </c>
      <c r="R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 s="3">
        <v>42562</v>
      </c>
      <c r="AC3726" t="s">
        <v>53</v>
      </c>
      <c r="AD3726" t="s">
        <v>53</v>
      </c>
      <c r="AK3726">
        <v>0</v>
      </c>
      <c r="AU3726" s="3">
        <v>42401</v>
      </c>
      <c r="AV3726" s="3">
        <v>42401</v>
      </c>
      <c r="AW3726" t="s">
        <v>54</v>
      </c>
      <c r="AX3726" t="str">
        <f t="shared" si="449"/>
        <v>FOR</v>
      </c>
      <c r="AY3726" t="s">
        <v>55</v>
      </c>
    </row>
    <row r="3727" spans="1:51" hidden="1">
      <c r="A3727">
        <v>106535</v>
      </c>
      <c r="B3727" t="s">
        <v>481</v>
      </c>
      <c r="C3727" t="str">
        <f t="shared" si="451"/>
        <v>08862820969</v>
      </c>
      <c r="D3727" t="str">
        <f t="shared" si="451"/>
        <v>08862820969</v>
      </c>
      <c r="E3727" t="s">
        <v>52</v>
      </c>
      <c r="F3727">
        <v>2015</v>
      </c>
      <c r="G3727" t="str">
        <f>"          2015107458"</f>
        <v xml:space="preserve">          2015107458</v>
      </c>
      <c r="H3727" s="3">
        <v>42215</v>
      </c>
      <c r="I3727" s="3">
        <v>42223</v>
      </c>
      <c r="J3727" s="3">
        <v>42221</v>
      </c>
      <c r="K3727" s="3">
        <v>42281</v>
      </c>
      <c r="L3727"/>
      <c r="N3727"/>
      <c r="O3727">
        <v>275</v>
      </c>
      <c r="P3727">
        <v>120</v>
      </c>
      <c r="Q3727" s="4">
        <v>33000</v>
      </c>
      <c r="R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 s="3">
        <v>42562</v>
      </c>
      <c r="AC3727" t="s">
        <v>53</v>
      </c>
      <c r="AD3727" t="s">
        <v>53</v>
      </c>
      <c r="AK3727">
        <v>0</v>
      </c>
      <c r="AU3727" s="3">
        <v>42401</v>
      </c>
      <c r="AV3727" s="3">
        <v>42401</v>
      </c>
      <c r="AW3727" t="s">
        <v>54</v>
      </c>
      <c r="AX3727" t="str">
        <f t="shared" si="449"/>
        <v>FOR</v>
      </c>
      <c r="AY3727" t="s">
        <v>55</v>
      </c>
    </row>
    <row r="3728" spans="1:51" hidden="1">
      <c r="A3728">
        <v>106535</v>
      </c>
      <c r="B3728" t="s">
        <v>481</v>
      </c>
      <c r="C3728" t="str">
        <f t="shared" si="451"/>
        <v>08862820969</v>
      </c>
      <c r="D3728" t="str">
        <f t="shared" si="451"/>
        <v>08862820969</v>
      </c>
      <c r="E3728" t="s">
        <v>52</v>
      </c>
      <c r="F3728">
        <v>2015</v>
      </c>
      <c r="G3728" t="str">
        <f>"          2015107459"</f>
        <v xml:space="preserve">          2015107459</v>
      </c>
      <c r="H3728" s="3">
        <v>42215</v>
      </c>
      <c r="I3728" s="3">
        <v>42223</v>
      </c>
      <c r="J3728" s="3">
        <v>42221</v>
      </c>
      <c r="K3728" s="3">
        <v>42281</v>
      </c>
      <c r="L3728"/>
      <c r="N3728"/>
      <c r="O3728">
        <v>275</v>
      </c>
      <c r="P3728">
        <v>120</v>
      </c>
      <c r="Q3728" s="4">
        <v>33000</v>
      </c>
      <c r="R3728">
        <v>0</v>
      </c>
      <c r="V3728">
        <v>0</v>
      </c>
      <c r="W3728">
        <v>0</v>
      </c>
      <c r="X3728">
        <v>0</v>
      </c>
      <c r="Y3728">
        <v>0</v>
      </c>
      <c r="Z3728">
        <v>0</v>
      </c>
      <c r="AA3728">
        <v>0</v>
      </c>
      <c r="AB3728" s="3">
        <v>42562</v>
      </c>
      <c r="AC3728" t="s">
        <v>53</v>
      </c>
      <c r="AD3728" t="s">
        <v>53</v>
      </c>
      <c r="AK3728">
        <v>0</v>
      </c>
      <c r="AU3728" s="3">
        <v>42401</v>
      </c>
      <c r="AV3728" s="3">
        <v>42401</v>
      </c>
      <c r="AW3728" t="s">
        <v>54</v>
      </c>
      <c r="AX3728" t="str">
        <f t="shared" si="449"/>
        <v>FOR</v>
      </c>
      <c r="AY3728" t="s">
        <v>55</v>
      </c>
    </row>
    <row r="3729" spans="1:51" hidden="1">
      <c r="A3729">
        <v>106535</v>
      </c>
      <c r="B3729" t="s">
        <v>481</v>
      </c>
      <c r="C3729" t="str">
        <f t="shared" si="451"/>
        <v>08862820969</v>
      </c>
      <c r="D3729" t="str">
        <f t="shared" si="451"/>
        <v>08862820969</v>
      </c>
      <c r="E3729" t="s">
        <v>52</v>
      </c>
      <c r="F3729">
        <v>2015</v>
      </c>
      <c r="G3729" t="str">
        <f>"          2015108213"</f>
        <v xml:space="preserve">          2015108213</v>
      </c>
      <c r="H3729" s="3">
        <v>42249</v>
      </c>
      <c r="I3729" s="3">
        <v>42254</v>
      </c>
      <c r="J3729" s="3">
        <v>42254</v>
      </c>
      <c r="K3729" s="3">
        <v>42314</v>
      </c>
      <c r="L3729"/>
      <c r="N3729"/>
      <c r="O3729" s="4">
        <v>1320</v>
      </c>
      <c r="P3729">
        <v>102</v>
      </c>
      <c r="Q3729" s="4">
        <v>134640</v>
      </c>
      <c r="R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 s="3">
        <v>42562</v>
      </c>
      <c r="AC3729" t="s">
        <v>53</v>
      </c>
      <c r="AD3729" t="s">
        <v>53</v>
      </c>
      <c r="AK3729">
        <v>0</v>
      </c>
      <c r="AU3729" s="3">
        <v>42416</v>
      </c>
      <c r="AV3729" s="3">
        <v>42416</v>
      </c>
      <c r="AW3729" t="s">
        <v>54</v>
      </c>
      <c r="AX3729" t="str">
        <f t="shared" si="449"/>
        <v>FOR</v>
      </c>
      <c r="AY3729" t="s">
        <v>55</v>
      </c>
    </row>
    <row r="3730" spans="1:51" hidden="1">
      <c r="A3730">
        <v>106535</v>
      </c>
      <c r="B3730" t="s">
        <v>481</v>
      </c>
      <c r="C3730" t="str">
        <f t="shared" si="451"/>
        <v>08862820969</v>
      </c>
      <c r="D3730" t="str">
        <f t="shared" si="451"/>
        <v>08862820969</v>
      </c>
      <c r="E3730" t="s">
        <v>52</v>
      </c>
      <c r="F3730">
        <v>2015</v>
      </c>
      <c r="G3730" t="str">
        <f>"          2015108214"</f>
        <v xml:space="preserve">          2015108214</v>
      </c>
      <c r="H3730" s="3">
        <v>42249</v>
      </c>
      <c r="I3730" s="3">
        <v>42254</v>
      </c>
      <c r="J3730" s="3">
        <v>42254</v>
      </c>
      <c r="K3730" s="3">
        <v>42314</v>
      </c>
      <c r="L3730"/>
      <c r="N3730"/>
      <c r="O3730" s="4">
        <v>1450</v>
      </c>
      <c r="P3730">
        <v>102</v>
      </c>
      <c r="Q3730" s="4">
        <v>147900</v>
      </c>
      <c r="R3730">
        <v>0</v>
      </c>
      <c r="V3730">
        <v>0</v>
      </c>
      <c r="W3730">
        <v>0</v>
      </c>
      <c r="X3730">
        <v>0</v>
      </c>
      <c r="Y3730">
        <v>0</v>
      </c>
      <c r="Z3730">
        <v>0</v>
      </c>
      <c r="AA3730">
        <v>0</v>
      </c>
      <c r="AB3730" s="3">
        <v>42562</v>
      </c>
      <c r="AC3730" t="s">
        <v>53</v>
      </c>
      <c r="AD3730" t="s">
        <v>53</v>
      </c>
      <c r="AK3730">
        <v>0</v>
      </c>
      <c r="AU3730" s="3">
        <v>42416</v>
      </c>
      <c r="AV3730" s="3">
        <v>42416</v>
      </c>
      <c r="AW3730" t="s">
        <v>54</v>
      </c>
      <c r="AX3730" t="str">
        <f t="shared" si="449"/>
        <v>FOR</v>
      </c>
      <c r="AY3730" t="s">
        <v>55</v>
      </c>
    </row>
    <row r="3731" spans="1:51" hidden="1">
      <c r="A3731">
        <v>106535</v>
      </c>
      <c r="B3731" t="s">
        <v>481</v>
      </c>
      <c r="C3731" t="str">
        <f t="shared" si="451"/>
        <v>08862820969</v>
      </c>
      <c r="D3731" t="str">
        <f t="shared" si="451"/>
        <v>08862820969</v>
      </c>
      <c r="E3731" t="s">
        <v>52</v>
      </c>
      <c r="F3731">
        <v>2015</v>
      </c>
      <c r="G3731" t="str">
        <f>"          2015108215"</f>
        <v xml:space="preserve">          2015108215</v>
      </c>
      <c r="H3731" s="3">
        <v>42249</v>
      </c>
      <c r="I3731" s="3">
        <v>42254</v>
      </c>
      <c r="J3731" s="3">
        <v>42254</v>
      </c>
      <c r="K3731" s="3">
        <v>42314</v>
      </c>
      <c r="L3731"/>
      <c r="N3731"/>
      <c r="O3731" s="4">
        <v>1450</v>
      </c>
      <c r="P3731">
        <v>102</v>
      </c>
      <c r="Q3731" s="4">
        <v>147900</v>
      </c>
      <c r="R3731">
        <v>0</v>
      </c>
      <c r="V3731">
        <v>0</v>
      </c>
      <c r="W3731">
        <v>0</v>
      </c>
      <c r="X3731">
        <v>0</v>
      </c>
      <c r="Y3731">
        <v>0</v>
      </c>
      <c r="Z3731">
        <v>0</v>
      </c>
      <c r="AA3731">
        <v>0</v>
      </c>
      <c r="AB3731" s="3">
        <v>42562</v>
      </c>
      <c r="AC3731" t="s">
        <v>53</v>
      </c>
      <c r="AD3731" t="s">
        <v>53</v>
      </c>
      <c r="AK3731">
        <v>0</v>
      </c>
      <c r="AU3731" s="3">
        <v>42416</v>
      </c>
      <c r="AV3731" s="3">
        <v>42416</v>
      </c>
      <c r="AW3731" t="s">
        <v>54</v>
      </c>
      <c r="AX3731" t="str">
        <f t="shared" ref="AX3731:AX3758" si="452">"FOR"</f>
        <v>FOR</v>
      </c>
      <c r="AY3731" t="s">
        <v>55</v>
      </c>
    </row>
    <row r="3732" spans="1:51" hidden="1">
      <c r="A3732">
        <v>106535</v>
      </c>
      <c r="B3732" t="s">
        <v>481</v>
      </c>
      <c r="C3732" t="str">
        <f t="shared" si="451"/>
        <v>08862820969</v>
      </c>
      <c r="D3732" t="str">
        <f t="shared" si="451"/>
        <v>08862820969</v>
      </c>
      <c r="E3732" t="s">
        <v>52</v>
      </c>
      <c r="F3732">
        <v>2015</v>
      </c>
      <c r="G3732" t="str">
        <f>"          2015108216"</f>
        <v xml:space="preserve">          2015108216</v>
      </c>
      <c r="H3732" s="3">
        <v>42249</v>
      </c>
      <c r="I3732" s="3">
        <v>42254</v>
      </c>
      <c r="J3732" s="3">
        <v>42254</v>
      </c>
      <c r="K3732" s="3">
        <v>42314</v>
      </c>
      <c r="L3732"/>
      <c r="N3732"/>
      <c r="O3732" s="4">
        <v>1450</v>
      </c>
      <c r="P3732">
        <v>102</v>
      </c>
      <c r="Q3732" s="4">
        <v>147900</v>
      </c>
      <c r="R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 s="3">
        <v>42562</v>
      </c>
      <c r="AC3732" t="s">
        <v>53</v>
      </c>
      <c r="AD3732" t="s">
        <v>53</v>
      </c>
      <c r="AK3732">
        <v>0</v>
      </c>
      <c r="AU3732" s="3">
        <v>42416</v>
      </c>
      <c r="AV3732" s="3">
        <v>42416</v>
      </c>
      <c r="AW3732" t="s">
        <v>54</v>
      </c>
      <c r="AX3732" t="str">
        <f t="shared" si="452"/>
        <v>FOR</v>
      </c>
      <c r="AY3732" t="s">
        <v>55</v>
      </c>
    </row>
    <row r="3733" spans="1:51" hidden="1">
      <c r="A3733">
        <v>106535</v>
      </c>
      <c r="B3733" t="s">
        <v>481</v>
      </c>
      <c r="C3733" t="str">
        <f t="shared" si="451"/>
        <v>08862820969</v>
      </c>
      <c r="D3733" t="str">
        <f t="shared" si="451"/>
        <v>08862820969</v>
      </c>
      <c r="E3733" t="s">
        <v>52</v>
      </c>
      <c r="F3733">
        <v>2015</v>
      </c>
      <c r="G3733" t="str">
        <f>"          2015108217"</f>
        <v xml:space="preserve">          2015108217</v>
      </c>
      <c r="H3733" s="3">
        <v>42249</v>
      </c>
      <c r="I3733" s="3">
        <v>42254</v>
      </c>
      <c r="J3733" s="3">
        <v>42254</v>
      </c>
      <c r="K3733" s="3">
        <v>42314</v>
      </c>
      <c r="L3733"/>
      <c r="N3733"/>
      <c r="O3733" s="4">
        <v>1450</v>
      </c>
      <c r="P3733">
        <v>102</v>
      </c>
      <c r="Q3733" s="4">
        <v>147900</v>
      </c>
      <c r="R3733">
        <v>0</v>
      </c>
      <c r="V3733">
        <v>0</v>
      </c>
      <c r="W3733">
        <v>0</v>
      </c>
      <c r="X3733">
        <v>0</v>
      </c>
      <c r="Y3733">
        <v>0</v>
      </c>
      <c r="Z3733">
        <v>0</v>
      </c>
      <c r="AA3733">
        <v>0</v>
      </c>
      <c r="AB3733" s="3">
        <v>42562</v>
      </c>
      <c r="AC3733" t="s">
        <v>53</v>
      </c>
      <c r="AD3733" t="s">
        <v>53</v>
      </c>
      <c r="AK3733">
        <v>0</v>
      </c>
      <c r="AU3733" s="3">
        <v>42416</v>
      </c>
      <c r="AV3733" s="3">
        <v>42416</v>
      </c>
      <c r="AW3733" t="s">
        <v>54</v>
      </c>
      <c r="AX3733" t="str">
        <f t="shared" si="452"/>
        <v>FOR</v>
      </c>
      <c r="AY3733" t="s">
        <v>55</v>
      </c>
    </row>
    <row r="3734" spans="1:51" hidden="1">
      <c r="A3734">
        <v>106535</v>
      </c>
      <c r="B3734" t="s">
        <v>481</v>
      </c>
      <c r="C3734" t="str">
        <f t="shared" si="451"/>
        <v>08862820969</v>
      </c>
      <c r="D3734" t="str">
        <f t="shared" si="451"/>
        <v>08862820969</v>
      </c>
      <c r="E3734" t="s">
        <v>52</v>
      </c>
      <c r="F3734">
        <v>2015</v>
      </c>
      <c r="G3734" t="str">
        <f>"          2015108218"</f>
        <v xml:space="preserve">          2015108218</v>
      </c>
      <c r="H3734" s="3">
        <v>42249</v>
      </c>
      <c r="I3734" s="3">
        <v>42254</v>
      </c>
      <c r="J3734" s="3">
        <v>42254</v>
      </c>
      <c r="K3734" s="3">
        <v>42314</v>
      </c>
      <c r="L3734"/>
      <c r="N3734"/>
      <c r="O3734" s="4">
        <v>1450</v>
      </c>
      <c r="P3734">
        <v>102</v>
      </c>
      <c r="Q3734" s="4">
        <v>147900</v>
      </c>
      <c r="R3734">
        <v>0</v>
      </c>
      <c r="V3734">
        <v>0</v>
      </c>
      <c r="W3734">
        <v>0</v>
      </c>
      <c r="X3734">
        <v>0</v>
      </c>
      <c r="Y3734">
        <v>0</v>
      </c>
      <c r="Z3734">
        <v>0</v>
      </c>
      <c r="AA3734">
        <v>0</v>
      </c>
      <c r="AB3734" s="3">
        <v>42562</v>
      </c>
      <c r="AC3734" t="s">
        <v>53</v>
      </c>
      <c r="AD3734" t="s">
        <v>53</v>
      </c>
      <c r="AK3734">
        <v>0</v>
      </c>
      <c r="AU3734" s="3">
        <v>42416</v>
      </c>
      <c r="AV3734" s="3">
        <v>42416</v>
      </c>
      <c r="AW3734" t="s">
        <v>54</v>
      </c>
      <c r="AX3734" t="str">
        <f t="shared" si="452"/>
        <v>FOR</v>
      </c>
      <c r="AY3734" t="s">
        <v>55</v>
      </c>
    </row>
    <row r="3735" spans="1:51" hidden="1">
      <c r="A3735">
        <v>106535</v>
      </c>
      <c r="B3735" t="s">
        <v>481</v>
      </c>
      <c r="C3735" t="str">
        <f t="shared" si="451"/>
        <v>08862820969</v>
      </c>
      <c r="D3735" t="str">
        <f t="shared" si="451"/>
        <v>08862820969</v>
      </c>
      <c r="E3735" t="s">
        <v>52</v>
      </c>
      <c r="F3735">
        <v>2015</v>
      </c>
      <c r="G3735" t="str">
        <f>"          2015108219"</f>
        <v xml:space="preserve">          2015108219</v>
      </c>
      <c r="H3735" s="3">
        <v>42249</v>
      </c>
      <c r="I3735" s="3">
        <v>42254</v>
      </c>
      <c r="J3735" s="3">
        <v>42254</v>
      </c>
      <c r="K3735" s="3">
        <v>42314</v>
      </c>
      <c r="L3735"/>
      <c r="N3735"/>
      <c r="O3735" s="4">
        <v>1450</v>
      </c>
      <c r="P3735">
        <v>102</v>
      </c>
      <c r="Q3735" s="4">
        <v>147900</v>
      </c>
      <c r="R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 s="3">
        <v>42562</v>
      </c>
      <c r="AC3735" t="s">
        <v>53</v>
      </c>
      <c r="AD3735" t="s">
        <v>53</v>
      </c>
      <c r="AK3735">
        <v>0</v>
      </c>
      <c r="AU3735" s="3">
        <v>42416</v>
      </c>
      <c r="AV3735" s="3">
        <v>42416</v>
      </c>
      <c r="AW3735" t="s">
        <v>54</v>
      </c>
      <c r="AX3735" t="str">
        <f t="shared" si="452"/>
        <v>FOR</v>
      </c>
      <c r="AY3735" t="s">
        <v>55</v>
      </c>
    </row>
    <row r="3736" spans="1:51" hidden="1">
      <c r="A3736">
        <v>106535</v>
      </c>
      <c r="B3736" t="s">
        <v>481</v>
      </c>
      <c r="C3736" t="str">
        <f t="shared" si="451"/>
        <v>08862820969</v>
      </c>
      <c r="D3736" t="str">
        <f t="shared" si="451"/>
        <v>08862820969</v>
      </c>
      <c r="E3736" t="s">
        <v>52</v>
      </c>
      <c r="F3736">
        <v>2015</v>
      </c>
      <c r="G3736" t="str">
        <f>"          2015108235"</f>
        <v xml:space="preserve">          2015108235</v>
      </c>
      <c r="H3736" s="3">
        <v>42249</v>
      </c>
      <c r="I3736" s="3">
        <v>42254</v>
      </c>
      <c r="J3736" s="3">
        <v>42254</v>
      </c>
      <c r="K3736" s="3">
        <v>42314</v>
      </c>
      <c r="L3736"/>
      <c r="N3736"/>
      <c r="O3736" s="4">
        <v>1320</v>
      </c>
      <c r="P3736">
        <v>102</v>
      </c>
      <c r="Q3736" s="4">
        <v>134640</v>
      </c>
      <c r="R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 s="3">
        <v>42562</v>
      </c>
      <c r="AC3736" t="s">
        <v>53</v>
      </c>
      <c r="AD3736" t="s">
        <v>53</v>
      </c>
      <c r="AK3736">
        <v>0</v>
      </c>
      <c r="AU3736" s="3">
        <v>42416</v>
      </c>
      <c r="AV3736" s="3">
        <v>42416</v>
      </c>
      <c r="AW3736" t="s">
        <v>54</v>
      </c>
      <c r="AX3736" t="str">
        <f t="shared" si="452"/>
        <v>FOR</v>
      </c>
      <c r="AY3736" t="s">
        <v>55</v>
      </c>
    </row>
    <row r="3737" spans="1:51" hidden="1">
      <c r="A3737">
        <v>106535</v>
      </c>
      <c r="B3737" t="s">
        <v>481</v>
      </c>
      <c r="C3737" t="str">
        <f t="shared" si="451"/>
        <v>08862820969</v>
      </c>
      <c r="D3737" t="str">
        <f t="shared" si="451"/>
        <v>08862820969</v>
      </c>
      <c r="E3737" t="s">
        <v>52</v>
      </c>
      <c r="F3737">
        <v>2015</v>
      </c>
      <c r="G3737" t="str">
        <f>"          2015108543"</f>
        <v xml:space="preserve">          2015108543</v>
      </c>
      <c r="H3737" s="3">
        <v>42262</v>
      </c>
      <c r="I3737" s="3">
        <v>42265</v>
      </c>
      <c r="J3737" s="3">
        <v>42265</v>
      </c>
      <c r="K3737" s="3">
        <v>42325</v>
      </c>
      <c r="L3737"/>
      <c r="N3737"/>
      <c r="O3737" s="4">
        <v>1450</v>
      </c>
      <c r="P3737">
        <v>91</v>
      </c>
      <c r="Q3737" s="4">
        <v>131950</v>
      </c>
      <c r="R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 s="3">
        <v>42562</v>
      </c>
      <c r="AC3737" t="s">
        <v>53</v>
      </c>
      <c r="AD3737" t="s">
        <v>53</v>
      </c>
      <c r="AK3737">
        <v>0</v>
      </c>
      <c r="AU3737" s="3">
        <v>42416</v>
      </c>
      <c r="AV3737" s="3">
        <v>42416</v>
      </c>
      <c r="AW3737" t="s">
        <v>54</v>
      </c>
      <c r="AX3737" t="str">
        <f t="shared" si="452"/>
        <v>FOR</v>
      </c>
      <c r="AY3737" t="s">
        <v>55</v>
      </c>
    </row>
    <row r="3738" spans="1:51" hidden="1">
      <c r="A3738">
        <v>106535</v>
      </c>
      <c r="B3738" t="s">
        <v>481</v>
      </c>
      <c r="C3738" t="str">
        <f t="shared" si="451"/>
        <v>08862820969</v>
      </c>
      <c r="D3738" t="str">
        <f t="shared" si="451"/>
        <v>08862820969</v>
      </c>
      <c r="E3738" t="s">
        <v>52</v>
      </c>
      <c r="F3738">
        <v>2015</v>
      </c>
      <c r="G3738" t="str">
        <f>"          2015108544"</f>
        <v xml:space="preserve">          2015108544</v>
      </c>
      <c r="H3738" s="3">
        <v>42262</v>
      </c>
      <c r="I3738" s="3">
        <v>42265</v>
      </c>
      <c r="J3738" s="3">
        <v>42265</v>
      </c>
      <c r="K3738" s="3">
        <v>42325</v>
      </c>
      <c r="L3738"/>
      <c r="N3738"/>
      <c r="O3738" s="4">
        <v>1450</v>
      </c>
      <c r="P3738">
        <v>91</v>
      </c>
      <c r="Q3738" s="4">
        <v>131950</v>
      </c>
      <c r="R3738">
        <v>0</v>
      </c>
      <c r="V3738">
        <v>0</v>
      </c>
      <c r="W3738">
        <v>0</v>
      </c>
      <c r="X3738">
        <v>0</v>
      </c>
      <c r="Y3738">
        <v>0</v>
      </c>
      <c r="Z3738">
        <v>0</v>
      </c>
      <c r="AA3738">
        <v>0</v>
      </c>
      <c r="AB3738" s="3">
        <v>42562</v>
      </c>
      <c r="AC3738" t="s">
        <v>53</v>
      </c>
      <c r="AD3738" t="s">
        <v>53</v>
      </c>
      <c r="AK3738">
        <v>0</v>
      </c>
      <c r="AU3738" s="3">
        <v>42416</v>
      </c>
      <c r="AV3738" s="3">
        <v>42416</v>
      </c>
      <c r="AW3738" t="s">
        <v>54</v>
      </c>
      <c r="AX3738" t="str">
        <f t="shared" si="452"/>
        <v>FOR</v>
      </c>
      <c r="AY3738" t="s">
        <v>55</v>
      </c>
    </row>
    <row r="3739" spans="1:51" hidden="1">
      <c r="A3739">
        <v>106535</v>
      </c>
      <c r="B3739" t="s">
        <v>481</v>
      </c>
      <c r="C3739" t="str">
        <f t="shared" si="451"/>
        <v>08862820969</v>
      </c>
      <c r="D3739" t="str">
        <f t="shared" si="451"/>
        <v>08862820969</v>
      </c>
      <c r="E3739" t="s">
        <v>52</v>
      </c>
      <c r="F3739">
        <v>2015</v>
      </c>
      <c r="G3739" t="str">
        <f>"          2015108545"</f>
        <v xml:space="preserve">          2015108545</v>
      </c>
      <c r="H3739" s="3">
        <v>42262</v>
      </c>
      <c r="I3739" s="3">
        <v>42265</v>
      </c>
      <c r="J3739" s="3">
        <v>42265</v>
      </c>
      <c r="K3739" s="3">
        <v>42325</v>
      </c>
      <c r="L3739"/>
      <c r="N3739"/>
      <c r="O3739" s="4">
        <v>1320</v>
      </c>
      <c r="P3739">
        <v>91</v>
      </c>
      <c r="Q3739" s="4">
        <v>120120</v>
      </c>
      <c r="R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 s="3">
        <v>42562</v>
      </c>
      <c r="AC3739" t="s">
        <v>53</v>
      </c>
      <c r="AD3739" t="s">
        <v>53</v>
      </c>
      <c r="AK3739">
        <v>0</v>
      </c>
      <c r="AU3739" s="3">
        <v>42416</v>
      </c>
      <c r="AV3739" s="3">
        <v>42416</v>
      </c>
      <c r="AW3739" t="s">
        <v>54</v>
      </c>
      <c r="AX3739" t="str">
        <f t="shared" si="452"/>
        <v>FOR</v>
      </c>
      <c r="AY3739" t="s">
        <v>55</v>
      </c>
    </row>
    <row r="3740" spans="1:51" hidden="1">
      <c r="A3740">
        <v>106535</v>
      </c>
      <c r="B3740" t="s">
        <v>481</v>
      </c>
      <c r="C3740" t="str">
        <f t="shared" si="451"/>
        <v>08862820969</v>
      </c>
      <c r="D3740" t="str">
        <f t="shared" si="451"/>
        <v>08862820969</v>
      </c>
      <c r="E3740" t="s">
        <v>52</v>
      </c>
      <c r="F3740">
        <v>2015</v>
      </c>
      <c r="G3740" t="str">
        <f>"          2015108547"</f>
        <v xml:space="preserve">          2015108547</v>
      </c>
      <c r="H3740" s="3">
        <v>42263</v>
      </c>
      <c r="I3740" s="3">
        <v>42269</v>
      </c>
      <c r="J3740" s="3">
        <v>42268</v>
      </c>
      <c r="K3740" s="3">
        <v>42328</v>
      </c>
      <c r="L3740"/>
      <c r="N3740"/>
      <c r="O3740" s="4">
        <v>1320</v>
      </c>
      <c r="P3740">
        <v>88</v>
      </c>
      <c r="Q3740" s="4">
        <v>116160</v>
      </c>
      <c r="R3740">
        <v>0</v>
      </c>
      <c r="V3740">
        <v>0</v>
      </c>
      <c r="W3740">
        <v>0</v>
      </c>
      <c r="X3740">
        <v>0</v>
      </c>
      <c r="Y3740">
        <v>0</v>
      </c>
      <c r="Z3740">
        <v>0</v>
      </c>
      <c r="AA3740">
        <v>0</v>
      </c>
      <c r="AB3740" s="3">
        <v>42562</v>
      </c>
      <c r="AC3740" t="s">
        <v>53</v>
      </c>
      <c r="AD3740" t="s">
        <v>53</v>
      </c>
      <c r="AK3740">
        <v>0</v>
      </c>
      <c r="AU3740" s="3">
        <v>42416</v>
      </c>
      <c r="AV3740" s="3">
        <v>42416</v>
      </c>
      <c r="AW3740" t="s">
        <v>54</v>
      </c>
      <c r="AX3740" t="str">
        <f t="shared" si="452"/>
        <v>FOR</v>
      </c>
      <c r="AY3740" t="s">
        <v>55</v>
      </c>
    </row>
    <row r="3741" spans="1:51" hidden="1">
      <c r="A3741">
        <v>106535</v>
      </c>
      <c r="B3741" t="s">
        <v>481</v>
      </c>
      <c r="C3741" t="str">
        <f t="shared" si="451"/>
        <v>08862820969</v>
      </c>
      <c r="D3741" t="str">
        <f t="shared" si="451"/>
        <v>08862820969</v>
      </c>
      <c r="E3741" t="s">
        <v>52</v>
      </c>
      <c r="F3741">
        <v>2015</v>
      </c>
      <c r="G3741" t="str">
        <f>"          2015108548"</f>
        <v xml:space="preserve">          2015108548</v>
      </c>
      <c r="H3741" s="3">
        <v>42263</v>
      </c>
      <c r="I3741" s="3">
        <v>42269</v>
      </c>
      <c r="J3741" s="3">
        <v>42268</v>
      </c>
      <c r="K3741" s="3">
        <v>42328</v>
      </c>
      <c r="L3741"/>
      <c r="N3741"/>
      <c r="O3741" s="4">
        <v>1320</v>
      </c>
      <c r="P3741">
        <v>88</v>
      </c>
      <c r="Q3741" s="4">
        <v>116160</v>
      </c>
      <c r="R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 s="3">
        <v>42562</v>
      </c>
      <c r="AC3741" t="s">
        <v>53</v>
      </c>
      <c r="AD3741" t="s">
        <v>53</v>
      </c>
      <c r="AK3741">
        <v>0</v>
      </c>
      <c r="AU3741" s="3">
        <v>42416</v>
      </c>
      <c r="AV3741" s="3">
        <v>42416</v>
      </c>
      <c r="AW3741" t="s">
        <v>54</v>
      </c>
      <c r="AX3741" t="str">
        <f t="shared" si="452"/>
        <v>FOR</v>
      </c>
      <c r="AY3741" t="s">
        <v>55</v>
      </c>
    </row>
    <row r="3742" spans="1:51" hidden="1">
      <c r="A3742">
        <v>106535</v>
      </c>
      <c r="B3742" t="s">
        <v>481</v>
      </c>
      <c r="C3742" t="str">
        <f t="shared" si="451"/>
        <v>08862820969</v>
      </c>
      <c r="D3742" t="str">
        <f t="shared" si="451"/>
        <v>08862820969</v>
      </c>
      <c r="E3742" t="s">
        <v>52</v>
      </c>
      <c r="F3742">
        <v>2015</v>
      </c>
      <c r="G3742" t="str">
        <f>"          2015108549"</f>
        <v xml:space="preserve">          2015108549</v>
      </c>
      <c r="H3742" s="3">
        <v>42263</v>
      </c>
      <c r="I3742" s="3">
        <v>42269</v>
      </c>
      <c r="J3742" s="3">
        <v>42268</v>
      </c>
      <c r="K3742" s="3">
        <v>42328</v>
      </c>
      <c r="L3742"/>
      <c r="N3742"/>
      <c r="O3742" s="4">
        <v>1320</v>
      </c>
      <c r="P3742">
        <v>88</v>
      </c>
      <c r="Q3742" s="4">
        <v>116160</v>
      </c>
      <c r="R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 s="3">
        <v>42562</v>
      </c>
      <c r="AC3742" t="s">
        <v>53</v>
      </c>
      <c r="AD3742" t="s">
        <v>53</v>
      </c>
      <c r="AK3742">
        <v>0</v>
      </c>
      <c r="AU3742" s="3">
        <v>42416</v>
      </c>
      <c r="AV3742" s="3">
        <v>42416</v>
      </c>
      <c r="AW3742" t="s">
        <v>54</v>
      </c>
      <c r="AX3742" t="str">
        <f t="shared" si="452"/>
        <v>FOR</v>
      </c>
      <c r="AY3742" t="s">
        <v>55</v>
      </c>
    </row>
    <row r="3743" spans="1:51" hidden="1">
      <c r="A3743">
        <v>106535</v>
      </c>
      <c r="B3743" t="s">
        <v>481</v>
      </c>
      <c r="C3743" t="str">
        <f t="shared" si="451"/>
        <v>08862820969</v>
      </c>
      <c r="D3743" t="str">
        <f t="shared" si="451"/>
        <v>08862820969</v>
      </c>
      <c r="E3743" t="s">
        <v>52</v>
      </c>
      <c r="F3743">
        <v>2015</v>
      </c>
      <c r="G3743" t="str">
        <f>"          2015108550"</f>
        <v xml:space="preserve">          2015108550</v>
      </c>
      <c r="H3743" s="3">
        <v>42263</v>
      </c>
      <c r="I3743" s="3">
        <v>42269</v>
      </c>
      <c r="J3743" s="3">
        <v>42268</v>
      </c>
      <c r="K3743" s="3">
        <v>42328</v>
      </c>
      <c r="L3743"/>
      <c r="N3743"/>
      <c r="O3743" s="4">
        <v>1320</v>
      </c>
      <c r="P3743">
        <v>88</v>
      </c>
      <c r="Q3743" s="4">
        <v>116160</v>
      </c>
      <c r="R3743">
        <v>0</v>
      </c>
      <c r="V3743">
        <v>0</v>
      </c>
      <c r="W3743">
        <v>0</v>
      </c>
      <c r="X3743">
        <v>0</v>
      </c>
      <c r="Y3743">
        <v>0</v>
      </c>
      <c r="Z3743">
        <v>0</v>
      </c>
      <c r="AA3743">
        <v>0</v>
      </c>
      <c r="AB3743" s="3">
        <v>42562</v>
      </c>
      <c r="AC3743" t="s">
        <v>53</v>
      </c>
      <c r="AD3743" t="s">
        <v>53</v>
      </c>
      <c r="AK3743">
        <v>0</v>
      </c>
      <c r="AU3743" s="3">
        <v>42416</v>
      </c>
      <c r="AV3743" s="3">
        <v>42416</v>
      </c>
      <c r="AW3743" t="s">
        <v>54</v>
      </c>
      <c r="AX3743" t="str">
        <f t="shared" si="452"/>
        <v>FOR</v>
      </c>
      <c r="AY3743" t="s">
        <v>55</v>
      </c>
    </row>
    <row r="3744" spans="1:51" hidden="1">
      <c r="A3744">
        <v>106535</v>
      </c>
      <c r="B3744" t="s">
        <v>481</v>
      </c>
      <c r="C3744" t="str">
        <f t="shared" ref="C3744:D3757" si="453">"08862820969"</f>
        <v>08862820969</v>
      </c>
      <c r="D3744" t="str">
        <f t="shared" si="453"/>
        <v>08862820969</v>
      </c>
      <c r="E3744" t="s">
        <v>52</v>
      </c>
      <c r="F3744">
        <v>2015</v>
      </c>
      <c r="G3744" t="str">
        <f>"          2015108551"</f>
        <v xml:space="preserve">          2015108551</v>
      </c>
      <c r="H3744" s="3">
        <v>42263</v>
      </c>
      <c r="I3744" s="3">
        <v>42269</v>
      </c>
      <c r="J3744" s="3">
        <v>42268</v>
      </c>
      <c r="K3744" s="3">
        <v>42328</v>
      </c>
      <c r="L3744"/>
      <c r="N3744"/>
      <c r="O3744" s="4">
        <v>1450</v>
      </c>
      <c r="P3744">
        <v>88</v>
      </c>
      <c r="Q3744" s="4">
        <v>127600</v>
      </c>
      <c r="R3744">
        <v>0</v>
      </c>
      <c r="V3744">
        <v>0</v>
      </c>
      <c r="W3744">
        <v>0</v>
      </c>
      <c r="X3744">
        <v>0</v>
      </c>
      <c r="Y3744">
        <v>0</v>
      </c>
      <c r="Z3744">
        <v>0</v>
      </c>
      <c r="AA3744">
        <v>0</v>
      </c>
      <c r="AB3744" s="3">
        <v>42562</v>
      </c>
      <c r="AC3744" t="s">
        <v>53</v>
      </c>
      <c r="AD3744" t="s">
        <v>53</v>
      </c>
      <c r="AK3744">
        <v>0</v>
      </c>
      <c r="AU3744" s="3">
        <v>42416</v>
      </c>
      <c r="AV3744" s="3">
        <v>42416</v>
      </c>
      <c r="AW3744" t="s">
        <v>54</v>
      </c>
      <c r="AX3744" t="str">
        <f t="shared" si="452"/>
        <v>FOR</v>
      </c>
      <c r="AY3744" t="s">
        <v>55</v>
      </c>
    </row>
    <row r="3745" spans="1:51" hidden="1">
      <c r="A3745">
        <v>106535</v>
      </c>
      <c r="B3745" t="s">
        <v>481</v>
      </c>
      <c r="C3745" t="str">
        <f t="shared" si="453"/>
        <v>08862820969</v>
      </c>
      <c r="D3745" t="str">
        <f t="shared" si="453"/>
        <v>08862820969</v>
      </c>
      <c r="E3745" t="s">
        <v>52</v>
      </c>
      <c r="F3745">
        <v>2015</v>
      </c>
      <c r="G3745" t="str">
        <f>"          2015108552"</f>
        <v xml:space="preserve">          2015108552</v>
      </c>
      <c r="H3745" s="3">
        <v>42263</v>
      </c>
      <c r="I3745" s="3">
        <v>42269</v>
      </c>
      <c r="J3745" s="3">
        <v>42268</v>
      </c>
      <c r="K3745" s="3">
        <v>42328</v>
      </c>
      <c r="L3745"/>
      <c r="N3745"/>
      <c r="O3745" s="4">
        <v>1450</v>
      </c>
      <c r="P3745">
        <v>88</v>
      </c>
      <c r="Q3745" s="4">
        <v>127600</v>
      </c>
      <c r="R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 s="3">
        <v>42562</v>
      </c>
      <c r="AC3745" t="s">
        <v>53</v>
      </c>
      <c r="AD3745" t="s">
        <v>53</v>
      </c>
      <c r="AK3745">
        <v>0</v>
      </c>
      <c r="AU3745" s="3">
        <v>42416</v>
      </c>
      <c r="AV3745" s="3">
        <v>42416</v>
      </c>
      <c r="AW3745" t="s">
        <v>54</v>
      </c>
      <c r="AX3745" t="str">
        <f t="shared" si="452"/>
        <v>FOR</v>
      </c>
      <c r="AY3745" t="s">
        <v>55</v>
      </c>
    </row>
    <row r="3746" spans="1:51" hidden="1">
      <c r="A3746">
        <v>106535</v>
      </c>
      <c r="B3746" t="s">
        <v>481</v>
      </c>
      <c r="C3746" t="str">
        <f t="shared" si="453"/>
        <v>08862820969</v>
      </c>
      <c r="D3746" t="str">
        <f t="shared" si="453"/>
        <v>08862820969</v>
      </c>
      <c r="E3746" t="s">
        <v>52</v>
      </c>
      <c r="F3746">
        <v>2015</v>
      </c>
      <c r="G3746" t="str">
        <f>"          2015108553"</f>
        <v xml:space="preserve">          2015108553</v>
      </c>
      <c r="H3746" s="3">
        <v>42263</v>
      </c>
      <c r="I3746" s="3">
        <v>42269</v>
      </c>
      <c r="J3746" s="3">
        <v>42268</v>
      </c>
      <c r="K3746" s="3">
        <v>42328</v>
      </c>
      <c r="L3746"/>
      <c r="N3746"/>
      <c r="O3746" s="4">
        <v>1450</v>
      </c>
      <c r="P3746">
        <v>88</v>
      </c>
      <c r="Q3746" s="4">
        <v>127600</v>
      </c>
      <c r="R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 s="3">
        <v>42562</v>
      </c>
      <c r="AC3746" t="s">
        <v>53</v>
      </c>
      <c r="AD3746" t="s">
        <v>53</v>
      </c>
      <c r="AK3746">
        <v>0</v>
      </c>
      <c r="AU3746" s="3">
        <v>42416</v>
      </c>
      <c r="AV3746" s="3">
        <v>42416</v>
      </c>
      <c r="AW3746" t="s">
        <v>54</v>
      </c>
      <c r="AX3746" t="str">
        <f t="shared" si="452"/>
        <v>FOR</v>
      </c>
      <c r="AY3746" t="s">
        <v>55</v>
      </c>
    </row>
    <row r="3747" spans="1:51" hidden="1">
      <c r="A3747">
        <v>106535</v>
      </c>
      <c r="B3747" t="s">
        <v>481</v>
      </c>
      <c r="C3747" t="str">
        <f t="shared" si="453"/>
        <v>08862820969</v>
      </c>
      <c r="D3747" t="str">
        <f t="shared" si="453"/>
        <v>08862820969</v>
      </c>
      <c r="E3747" t="s">
        <v>52</v>
      </c>
      <c r="F3747">
        <v>2015</v>
      </c>
      <c r="G3747" t="str">
        <f>"          2015108554"</f>
        <v xml:space="preserve">          2015108554</v>
      </c>
      <c r="H3747" s="3">
        <v>42263</v>
      </c>
      <c r="I3747" s="3">
        <v>42269</v>
      </c>
      <c r="J3747" s="3">
        <v>42268</v>
      </c>
      <c r="K3747" s="3">
        <v>42328</v>
      </c>
      <c r="L3747"/>
      <c r="N3747"/>
      <c r="O3747" s="4">
        <v>1450</v>
      </c>
      <c r="P3747">
        <v>88</v>
      </c>
      <c r="Q3747" s="4">
        <v>127600</v>
      </c>
      <c r="R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 s="3">
        <v>42562</v>
      </c>
      <c r="AC3747" t="s">
        <v>53</v>
      </c>
      <c r="AD3747" t="s">
        <v>53</v>
      </c>
      <c r="AK3747">
        <v>0</v>
      </c>
      <c r="AU3747" s="3">
        <v>42416</v>
      </c>
      <c r="AV3747" s="3">
        <v>42416</v>
      </c>
      <c r="AW3747" t="s">
        <v>54</v>
      </c>
      <c r="AX3747" t="str">
        <f t="shared" si="452"/>
        <v>FOR</v>
      </c>
      <c r="AY3747" t="s">
        <v>55</v>
      </c>
    </row>
    <row r="3748" spans="1:51" hidden="1">
      <c r="A3748">
        <v>106535</v>
      </c>
      <c r="B3748" t="s">
        <v>481</v>
      </c>
      <c r="C3748" t="str">
        <f t="shared" si="453"/>
        <v>08862820969</v>
      </c>
      <c r="D3748" t="str">
        <f t="shared" si="453"/>
        <v>08862820969</v>
      </c>
      <c r="E3748" t="s">
        <v>52</v>
      </c>
      <c r="F3748">
        <v>2015</v>
      </c>
      <c r="G3748" t="str">
        <f>"          2015108555"</f>
        <v xml:space="preserve">          2015108555</v>
      </c>
      <c r="H3748" s="3">
        <v>42263</v>
      </c>
      <c r="I3748" s="3">
        <v>42269</v>
      </c>
      <c r="J3748" s="3">
        <v>42268</v>
      </c>
      <c r="K3748" s="3">
        <v>42328</v>
      </c>
      <c r="L3748"/>
      <c r="N3748"/>
      <c r="O3748" s="4">
        <v>1450</v>
      </c>
      <c r="P3748">
        <v>88</v>
      </c>
      <c r="Q3748" s="4">
        <v>127600</v>
      </c>
      <c r="R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 s="3">
        <v>42562</v>
      </c>
      <c r="AC3748" t="s">
        <v>53</v>
      </c>
      <c r="AD3748" t="s">
        <v>53</v>
      </c>
      <c r="AK3748">
        <v>0</v>
      </c>
      <c r="AU3748" s="3">
        <v>42416</v>
      </c>
      <c r="AV3748" s="3">
        <v>42416</v>
      </c>
      <c r="AW3748" t="s">
        <v>54</v>
      </c>
      <c r="AX3748" t="str">
        <f t="shared" si="452"/>
        <v>FOR</v>
      </c>
      <c r="AY3748" t="s">
        <v>55</v>
      </c>
    </row>
    <row r="3749" spans="1:51" hidden="1">
      <c r="A3749">
        <v>106535</v>
      </c>
      <c r="B3749" t="s">
        <v>481</v>
      </c>
      <c r="C3749" t="str">
        <f t="shared" si="453"/>
        <v>08862820969</v>
      </c>
      <c r="D3749" t="str">
        <f t="shared" si="453"/>
        <v>08862820969</v>
      </c>
      <c r="E3749" t="s">
        <v>52</v>
      </c>
      <c r="F3749">
        <v>2015</v>
      </c>
      <c r="G3749" t="str">
        <f>"          2015108556"</f>
        <v xml:space="preserve">          2015108556</v>
      </c>
      <c r="H3749" s="3">
        <v>42263</v>
      </c>
      <c r="I3749" s="3">
        <v>42269</v>
      </c>
      <c r="J3749" s="3">
        <v>42268</v>
      </c>
      <c r="K3749" s="3">
        <v>42328</v>
      </c>
      <c r="L3749"/>
      <c r="N3749"/>
      <c r="O3749" s="4">
        <v>1450</v>
      </c>
      <c r="P3749">
        <v>88</v>
      </c>
      <c r="Q3749" s="4">
        <v>127600</v>
      </c>
      <c r="R3749">
        <v>0</v>
      </c>
      <c r="V3749">
        <v>0</v>
      </c>
      <c r="W3749">
        <v>0</v>
      </c>
      <c r="X3749">
        <v>0</v>
      </c>
      <c r="Y3749">
        <v>0</v>
      </c>
      <c r="Z3749">
        <v>0</v>
      </c>
      <c r="AA3749">
        <v>0</v>
      </c>
      <c r="AB3749" s="3">
        <v>42562</v>
      </c>
      <c r="AC3749" t="s">
        <v>53</v>
      </c>
      <c r="AD3749" t="s">
        <v>53</v>
      </c>
      <c r="AK3749">
        <v>0</v>
      </c>
      <c r="AU3749" s="3">
        <v>42416</v>
      </c>
      <c r="AV3749" s="3">
        <v>42416</v>
      </c>
      <c r="AW3749" t="s">
        <v>54</v>
      </c>
      <c r="AX3749" t="str">
        <f t="shared" si="452"/>
        <v>FOR</v>
      </c>
      <c r="AY3749" t="s">
        <v>55</v>
      </c>
    </row>
    <row r="3750" spans="1:51" hidden="1">
      <c r="A3750">
        <v>106535</v>
      </c>
      <c r="B3750" t="s">
        <v>481</v>
      </c>
      <c r="C3750" t="str">
        <f t="shared" si="453"/>
        <v>08862820969</v>
      </c>
      <c r="D3750" t="str">
        <f t="shared" si="453"/>
        <v>08862820969</v>
      </c>
      <c r="E3750" t="s">
        <v>52</v>
      </c>
      <c r="F3750">
        <v>2015</v>
      </c>
      <c r="G3750" t="str">
        <f>"          2015108557"</f>
        <v xml:space="preserve">          2015108557</v>
      </c>
      <c r="H3750" s="3">
        <v>42263</v>
      </c>
      <c r="I3750" s="3">
        <v>42268</v>
      </c>
      <c r="J3750" s="3">
        <v>42268</v>
      </c>
      <c r="K3750" s="3">
        <v>42328</v>
      </c>
      <c r="L3750"/>
      <c r="N3750"/>
      <c r="O3750" s="4">
        <v>1450</v>
      </c>
      <c r="P3750">
        <v>88</v>
      </c>
      <c r="Q3750" s="4">
        <v>127600</v>
      </c>
      <c r="R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  <c r="AB3750" s="3">
        <v>42562</v>
      </c>
      <c r="AC3750" t="s">
        <v>53</v>
      </c>
      <c r="AD3750" t="s">
        <v>53</v>
      </c>
      <c r="AK3750">
        <v>0</v>
      </c>
      <c r="AU3750" s="3">
        <v>42416</v>
      </c>
      <c r="AV3750" s="3">
        <v>42416</v>
      </c>
      <c r="AW3750" t="s">
        <v>54</v>
      </c>
      <c r="AX3750" t="str">
        <f t="shared" si="452"/>
        <v>FOR</v>
      </c>
      <c r="AY3750" t="s">
        <v>55</v>
      </c>
    </row>
    <row r="3751" spans="1:51">
      <c r="A3751">
        <v>106535</v>
      </c>
      <c r="B3751" t="s">
        <v>481</v>
      </c>
      <c r="C3751" t="str">
        <f t="shared" si="453"/>
        <v>08862820969</v>
      </c>
      <c r="D3751" t="str">
        <f t="shared" si="453"/>
        <v>08862820969</v>
      </c>
      <c r="E3751" t="s">
        <v>52</v>
      </c>
      <c r="F3751">
        <v>2015</v>
      </c>
      <c r="G3751" t="str">
        <f>"          2015109364"</f>
        <v xml:space="preserve">          2015109364</v>
      </c>
      <c r="H3751" s="3">
        <v>42289</v>
      </c>
      <c r="I3751" s="3">
        <v>42292</v>
      </c>
      <c r="J3751" s="3">
        <v>42292</v>
      </c>
      <c r="K3751" s="3">
        <v>42352</v>
      </c>
      <c r="L3751" s="5">
        <v>3400</v>
      </c>
      <c r="M3751">
        <v>176</v>
      </c>
      <c r="N3751" s="5">
        <v>598400</v>
      </c>
      <c r="O3751" s="4">
        <v>3400</v>
      </c>
      <c r="P3751">
        <v>176</v>
      </c>
      <c r="Q3751" s="4">
        <v>598400</v>
      </c>
      <c r="R3751">
        <v>748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 s="3">
        <v>42562</v>
      </c>
      <c r="AC3751" t="s">
        <v>53</v>
      </c>
      <c r="AD3751" t="s">
        <v>53</v>
      </c>
      <c r="AK3751">
        <v>748</v>
      </c>
      <c r="AU3751" s="3">
        <v>42528</v>
      </c>
      <c r="AV3751" s="3">
        <v>42528</v>
      </c>
      <c r="AW3751" t="s">
        <v>54</v>
      </c>
      <c r="AX3751" t="str">
        <f t="shared" si="452"/>
        <v>FOR</v>
      </c>
      <c r="AY3751" t="s">
        <v>55</v>
      </c>
    </row>
    <row r="3752" spans="1:51">
      <c r="A3752">
        <v>106535</v>
      </c>
      <c r="B3752" t="s">
        <v>481</v>
      </c>
      <c r="C3752" t="str">
        <f t="shared" si="453"/>
        <v>08862820969</v>
      </c>
      <c r="D3752" t="str">
        <f t="shared" si="453"/>
        <v>08862820969</v>
      </c>
      <c r="E3752" t="s">
        <v>52</v>
      </c>
      <c r="F3752">
        <v>2015</v>
      </c>
      <c r="G3752" t="str">
        <f>"          2015109499"</f>
        <v xml:space="preserve">          2015109499</v>
      </c>
      <c r="H3752" s="3">
        <v>42292</v>
      </c>
      <c r="I3752" s="3">
        <v>42298</v>
      </c>
      <c r="J3752" s="3">
        <v>42297</v>
      </c>
      <c r="K3752" s="3">
        <v>42357</v>
      </c>
      <c r="L3752" s="1">
        <v>570</v>
      </c>
      <c r="M3752">
        <v>171</v>
      </c>
      <c r="N3752" s="5">
        <v>97470</v>
      </c>
      <c r="O3752">
        <v>570</v>
      </c>
      <c r="P3752">
        <v>171</v>
      </c>
      <c r="Q3752" s="4">
        <v>97470</v>
      </c>
      <c r="R3752">
        <v>125.4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 s="3">
        <v>42562</v>
      </c>
      <c r="AC3752" t="s">
        <v>53</v>
      </c>
      <c r="AD3752" t="s">
        <v>53</v>
      </c>
      <c r="AK3752">
        <v>125.4</v>
      </c>
      <c r="AU3752" s="3">
        <v>42528</v>
      </c>
      <c r="AV3752" s="3">
        <v>42528</v>
      </c>
      <c r="AW3752" t="s">
        <v>54</v>
      </c>
      <c r="AX3752" t="str">
        <f t="shared" si="452"/>
        <v>FOR</v>
      </c>
      <c r="AY3752" t="s">
        <v>55</v>
      </c>
    </row>
    <row r="3753" spans="1:51">
      <c r="A3753">
        <v>106535</v>
      </c>
      <c r="B3753" t="s">
        <v>481</v>
      </c>
      <c r="C3753" t="str">
        <f t="shared" si="453"/>
        <v>08862820969</v>
      </c>
      <c r="D3753" t="str">
        <f t="shared" si="453"/>
        <v>08862820969</v>
      </c>
      <c r="E3753" t="s">
        <v>52</v>
      </c>
      <c r="F3753">
        <v>2015</v>
      </c>
      <c r="G3753" t="str">
        <f>"          2015109575"</f>
        <v xml:space="preserve">          2015109575</v>
      </c>
      <c r="H3753" s="3">
        <v>42296</v>
      </c>
      <c r="I3753" s="3">
        <v>42300</v>
      </c>
      <c r="J3753" s="3">
        <v>42299</v>
      </c>
      <c r="K3753" s="3">
        <v>42359</v>
      </c>
      <c r="L3753" s="1">
        <v>280</v>
      </c>
      <c r="M3753">
        <v>169</v>
      </c>
      <c r="N3753" s="5">
        <v>47320</v>
      </c>
      <c r="O3753">
        <v>280</v>
      </c>
      <c r="P3753">
        <v>169</v>
      </c>
      <c r="Q3753" s="4">
        <v>47320</v>
      </c>
      <c r="R3753">
        <v>61.6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 s="3">
        <v>42562</v>
      </c>
      <c r="AC3753" t="s">
        <v>53</v>
      </c>
      <c r="AD3753" t="s">
        <v>53</v>
      </c>
      <c r="AK3753">
        <v>61.6</v>
      </c>
      <c r="AU3753" s="3">
        <v>42528</v>
      </c>
      <c r="AV3753" s="3">
        <v>42528</v>
      </c>
      <c r="AW3753" t="s">
        <v>54</v>
      </c>
      <c r="AX3753" t="str">
        <f t="shared" si="452"/>
        <v>FOR</v>
      </c>
      <c r="AY3753" t="s">
        <v>55</v>
      </c>
    </row>
    <row r="3754" spans="1:51">
      <c r="A3754">
        <v>106535</v>
      </c>
      <c r="B3754" t="s">
        <v>481</v>
      </c>
      <c r="C3754" t="str">
        <f t="shared" si="453"/>
        <v>08862820969</v>
      </c>
      <c r="D3754" t="str">
        <f t="shared" si="453"/>
        <v>08862820969</v>
      </c>
      <c r="E3754" t="s">
        <v>52</v>
      </c>
      <c r="F3754">
        <v>2015</v>
      </c>
      <c r="G3754" t="str">
        <f>"          2015109861"</f>
        <v xml:space="preserve">          2015109861</v>
      </c>
      <c r="H3754" s="3">
        <v>42305</v>
      </c>
      <c r="I3754" s="3">
        <v>42310</v>
      </c>
      <c r="J3754" s="3">
        <v>42310</v>
      </c>
      <c r="K3754" s="3">
        <v>42370</v>
      </c>
      <c r="L3754" s="5">
        <v>1450</v>
      </c>
      <c r="M3754">
        <v>158</v>
      </c>
      <c r="N3754" s="5">
        <v>229100</v>
      </c>
      <c r="O3754" s="4">
        <v>1450</v>
      </c>
      <c r="P3754">
        <v>158</v>
      </c>
      <c r="Q3754" s="4">
        <v>229100</v>
      </c>
      <c r="R3754">
        <v>58</v>
      </c>
      <c r="V3754">
        <v>0</v>
      </c>
      <c r="W3754">
        <v>0</v>
      </c>
      <c r="X3754">
        <v>0</v>
      </c>
      <c r="Y3754">
        <v>0</v>
      </c>
      <c r="Z3754">
        <v>0</v>
      </c>
      <c r="AA3754">
        <v>0</v>
      </c>
      <c r="AB3754" s="3">
        <v>42562</v>
      </c>
      <c r="AC3754" t="s">
        <v>53</v>
      </c>
      <c r="AD3754" t="s">
        <v>53</v>
      </c>
      <c r="AJ3754">
        <v>58</v>
      </c>
      <c r="AK3754">
        <v>0</v>
      </c>
      <c r="AU3754" s="3">
        <v>42528</v>
      </c>
      <c r="AV3754" s="3">
        <v>42528</v>
      </c>
      <c r="AW3754" t="s">
        <v>54</v>
      </c>
      <c r="AX3754" t="str">
        <f t="shared" si="452"/>
        <v>FOR</v>
      </c>
      <c r="AY3754" t="s">
        <v>55</v>
      </c>
    </row>
    <row r="3755" spans="1:51">
      <c r="A3755">
        <v>106535</v>
      </c>
      <c r="B3755" t="s">
        <v>481</v>
      </c>
      <c r="C3755" t="str">
        <f t="shared" si="453"/>
        <v>08862820969</v>
      </c>
      <c r="D3755" t="str">
        <f t="shared" si="453"/>
        <v>08862820969</v>
      </c>
      <c r="E3755" t="s">
        <v>52</v>
      </c>
      <c r="F3755">
        <v>2015</v>
      </c>
      <c r="G3755" t="str">
        <f>"          2015109862"</f>
        <v xml:space="preserve">          2015109862</v>
      </c>
      <c r="H3755" s="3">
        <v>42305</v>
      </c>
      <c r="I3755" s="3">
        <v>42310</v>
      </c>
      <c r="J3755" s="3">
        <v>42310</v>
      </c>
      <c r="K3755" s="3">
        <v>42370</v>
      </c>
      <c r="L3755" s="5">
        <v>1320</v>
      </c>
      <c r="M3755">
        <v>158</v>
      </c>
      <c r="N3755" s="5">
        <v>208560</v>
      </c>
      <c r="O3755" s="4">
        <v>1320</v>
      </c>
      <c r="P3755">
        <v>158</v>
      </c>
      <c r="Q3755" s="4">
        <v>208560</v>
      </c>
      <c r="R3755">
        <v>52.8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 s="3">
        <v>42562</v>
      </c>
      <c r="AC3755" t="s">
        <v>53</v>
      </c>
      <c r="AD3755" t="s">
        <v>53</v>
      </c>
      <c r="AJ3755">
        <v>52.8</v>
      </c>
      <c r="AK3755">
        <v>0</v>
      </c>
      <c r="AU3755" s="3">
        <v>42528</v>
      </c>
      <c r="AV3755" s="3">
        <v>42528</v>
      </c>
      <c r="AW3755" t="s">
        <v>54</v>
      </c>
      <c r="AX3755" t="str">
        <f t="shared" si="452"/>
        <v>FOR</v>
      </c>
      <c r="AY3755" t="s">
        <v>55</v>
      </c>
    </row>
    <row r="3756" spans="1:51">
      <c r="A3756">
        <v>106535</v>
      </c>
      <c r="B3756" t="s">
        <v>481</v>
      </c>
      <c r="C3756" t="str">
        <f t="shared" si="453"/>
        <v>08862820969</v>
      </c>
      <c r="D3756" t="str">
        <f t="shared" si="453"/>
        <v>08862820969</v>
      </c>
      <c r="E3756" t="s">
        <v>52</v>
      </c>
      <c r="F3756">
        <v>2015</v>
      </c>
      <c r="G3756" t="str">
        <f>"          2015109863"</f>
        <v xml:space="preserve">          2015109863</v>
      </c>
      <c r="H3756" s="3">
        <v>42305</v>
      </c>
      <c r="I3756" s="3">
        <v>42310</v>
      </c>
      <c r="J3756" s="3">
        <v>42310</v>
      </c>
      <c r="K3756" s="3">
        <v>42370</v>
      </c>
      <c r="L3756" s="5">
        <v>1320</v>
      </c>
      <c r="M3756">
        <v>158</v>
      </c>
      <c r="N3756" s="5">
        <v>208560</v>
      </c>
      <c r="O3756" s="4">
        <v>1320</v>
      </c>
      <c r="P3756">
        <v>158</v>
      </c>
      <c r="Q3756" s="4">
        <v>208560</v>
      </c>
      <c r="R3756">
        <v>52.8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 s="3">
        <v>42562</v>
      </c>
      <c r="AC3756" t="s">
        <v>53</v>
      </c>
      <c r="AD3756" t="s">
        <v>53</v>
      </c>
      <c r="AJ3756">
        <v>52.8</v>
      </c>
      <c r="AK3756">
        <v>0</v>
      </c>
      <c r="AU3756" s="3">
        <v>42528</v>
      </c>
      <c r="AV3756" s="3">
        <v>42528</v>
      </c>
      <c r="AW3756" t="s">
        <v>54</v>
      </c>
      <c r="AX3756" t="str">
        <f t="shared" si="452"/>
        <v>FOR</v>
      </c>
      <c r="AY3756" t="s">
        <v>55</v>
      </c>
    </row>
    <row r="3757" spans="1:51">
      <c r="A3757">
        <v>106535</v>
      </c>
      <c r="B3757" t="s">
        <v>481</v>
      </c>
      <c r="C3757" t="str">
        <f t="shared" si="453"/>
        <v>08862820969</v>
      </c>
      <c r="D3757" t="str">
        <f t="shared" si="453"/>
        <v>08862820969</v>
      </c>
      <c r="E3757" t="s">
        <v>52</v>
      </c>
      <c r="F3757">
        <v>2015</v>
      </c>
      <c r="G3757" t="str">
        <f>"          2015109864"</f>
        <v xml:space="preserve">          2015109864</v>
      </c>
      <c r="H3757" s="3">
        <v>42305</v>
      </c>
      <c r="I3757" s="3">
        <v>42310</v>
      </c>
      <c r="J3757" s="3">
        <v>42310</v>
      </c>
      <c r="K3757" s="3">
        <v>42370</v>
      </c>
      <c r="L3757" s="5">
        <v>1320</v>
      </c>
      <c r="M3757">
        <v>158</v>
      </c>
      <c r="N3757" s="5">
        <v>208560</v>
      </c>
      <c r="O3757" s="4">
        <v>1320</v>
      </c>
      <c r="P3757">
        <v>158</v>
      </c>
      <c r="Q3757" s="4">
        <v>208560</v>
      </c>
      <c r="R3757">
        <v>52.8</v>
      </c>
      <c r="V3757">
        <v>0</v>
      </c>
      <c r="W3757">
        <v>0</v>
      </c>
      <c r="X3757">
        <v>0</v>
      </c>
      <c r="Y3757">
        <v>0</v>
      </c>
      <c r="Z3757">
        <v>0</v>
      </c>
      <c r="AA3757">
        <v>0</v>
      </c>
      <c r="AB3757" s="3">
        <v>42562</v>
      </c>
      <c r="AC3757" t="s">
        <v>53</v>
      </c>
      <c r="AD3757" t="s">
        <v>53</v>
      </c>
      <c r="AJ3757">
        <v>52.8</v>
      </c>
      <c r="AK3757">
        <v>0</v>
      </c>
      <c r="AU3757" s="3">
        <v>42528</v>
      </c>
      <c r="AV3757" s="3">
        <v>42528</v>
      </c>
      <c r="AW3757" t="s">
        <v>54</v>
      </c>
      <c r="AX3757" t="str">
        <f t="shared" si="452"/>
        <v>FOR</v>
      </c>
      <c r="AY3757" t="s">
        <v>55</v>
      </c>
    </row>
    <row r="3758" spans="1:51" hidden="1">
      <c r="A3758">
        <v>106536</v>
      </c>
      <c r="B3758" t="s">
        <v>482</v>
      </c>
      <c r="C3758" t="str">
        <f>"02924650134"</f>
        <v>02924650134</v>
      </c>
      <c r="D3758" t="str">
        <f>"02924650134"</f>
        <v>02924650134</v>
      </c>
      <c r="E3758" t="s">
        <v>52</v>
      </c>
      <c r="F3758">
        <v>2015</v>
      </c>
      <c r="G3758" t="str">
        <f>"                  31"</f>
        <v xml:space="preserve">                  31</v>
      </c>
      <c r="H3758" s="3">
        <v>42074</v>
      </c>
      <c r="I3758" s="3">
        <v>42088</v>
      </c>
      <c r="J3758" s="3">
        <v>42088</v>
      </c>
      <c r="K3758" s="3">
        <v>42148</v>
      </c>
      <c r="L3758"/>
      <c r="N3758"/>
      <c r="O3758" s="4">
        <v>3975</v>
      </c>
      <c r="P3758">
        <v>256</v>
      </c>
      <c r="Q3758" s="4">
        <v>1017600</v>
      </c>
      <c r="R3758">
        <v>0</v>
      </c>
      <c r="V3758">
        <v>0</v>
      </c>
      <c r="W3758">
        <v>0</v>
      </c>
      <c r="X3758">
        <v>0</v>
      </c>
      <c r="Y3758">
        <v>0</v>
      </c>
      <c r="Z3758">
        <v>0</v>
      </c>
      <c r="AA3758">
        <v>0</v>
      </c>
      <c r="AB3758" s="3">
        <v>42562</v>
      </c>
      <c r="AC3758" t="s">
        <v>53</v>
      </c>
      <c r="AD3758" t="s">
        <v>53</v>
      </c>
      <c r="AK3758">
        <v>0</v>
      </c>
      <c r="AU3758" s="3">
        <v>42404</v>
      </c>
      <c r="AV3758" s="3">
        <v>42404</v>
      </c>
      <c r="AW3758" t="s">
        <v>54</v>
      </c>
      <c r="AX3758" t="str">
        <f t="shared" si="452"/>
        <v>FOR</v>
      </c>
      <c r="AY3758" t="s">
        <v>55</v>
      </c>
    </row>
    <row r="3759" spans="1:51" hidden="1">
      <c r="A3759">
        <v>106539</v>
      </c>
      <c r="B3759" t="s">
        <v>483</v>
      </c>
      <c r="C3759" t="str">
        <f>""</f>
        <v/>
      </c>
      <c r="D3759" t="str">
        <f>"97516370588"</f>
        <v>97516370588</v>
      </c>
      <c r="E3759" t="s">
        <v>52</v>
      </c>
      <c r="F3759">
        <v>2016</v>
      </c>
      <c r="G3759" t="str">
        <f>"                0120"</f>
        <v xml:space="preserve">                0120</v>
      </c>
      <c r="H3759" s="3">
        <v>42389</v>
      </c>
      <c r="I3759" s="3">
        <v>42390</v>
      </c>
      <c r="J3759" s="3">
        <v>42390</v>
      </c>
      <c r="K3759" s="3">
        <v>42450</v>
      </c>
      <c r="L3759"/>
      <c r="N3759"/>
      <c r="O3759">
        <v>32</v>
      </c>
      <c r="P3759">
        <v>-60</v>
      </c>
      <c r="Q3759" s="4">
        <v>-1920</v>
      </c>
      <c r="R3759">
        <v>0</v>
      </c>
      <c r="V3759">
        <v>0</v>
      </c>
      <c r="W3759">
        <v>0</v>
      </c>
      <c r="X3759">
        <v>0</v>
      </c>
      <c r="Y3759">
        <v>32</v>
      </c>
      <c r="Z3759">
        <v>32</v>
      </c>
      <c r="AA3759">
        <v>32</v>
      </c>
      <c r="AB3759" s="3">
        <v>42562</v>
      </c>
      <c r="AC3759" t="s">
        <v>53</v>
      </c>
      <c r="AD3759" t="s">
        <v>53</v>
      </c>
      <c r="AK3759">
        <v>0</v>
      </c>
      <c r="AU3759" s="3">
        <v>42390</v>
      </c>
      <c r="AV3759" s="3">
        <v>42390</v>
      </c>
      <c r="AW3759" t="s">
        <v>54</v>
      </c>
      <c r="AX3759" t="str">
        <f>"ALT"</f>
        <v>ALT</v>
      </c>
      <c r="AY3759" t="s">
        <v>72</v>
      </c>
    </row>
    <row r="3760" spans="1:51" hidden="1">
      <c r="A3760">
        <v>106539</v>
      </c>
      <c r="B3760" t="s">
        <v>483</v>
      </c>
      <c r="C3760" t="str">
        <f>""</f>
        <v/>
      </c>
      <c r="D3760" t="str">
        <f>"97516370588"</f>
        <v>97516370588</v>
      </c>
      <c r="E3760" t="s">
        <v>52</v>
      </c>
      <c r="F3760">
        <v>2016</v>
      </c>
      <c r="G3760" t="str">
        <f>"                0222"</f>
        <v xml:space="preserve">                0222</v>
      </c>
      <c r="H3760" s="3">
        <v>42422</v>
      </c>
      <c r="I3760" s="3">
        <v>42422</v>
      </c>
      <c r="J3760" s="3">
        <v>42422</v>
      </c>
      <c r="K3760" s="3">
        <v>42482</v>
      </c>
      <c r="L3760"/>
      <c r="N3760"/>
      <c r="O3760">
        <v>32</v>
      </c>
      <c r="P3760">
        <v>-58</v>
      </c>
      <c r="Q3760" s="4">
        <v>-1856</v>
      </c>
      <c r="R3760">
        <v>0</v>
      </c>
      <c r="V3760">
        <v>0</v>
      </c>
      <c r="W3760">
        <v>0</v>
      </c>
      <c r="X3760">
        <v>0</v>
      </c>
      <c r="Y3760">
        <v>32</v>
      </c>
      <c r="Z3760">
        <v>32</v>
      </c>
      <c r="AA3760">
        <v>32</v>
      </c>
      <c r="AB3760" s="3">
        <v>42562</v>
      </c>
      <c r="AC3760" t="s">
        <v>53</v>
      </c>
      <c r="AD3760" t="s">
        <v>53</v>
      </c>
      <c r="AK3760">
        <v>0</v>
      </c>
      <c r="AU3760" s="3">
        <v>42424</v>
      </c>
      <c r="AV3760" s="3">
        <v>42424</v>
      </c>
      <c r="AW3760" t="s">
        <v>54</v>
      </c>
      <c r="AX3760" t="str">
        <f>"ALT"</f>
        <v>ALT</v>
      </c>
      <c r="AY3760" t="s">
        <v>72</v>
      </c>
    </row>
    <row r="3761" spans="1:51" hidden="1">
      <c r="A3761">
        <v>106539</v>
      </c>
      <c r="B3761" t="s">
        <v>483</v>
      </c>
      <c r="C3761" t="str">
        <f>""</f>
        <v/>
      </c>
      <c r="D3761" t="str">
        <f>"97516370588"</f>
        <v>97516370588</v>
      </c>
      <c r="E3761" t="s">
        <v>52</v>
      </c>
      <c r="F3761">
        <v>2016</v>
      </c>
      <c r="G3761" t="str">
        <f>"                0321"</f>
        <v xml:space="preserve">                0321</v>
      </c>
      <c r="H3761" s="3">
        <v>42450</v>
      </c>
      <c r="I3761" s="3">
        <v>42450</v>
      </c>
      <c r="J3761" s="3">
        <v>42450</v>
      </c>
      <c r="K3761" s="3">
        <v>42510</v>
      </c>
      <c r="L3761"/>
      <c r="N3761"/>
      <c r="O3761">
        <v>32</v>
      </c>
      <c r="P3761">
        <v>-57</v>
      </c>
      <c r="Q3761" s="4">
        <v>-1824</v>
      </c>
      <c r="R3761">
        <v>0</v>
      </c>
      <c r="V3761">
        <v>0</v>
      </c>
      <c r="W3761">
        <v>0</v>
      </c>
      <c r="X3761">
        <v>0</v>
      </c>
      <c r="Y3761">
        <v>32</v>
      </c>
      <c r="Z3761">
        <v>32</v>
      </c>
      <c r="AA3761">
        <v>32</v>
      </c>
      <c r="AB3761" s="3">
        <v>42562</v>
      </c>
      <c r="AC3761" t="s">
        <v>53</v>
      </c>
      <c r="AD3761" t="s">
        <v>53</v>
      </c>
      <c r="AK3761">
        <v>0</v>
      </c>
      <c r="AU3761" s="3">
        <v>42453</v>
      </c>
      <c r="AV3761" s="3">
        <v>42453</v>
      </c>
      <c r="AW3761" t="s">
        <v>54</v>
      </c>
      <c r="AX3761" t="str">
        <f>"ALT"</f>
        <v>ALT</v>
      </c>
      <c r="AY3761" t="s">
        <v>72</v>
      </c>
    </row>
    <row r="3762" spans="1:51" hidden="1">
      <c r="A3762">
        <v>106539</v>
      </c>
      <c r="B3762" t="s">
        <v>483</v>
      </c>
      <c r="C3762" t="str">
        <f>""</f>
        <v/>
      </c>
      <c r="D3762" t="str">
        <f>"97516370588"</f>
        <v>97516370588</v>
      </c>
      <c r="E3762" t="s">
        <v>52</v>
      </c>
      <c r="F3762">
        <v>2016</v>
      </c>
      <c r="G3762" t="str">
        <f>"                0421"</f>
        <v xml:space="preserve">                0421</v>
      </c>
      <c r="H3762" s="3">
        <v>42481</v>
      </c>
      <c r="I3762" s="3">
        <v>42481</v>
      </c>
      <c r="J3762" s="3">
        <v>42481</v>
      </c>
      <c r="K3762" s="3">
        <v>42541</v>
      </c>
      <c r="L3762">
        <v>32</v>
      </c>
      <c r="M3762">
        <v>-60</v>
      </c>
      <c r="N3762" s="4">
        <v>-1920</v>
      </c>
      <c r="O3762">
        <v>32</v>
      </c>
      <c r="P3762">
        <v>-60</v>
      </c>
      <c r="Q3762" s="4">
        <v>-1920</v>
      </c>
      <c r="R3762">
        <v>0</v>
      </c>
      <c r="V3762">
        <v>32</v>
      </c>
      <c r="W3762">
        <v>32</v>
      </c>
      <c r="X3762">
        <v>32</v>
      </c>
      <c r="Y3762">
        <v>32</v>
      </c>
      <c r="Z3762">
        <v>32</v>
      </c>
      <c r="AA3762">
        <v>32</v>
      </c>
      <c r="AB3762" s="3">
        <v>42562</v>
      </c>
      <c r="AC3762" t="s">
        <v>53</v>
      </c>
      <c r="AD3762" t="s">
        <v>53</v>
      </c>
      <c r="AK3762">
        <v>0</v>
      </c>
      <c r="AU3762" s="3">
        <v>42481</v>
      </c>
      <c r="AV3762" s="3">
        <v>42481</v>
      </c>
      <c r="AW3762" t="s">
        <v>54</v>
      </c>
      <c r="AX3762" t="str">
        <f>"ALT"</f>
        <v>ALT</v>
      </c>
      <c r="AY3762" t="s">
        <v>72</v>
      </c>
    </row>
    <row r="3763" spans="1:51" hidden="1">
      <c r="A3763">
        <v>106539</v>
      </c>
      <c r="B3763" t="s">
        <v>483</v>
      </c>
      <c r="C3763" t="str">
        <f>""</f>
        <v/>
      </c>
      <c r="D3763" t="str">
        <f>"97516370588"</f>
        <v>97516370588</v>
      </c>
      <c r="E3763" t="s">
        <v>52</v>
      </c>
      <c r="F3763">
        <v>2016</v>
      </c>
      <c r="G3763" t="str">
        <f>"                0518"</f>
        <v xml:space="preserve">                0518</v>
      </c>
      <c r="H3763" s="3">
        <v>42508</v>
      </c>
      <c r="I3763" s="3">
        <v>42510</v>
      </c>
      <c r="J3763" s="3">
        <v>42510</v>
      </c>
      <c r="K3763" s="3">
        <v>42570</v>
      </c>
      <c r="L3763">
        <v>32</v>
      </c>
      <c r="M3763">
        <v>-57</v>
      </c>
      <c r="N3763" s="4">
        <v>-1824</v>
      </c>
      <c r="O3763">
        <v>32</v>
      </c>
      <c r="P3763">
        <v>-57</v>
      </c>
      <c r="Q3763" s="4">
        <v>-1824</v>
      </c>
      <c r="R3763">
        <v>0</v>
      </c>
      <c r="V3763">
        <v>32</v>
      </c>
      <c r="W3763">
        <v>32</v>
      </c>
      <c r="X3763">
        <v>32</v>
      </c>
      <c r="Y3763">
        <v>32</v>
      </c>
      <c r="Z3763">
        <v>32</v>
      </c>
      <c r="AA3763">
        <v>32</v>
      </c>
      <c r="AB3763" s="3">
        <v>42562</v>
      </c>
      <c r="AC3763" t="s">
        <v>53</v>
      </c>
      <c r="AD3763" t="s">
        <v>53</v>
      </c>
      <c r="AK3763">
        <v>0</v>
      </c>
      <c r="AU3763" s="3">
        <v>42513</v>
      </c>
      <c r="AV3763" s="3">
        <v>42513</v>
      </c>
      <c r="AW3763" t="s">
        <v>54</v>
      </c>
      <c r="AX3763" t="str">
        <f>"ALT"</f>
        <v>ALT</v>
      </c>
      <c r="AY3763" t="s">
        <v>72</v>
      </c>
    </row>
    <row r="3764" spans="1:51" hidden="1">
      <c r="A3764">
        <v>106541</v>
      </c>
      <c r="B3764" t="s">
        <v>484</v>
      </c>
      <c r="C3764" t="str">
        <f>"01758800161"</f>
        <v>01758800161</v>
      </c>
      <c r="D3764" t="str">
        <f>"01758800161"</f>
        <v>01758800161</v>
      </c>
      <c r="E3764" t="s">
        <v>52</v>
      </c>
      <c r="F3764">
        <v>2015</v>
      </c>
      <c r="G3764" t="str">
        <f>"                 517"</f>
        <v xml:space="preserve">                 517</v>
      </c>
      <c r="H3764" s="3">
        <v>42081</v>
      </c>
      <c r="I3764" s="3">
        <v>42089</v>
      </c>
      <c r="J3764" s="3">
        <v>42089</v>
      </c>
      <c r="K3764" s="3">
        <v>42149</v>
      </c>
      <c r="L3764"/>
      <c r="N3764"/>
      <c r="O3764" s="4">
        <v>11717</v>
      </c>
      <c r="P3764">
        <v>254</v>
      </c>
      <c r="Q3764" s="4">
        <v>2976118</v>
      </c>
      <c r="R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 s="3">
        <v>42562</v>
      </c>
      <c r="AC3764" t="s">
        <v>53</v>
      </c>
      <c r="AD3764" t="s">
        <v>53</v>
      </c>
      <c r="AK3764">
        <v>0</v>
      </c>
      <c r="AU3764" s="3">
        <v>42403</v>
      </c>
      <c r="AV3764" s="3">
        <v>42403</v>
      </c>
      <c r="AW3764" t="s">
        <v>54</v>
      </c>
      <c r="AX3764" t="str">
        <f t="shared" ref="AX3764:AX3776" si="454">"FOR"</f>
        <v>FOR</v>
      </c>
      <c r="AY3764" t="s">
        <v>55</v>
      </c>
    </row>
    <row r="3765" spans="1:51">
      <c r="A3765">
        <v>106548</v>
      </c>
      <c r="B3765" t="s">
        <v>485</v>
      </c>
      <c r="C3765" t="str">
        <f t="shared" ref="C3765:D3767" si="455">"02789580590"</f>
        <v>02789580590</v>
      </c>
      <c r="D3765" t="str">
        <f t="shared" si="455"/>
        <v>02789580590</v>
      </c>
      <c r="E3765" t="s">
        <v>52</v>
      </c>
      <c r="F3765">
        <v>2015</v>
      </c>
      <c r="G3765" t="str">
        <f>"                1637"</f>
        <v xml:space="preserve">                1637</v>
      </c>
      <c r="H3765" s="3">
        <v>42044</v>
      </c>
      <c r="I3765" s="3">
        <v>42060</v>
      </c>
      <c r="J3765" s="3">
        <v>42060</v>
      </c>
      <c r="K3765" s="3">
        <v>42120</v>
      </c>
      <c r="L3765" s="5">
        <v>2396</v>
      </c>
      <c r="M3765">
        <v>400</v>
      </c>
      <c r="N3765" s="5">
        <v>958400</v>
      </c>
      <c r="O3765" s="4">
        <v>2396</v>
      </c>
      <c r="P3765">
        <v>400</v>
      </c>
      <c r="Q3765" s="4">
        <v>958400</v>
      </c>
      <c r="R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 s="3">
        <v>42562</v>
      </c>
      <c r="AC3765" t="s">
        <v>53</v>
      </c>
      <c r="AD3765" t="s">
        <v>53</v>
      </c>
      <c r="AK3765">
        <v>0</v>
      </c>
      <c r="AU3765" s="3">
        <v>42520</v>
      </c>
      <c r="AV3765" s="3">
        <v>42520</v>
      </c>
      <c r="AW3765" t="s">
        <v>54</v>
      </c>
      <c r="AX3765" t="str">
        <f t="shared" si="454"/>
        <v>FOR</v>
      </c>
      <c r="AY3765" t="s">
        <v>55</v>
      </c>
    </row>
    <row r="3766" spans="1:51" hidden="1">
      <c r="A3766">
        <v>106548</v>
      </c>
      <c r="B3766" t="s">
        <v>485</v>
      </c>
      <c r="C3766" t="str">
        <f t="shared" si="455"/>
        <v>02789580590</v>
      </c>
      <c r="D3766" t="str">
        <f t="shared" si="455"/>
        <v>02789580590</v>
      </c>
      <c r="E3766" t="s">
        <v>52</v>
      </c>
      <c r="F3766">
        <v>2015</v>
      </c>
      <c r="G3766" t="str">
        <f>"          S15F006495"</f>
        <v xml:space="preserve">          S15F006495</v>
      </c>
      <c r="H3766" s="3">
        <v>42129</v>
      </c>
      <c r="I3766" s="3">
        <v>42132</v>
      </c>
      <c r="J3766" s="3">
        <v>42131</v>
      </c>
      <c r="K3766" s="3">
        <v>42191</v>
      </c>
      <c r="L3766"/>
      <c r="N3766"/>
      <c r="O3766" s="4">
        <v>1497.5</v>
      </c>
      <c r="P3766">
        <v>261</v>
      </c>
      <c r="Q3766" s="4">
        <v>390847.5</v>
      </c>
      <c r="R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  <c r="AB3766" s="3">
        <v>42562</v>
      </c>
      <c r="AC3766" t="s">
        <v>53</v>
      </c>
      <c r="AD3766" t="s">
        <v>53</v>
      </c>
      <c r="AK3766">
        <v>0</v>
      </c>
      <c r="AU3766" s="3">
        <v>42452</v>
      </c>
      <c r="AV3766" s="3">
        <v>42452</v>
      </c>
      <c r="AW3766" t="s">
        <v>54</v>
      </c>
      <c r="AX3766" t="str">
        <f t="shared" si="454"/>
        <v>FOR</v>
      </c>
      <c r="AY3766" t="s">
        <v>55</v>
      </c>
    </row>
    <row r="3767" spans="1:51">
      <c r="A3767">
        <v>106548</v>
      </c>
      <c r="B3767" t="s">
        <v>485</v>
      </c>
      <c r="C3767" t="str">
        <f t="shared" si="455"/>
        <v>02789580590</v>
      </c>
      <c r="D3767" t="str">
        <f t="shared" si="455"/>
        <v>02789580590</v>
      </c>
      <c r="E3767" t="s">
        <v>52</v>
      </c>
      <c r="F3767">
        <v>2015</v>
      </c>
      <c r="G3767" t="str">
        <f>"          S15F009554"</f>
        <v xml:space="preserve">          S15F009554</v>
      </c>
      <c r="H3767" s="3">
        <v>42178</v>
      </c>
      <c r="I3767" s="3">
        <v>42186</v>
      </c>
      <c r="J3767" s="3">
        <v>42182</v>
      </c>
      <c r="K3767" s="3">
        <v>42242</v>
      </c>
      <c r="L3767" s="1">
        <v>958.4</v>
      </c>
      <c r="M3767">
        <v>278</v>
      </c>
      <c r="N3767" s="5">
        <v>266435.20000000001</v>
      </c>
      <c r="O3767">
        <v>958.4</v>
      </c>
      <c r="P3767">
        <v>278</v>
      </c>
      <c r="Q3767" s="4">
        <v>266435.20000000001</v>
      </c>
      <c r="R3767">
        <v>0</v>
      </c>
      <c r="V3767">
        <v>0</v>
      </c>
      <c r="W3767">
        <v>0</v>
      </c>
      <c r="X3767">
        <v>0</v>
      </c>
      <c r="Y3767">
        <v>0</v>
      </c>
      <c r="Z3767">
        <v>0</v>
      </c>
      <c r="AA3767">
        <v>0</v>
      </c>
      <c r="AB3767" s="3">
        <v>42562</v>
      </c>
      <c r="AC3767" t="s">
        <v>53</v>
      </c>
      <c r="AD3767" t="s">
        <v>53</v>
      </c>
      <c r="AK3767">
        <v>0</v>
      </c>
      <c r="AU3767" s="3">
        <v>42520</v>
      </c>
      <c r="AV3767" s="3">
        <v>42520</v>
      </c>
      <c r="AW3767" t="s">
        <v>54</v>
      </c>
      <c r="AX3767" t="str">
        <f t="shared" si="454"/>
        <v>FOR</v>
      </c>
      <c r="AY3767" t="s">
        <v>55</v>
      </c>
    </row>
    <row r="3768" spans="1:51" hidden="1">
      <c r="A3768">
        <v>106557</v>
      </c>
      <c r="B3768" t="s">
        <v>486</v>
      </c>
      <c r="C3768" t="str">
        <f t="shared" ref="C3768:D3776" si="456">"01612890622"</f>
        <v>01612890622</v>
      </c>
      <c r="D3768" t="str">
        <f t="shared" si="456"/>
        <v>01612890622</v>
      </c>
      <c r="E3768" t="s">
        <v>52</v>
      </c>
      <c r="F3768">
        <v>2015</v>
      </c>
      <c r="G3768" t="str">
        <f>"                5/PA"</f>
        <v xml:space="preserve">                5/PA</v>
      </c>
      <c r="H3768" s="3">
        <v>42124</v>
      </c>
      <c r="I3768" s="3">
        <v>42198</v>
      </c>
      <c r="J3768" s="3">
        <v>42130</v>
      </c>
      <c r="K3768" s="3">
        <v>42190</v>
      </c>
      <c r="L3768"/>
      <c r="N3768"/>
      <c r="O3768">
        <v>430</v>
      </c>
      <c r="P3768">
        <v>239</v>
      </c>
      <c r="Q3768" s="4">
        <v>102770</v>
      </c>
      <c r="R3768">
        <v>0</v>
      </c>
      <c r="V3768">
        <v>0</v>
      </c>
      <c r="W3768">
        <v>0</v>
      </c>
      <c r="X3768">
        <v>0</v>
      </c>
      <c r="Y3768">
        <v>0</v>
      </c>
      <c r="Z3768">
        <v>0</v>
      </c>
      <c r="AA3768">
        <v>0</v>
      </c>
      <c r="AB3768" s="3">
        <v>42562</v>
      </c>
      <c r="AC3768" t="s">
        <v>53</v>
      </c>
      <c r="AD3768" t="s">
        <v>53</v>
      </c>
      <c r="AK3768">
        <v>0</v>
      </c>
      <c r="AU3768" s="3">
        <v>42429</v>
      </c>
      <c r="AV3768" s="3">
        <v>42429</v>
      </c>
      <c r="AW3768" t="s">
        <v>54</v>
      </c>
      <c r="AX3768" t="str">
        <f t="shared" si="454"/>
        <v>FOR</v>
      </c>
      <c r="AY3768" t="s">
        <v>55</v>
      </c>
    </row>
    <row r="3769" spans="1:51" hidden="1">
      <c r="A3769">
        <v>106557</v>
      </c>
      <c r="B3769" t="s">
        <v>486</v>
      </c>
      <c r="C3769" t="str">
        <f t="shared" si="456"/>
        <v>01612890622</v>
      </c>
      <c r="D3769" t="str">
        <f t="shared" si="456"/>
        <v>01612890622</v>
      </c>
      <c r="E3769" t="s">
        <v>52</v>
      </c>
      <c r="F3769">
        <v>2015</v>
      </c>
      <c r="G3769" t="str">
        <f>"               20/PA"</f>
        <v xml:space="preserve">               20/PA</v>
      </c>
      <c r="H3769" s="3">
        <v>42271</v>
      </c>
      <c r="I3769" s="3">
        <v>42272</v>
      </c>
      <c r="J3769" s="3">
        <v>42271</v>
      </c>
      <c r="K3769" s="3">
        <v>42331</v>
      </c>
      <c r="L3769"/>
      <c r="N3769"/>
      <c r="O3769">
        <v>570</v>
      </c>
      <c r="P3769">
        <v>98</v>
      </c>
      <c r="Q3769" s="4">
        <v>55860</v>
      </c>
      <c r="R3769">
        <v>0</v>
      </c>
      <c r="V3769">
        <v>0</v>
      </c>
      <c r="W3769">
        <v>0</v>
      </c>
      <c r="X3769">
        <v>0</v>
      </c>
      <c r="Y3769">
        <v>0</v>
      </c>
      <c r="Z3769">
        <v>0</v>
      </c>
      <c r="AA3769">
        <v>0</v>
      </c>
      <c r="AB3769" s="3">
        <v>42562</v>
      </c>
      <c r="AC3769" t="s">
        <v>53</v>
      </c>
      <c r="AD3769" t="s">
        <v>53</v>
      </c>
      <c r="AK3769">
        <v>0</v>
      </c>
      <c r="AU3769" s="3">
        <v>42429</v>
      </c>
      <c r="AV3769" s="3">
        <v>42429</v>
      </c>
      <c r="AW3769" t="s">
        <v>54</v>
      </c>
      <c r="AX3769" t="str">
        <f t="shared" si="454"/>
        <v>FOR</v>
      </c>
      <c r="AY3769" t="s">
        <v>55</v>
      </c>
    </row>
    <row r="3770" spans="1:51" hidden="1">
      <c r="A3770">
        <v>106557</v>
      </c>
      <c r="B3770" t="s">
        <v>486</v>
      </c>
      <c r="C3770" t="str">
        <f t="shared" si="456"/>
        <v>01612890622</v>
      </c>
      <c r="D3770" t="str">
        <f t="shared" si="456"/>
        <v>01612890622</v>
      </c>
      <c r="E3770" t="s">
        <v>52</v>
      </c>
      <c r="F3770">
        <v>2015</v>
      </c>
      <c r="G3770" t="str">
        <f>"               21/PA"</f>
        <v xml:space="preserve">               21/PA</v>
      </c>
      <c r="H3770" s="3">
        <v>42277</v>
      </c>
      <c r="I3770" s="3">
        <v>42279</v>
      </c>
      <c r="J3770" s="3">
        <v>42278</v>
      </c>
      <c r="K3770" s="3">
        <v>42338</v>
      </c>
      <c r="L3770"/>
      <c r="N3770"/>
      <c r="O3770" s="4">
        <v>2170</v>
      </c>
      <c r="P3770">
        <v>91</v>
      </c>
      <c r="Q3770" s="4">
        <v>197470</v>
      </c>
      <c r="R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 s="3">
        <v>42562</v>
      </c>
      <c r="AC3770" t="s">
        <v>53</v>
      </c>
      <c r="AD3770" t="s">
        <v>53</v>
      </c>
      <c r="AK3770">
        <v>0</v>
      </c>
      <c r="AU3770" s="3">
        <v>42429</v>
      </c>
      <c r="AV3770" s="3">
        <v>42429</v>
      </c>
      <c r="AW3770" t="s">
        <v>54</v>
      </c>
      <c r="AX3770" t="str">
        <f t="shared" si="454"/>
        <v>FOR</v>
      </c>
      <c r="AY3770" t="s">
        <v>55</v>
      </c>
    </row>
    <row r="3771" spans="1:51" hidden="1">
      <c r="A3771">
        <v>106557</v>
      </c>
      <c r="B3771" t="s">
        <v>486</v>
      </c>
      <c r="C3771" t="str">
        <f t="shared" si="456"/>
        <v>01612890622</v>
      </c>
      <c r="D3771" t="str">
        <f t="shared" si="456"/>
        <v>01612890622</v>
      </c>
      <c r="E3771" t="s">
        <v>52</v>
      </c>
      <c r="F3771">
        <v>2015</v>
      </c>
      <c r="G3771" t="str">
        <f>"               22/PA"</f>
        <v xml:space="preserve">               22/PA</v>
      </c>
      <c r="H3771" s="3">
        <v>42277</v>
      </c>
      <c r="I3771" s="3">
        <v>42278</v>
      </c>
      <c r="J3771" s="3">
        <v>42278</v>
      </c>
      <c r="K3771" s="3">
        <v>42338</v>
      </c>
      <c r="L3771"/>
      <c r="N3771"/>
      <c r="O3771" s="4">
        <v>3400</v>
      </c>
      <c r="P3771">
        <v>91</v>
      </c>
      <c r="Q3771" s="4">
        <v>309400</v>
      </c>
      <c r="R3771">
        <v>0</v>
      </c>
      <c r="V3771">
        <v>0</v>
      </c>
      <c r="W3771">
        <v>0</v>
      </c>
      <c r="X3771">
        <v>0</v>
      </c>
      <c r="Y3771">
        <v>0</v>
      </c>
      <c r="Z3771">
        <v>0</v>
      </c>
      <c r="AA3771">
        <v>0</v>
      </c>
      <c r="AB3771" s="3">
        <v>42562</v>
      </c>
      <c r="AC3771" t="s">
        <v>53</v>
      </c>
      <c r="AD3771" t="s">
        <v>53</v>
      </c>
      <c r="AK3771">
        <v>0</v>
      </c>
      <c r="AU3771" s="3">
        <v>42429</v>
      </c>
      <c r="AV3771" s="3">
        <v>42429</v>
      </c>
      <c r="AW3771" t="s">
        <v>54</v>
      </c>
      <c r="AX3771" t="str">
        <f t="shared" si="454"/>
        <v>FOR</v>
      </c>
      <c r="AY3771" t="s">
        <v>55</v>
      </c>
    </row>
    <row r="3772" spans="1:51" hidden="1">
      <c r="A3772">
        <v>106557</v>
      </c>
      <c r="B3772" t="s">
        <v>486</v>
      </c>
      <c r="C3772" t="str">
        <f t="shared" si="456"/>
        <v>01612890622</v>
      </c>
      <c r="D3772" t="str">
        <f t="shared" si="456"/>
        <v>01612890622</v>
      </c>
      <c r="E3772" t="s">
        <v>52</v>
      </c>
      <c r="F3772">
        <v>2015</v>
      </c>
      <c r="G3772" t="str">
        <f>"               23/PA"</f>
        <v xml:space="preserve">               23/PA</v>
      </c>
      <c r="H3772" s="3">
        <v>42277</v>
      </c>
      <c r="I3772" s="3">
        <v>42278</v>
      </c>
      <c r="J3772" s="3">
        <v>42278</v>
      </c>
      <c r="K3772" s="3">
        <v>42338</v>
      </c>
      <c r="L3772"/>
      <c r="N3772"/>
      <c r="O3772">
        <v>125</v>
      </c>
      <c r="P3772">
        <v>65</v>
      </c>
      <c r="Q3772" s="4">
        <v>8125</v>
      </c>
      <c r="R3772">
        <v>27.5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  <c r="AB3772" s="3">
        <v>42562</v>
      </c>
      <c r="AC3772" t="s">
        <v>53</v>
      </c>
      <c r="AD3772" t="s">
        <v>53</v>
      </c>
      <c r="AK3772">
        <v>27.5</v>
      </c>
      <c r="AU3772" s="3">
        <v>42403</v>
      </c>
      <c r="AV3772" s="3">
        <v>42403</v>
      </c>
      <c r="AW3772" t="s">
        <v>54</v>
      </c>
      <c r="AX3772" t="str">
        <f t="shared" si="454"/>
        <v>FOR</v>
      </c>
      <c r="AY3772" t="s">
        <v>55</v>
      </c>
    </row>
    <row r="3773" spans="1:51" hidden="1">
      <c r="A3773">
        <v>106557</v>
      </c>
      <c r="B3773" t="s">
        <v>486</v>
      </c>
      <c r="C3773" t="str">
        <f t="shared" si="456"/>
        <v>01612890622</v>
      </c>
      <c r="D3773" t="str">
        <f t="shared" si="456"/>
        <v>01612890622</v>
      </c>
      <c r="E3773" t="s">
        <v>52</v>
      </c>
      <c r="F3773">
        <v>2015</v>
      </c>
      <c r="G3773" t="str">
        <f>"               24/PA"</f>
        <v xml:space="preserve">               24/PA</v>
      </c>
      <c r="H3773" s="3">
        <v>42277</v>
      </c>
      <c r="I3773" s="3">
        <v>42278</v>
      </c>
      <c r="J3773" s="3">
        <v>42278</v>
      </c>
      <c r="K3773" s="3">
        <v>42338</v>
      </c>
      <c r="L3773"/>
      <c r="N3773"/>
      <c r="O3773">
        <v>600</v>
      </c>
      <c r="P3773">
        <v>91</v>
      </c>
      <c r="Q3773" s="4">
        <v>54600</v>
      </c>
      <c r="R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 s="3">
        <v>42562</v>
      </c>
      <c r="AC3773" t="s">
        <v>53</v>
      </c>
      <c r="AD3773" t="s">
        <v>53</v>
      </c>
      <c r="AK3773">
        <v>0</v>
      </c>
      <c r="AU3773" s="3">
        <v>42429</v>
      </c>
      <c r="AV3773" s="3">
        <v>42429</v>
      </c>
      <c r="AW3773" t="s">
        <v>54</v>
      </c>
      <c r="AX3773" t="str">
        <f t="shared" si="454"/>
        <v>FOR</v>
      </c>
      <c r="AY3773" t="s">
        <v>55</v>
      </c>
    </row>
    <row r="3774" spans="1:51">
      <c r="A3774">
        <v>106557</v>
      </c>
      <c r="B3774" t="s">
        <v>486</v>
      </c>
      <c r="C3774" t="str">
        <f t="shared" si="456"/>
        <v>01612890622</v>
      </c>
      <c r="D3774" t="str">
        <f t="shared" si="456"/>
        <v>01612890622</v>
      </c>
      <c r="E3774" t="s">
        <v>52</v>
      </c>
      <c r="F3774">
        <v>2015</v>
      </c>
      <c r="G3774" t="str">
        <f>"               30/PA"</f>
        <v xml:space="preserve">               30/PA</v>
      </c>
      <c r="H3774" s="3">
        <v>42369</v>
      </c>
      <c r="I3774" s="3">
        <v>42369</v>
      </c>
      <c r="J3774" s="3">
        <v>42369</v>
      </c>
      <c r="K3774" s="3">
        <v>42429</v>
      </c>
      <c r="L3774" s="5">
        <v>12978.6</v>
      </c>
      <c r="M3774">
        <v>99</v>
      </c>
      <c r="N3774" s="5">
        <v>1284881.3999999999</v>
      </c>
      <c r="O3774" s="4">
        <v>12978.6</v>
      </c>
      <c r="P3774">
        <v>99</v>
      </c>
      <c r="Q3774" s="4">
        <v>1284881.3999999999</v>
      </c>
      <c r="R3774" s="4">
        <v>2855.29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  <c r="AB3774" s="3">
        <v>42562</v>
      </c>
      <c r="AC3774" t="s">
        <v>53</v>
      </c>
      <c r="AD3774" t="s">
        <v>53</v>
      </c>
      <c r="AI3774" s="4">
        <v>2855.29</v>
      </c>
      <c r="AK3774">
        <v>0</v>
      </c>
      <c r="AU3774" s="3">
        <v>42528</v>
      </c>
      <c r="AV3774" s="3">
        <v>42528</v>
      </c>
      <c r="AW3774" t="s">
        <v>54</v>
      </c>
      <c r="AX3774" t="str">
        <f t="shared" si="454"/>
        <v>FOR</v>
      </c>
      <c r="AY3774" t="s">
        <v>55</v>
      </c>
    </row>
    <row r="3775" spans="1:51">
      <c r="A3775">
        <v>106557</v>
      </c>
      <c r="B3775" t="s">
        <v>486</v>
      </c>
      <c r="C3775" t="str">
        <f t="shared" si="456"/>
        <v>01612890622</v>
      </c>
      <c r="D3775" t="str">
        <f t="shared" si="456"/>
        <v>01612890622</v>
      </c>
      <c r="E3775" t="s">
        <v>52</v>
      </c>
      <c r="F3775">
        <v>2015</v>
      </c>
      <c r="G3775" t="str">
        <f>"               32/PA"</f>
        <v xml:space="preserve">               32/PA</v>
      </c>
      <c r="H3775" s="3">
        <v>42369</v>
      </c>
      <c r="I3775" s="3">
        <v>42369</v>
      </c>
      <c r="J3775" s="3">
        <v>42369</v>
      </c>
      <c r="K3775" s="3">
        <v>42429</v>
      </c>
      <c r="L3775" s="1">
        <v>600</v>
      </c>
      <c r="M3775">
        <v>99</v>
      </c>
      <c r="N3775" s="5">
        <v>59400</v>
      </c>
      <c r="O3775">
        <v>600</v>
      </c>
      <c r="P3775">
        <v>99</v>
      </c>
      <c r="Q3775" s="4">
        <v>59400</v>
      </c>
      <c r="R3775">
        <v>132</v>
      </c>
      <c r="V3775">
        <v>0</v>
      </c>
      <c r="W3775">
        <v>0</v>
      </c>
      <c r="X3775">
        <v>0</v>
      </c>
      <c r="Y3775">
        <v>0</v>
      </c>
      <c r="Z3775">
        <v>0</v>
      </c>
      <c r="AA3775">
        <v>0</v>
      </c>
      <c r="AB3775" s="3">
        <v>42562</v>
      </c>
      <c r="AC3775" t="s">
        <v>53</v>
      </c>
      <c r="AD3775" t="s">
        <v>53</v>
      </c>
      <c r="AI3775">
        <v>132</v>
      </c>
      <c r="AK3775">
        <v>0</v>
      </c>
      <c r="AU3775" s="3">
        <v>42528</v>
      </c>
      <c r="AV3775" s="3">
        <v>42528</v>
      </c>
      <c r="AW3775" t="s">
        <v>54</v>
      </c>
      <c r="AX3775" t="str">
        <f t="shared" si="454"/>
        <v>FOR</v>
      </c>
      <c r="AY3775" t="s">
        <v>55</v>
      </c>
    </row>
    <row r="3776" spans="1:51">
      <c r="A3776">
        <v>106557</v>
      </c>
      <c r="B3776" t="s">
        <v>486</v>
      </c>
      <c r="C3776" t="str">
        <f t="shared" si="456"/>
        <v>01612890622</v>
      </c>
      <c r="D3776" t="str">
        <f t="shared" si="456"/>
        <v>01612890622</v>
      </c>
      <c r="E3776" t="s">
        <v>52</v>
      </c>
      <c r="F3776">
        <v>2015</v>
      </c>
      <c r="G3776" t="str">
        <f>"               33/PA"</f>
        <v xml:space="preserve">               33/PA</v>
      </c>
      <c r="H3776" s="3">
        <v>42369</v>
      </c>
      <c r="I3776" s="3">
        <v>42369</v>
      </c>
      <c r="J3776" s="3">
        <v>42369</v>
      </c>
      <c r="K3776" s="3">
        <v>42429</v>
      </c>
      <c r="L3776" s="5">
        <v>1881.6</v>
      </c>
      <c r="M3776">
        <v>99</v>
      </c>
      <c r="N3776" s="5">
        <v>186278.39999999999</v>
      </c>
      <c r="O3776" s="4">
        <v>1881.6</v>
      </c>
      <c r="P3776">
        <v>99</v>
      </c>
      <c r="Q3776" s="4">
        <v>186278.39999999999</v>
      </c>
      <c r="R3776">
        <v>413.95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 s="3">
        <v>42562</v>
      </c>
      <c r="AC3776" t="s">
        <v>53</v>
      </c>
      <c r="AD3776" t="s">
        <v>53</v>
      </c>
      <c r="AI3776">
        <v>413.95</v>
      </c>
      <c r="AK3776">
        <v>0</v>
      </c>
      <c r="AU3776" s="3">
        <v>42528</v>
      </c>
      <c r="AV3776" s="3">
        <v>42528</v>
      </c>
      <c r="AW3776" t="s">
        <v>54</v>
      </c>
      <c r="AX3776" t="str">
        <f t="shared" si="454"/>
        <v>FOR</v>
      </c>
      <c r="AY3776" t="s">
        <v>55</v>
      </c>
    </row>
    <row r="3777" spans="1:51" hidden="1">
      <c r="A3777">
        <v>106558</v>
      </c>
      <c r="B3777" t="s">
        <v>487</v>
      </c>
      <c r="C3777" t="str">
        <f t="shared" ref="C3777:C3782" si="457">"01622840625"</f>
        <v>01622840625</v>
      </c>
      <c r="D3777" t="str">
        <f t="shared" ref="D3777:D3782" si="458">"FDRPRI80E71G596D"</f>
        <v>FDRPRI80E71G596D</v>
      </c>
      <c r="E3777" t="s">
        <v>52</v>
      </c>
      <c r="F3777">
        <v>2016</v>
      </c>
      <c r="G3777" t="str">
        <f>"         FATTPA 1_16"</f>
        <v xml:space="preserve">         FATTPA 1_16</v>
      </c>
      <c r="H3777" s="3">
        <v>42396</v>
      </c>
      <c r="I3777" s="3">
        <v>42402</v>
      </c>
      <c r="J3777" s="3">
        <v>42397</v>
      </c>
      <c r="K3777" s="3">
        <v>42457</v>
      </c>
      <c r="L3777"/>
      <c r="N3777"/>
      <c r="O3777" s="4">
        <v>2024.91</v>
      </c>
      <c r="P3777">
        <v>-31</v>
      </c>
      <c r="Q3777" s="4">
        <v>-62772.21</v>
      </c>
      <c r="R3777">
        <v>0</v>
      </c>
      <c r="V3777">
        <v>0</v>
      </c>
      <c r="W3777">
        <v>0</v>
      </c>
      <c r="X3777">
        <v>0</v>
      </c>
      <c r="Y3777">
        <v>-505.73</v>
      </c>
      <c r="Z3777" s="4">
        <v>2024.91</v>
      </c>
      <c r="AA3777" s="4">
        <v>2024.91</v>
      </c>
      <c r="AB3777" s="3">
        <v>42562</v>
      </c>
      <c r="AC3777" t="s">
        <v>53</v>
      </c>
      <c r="AD3777" t="s">
        <v>53</v>
      </c>
      <c r="AK3777">
        <v>0</v>
      </c>
      <c r="AU3777" s="3">
        <v>42426</v>
      </c>
      <c r="AV3777" s="3">
        <v>42426</v>
      </c>
      <c r="AW3777" t="s">
        <v>54</v>
      </c>
      <c r="AX3777" t="str">
        <f t="shared" ref="AX3777:AX3782" si="459">"ALTPRO"</f>
        <v>ALTPRO</v>
      </c>
      <c r="AY3777" t="s">
        <v>93</v>
      </c>
    </row>
    <row r="3778" spans="1:51" hidden="1">
      <c r="A3778">
        <v>106558</v>
      </c>
      <c r="B3778" t="s">
        <v>487</v>
      </c>
      <c r="C3778" t="str">
        <f t="shared" si="457"/>
        <v>01622840625</v>
      </c>
      <c r="D3778" t="str">
        <f t="shared" si="458"/>
        <v>FDRPRI80E71G596D</v>
      </c>
      <c r="E3778" t="s">
        <v>52</v>
      </c>
      <c r="F3778">
        <v>2016</v>
      </c>
      <c r="G3778" t="str">
        <f>"         FATTPA 2_16"</f>
        <v xml:space="preserve">         FATTPA 2_16</v>
      </c>
      <c r="H3778" s="3">
        <v>42433</v>
      </c>
      <c r="I3778" s="3">
        <v>42436</v>
      </c>
      <c r="J3778" s="3">
        <v>42433</v>
      </c>
      <c r="K3778" s="3">
        <v>42493</v>
      </c>
      <c r="L3778"/>
      <c r="N3778"/>
      <c r="O3778" s="4">
        <v>2024.91</v>
      </c>
      <c r="P3778">
        <v>-42</v>
      </c>
      <c r="Q3778" s="4">
        <v>-85046.22</v>
      </c>
      <c r="R3778">
        <v>0</v>
      </c>
      <c r="V3778">
        <v>0</v>
      </c>
      <c r="W3778">
        <v>0</v>
      </c>
      <c r="X3778">
        <v>0</v>
      </c>
      <c r="Y3778" s="4">
        <v>2024.91</v>
      </c>
      <c r="Z3778" s="4">
        <v>2024.91</v>
      </c>
      <c r="AA3778" s="4">
        <v>2024.91</v>
      </c>
      <c r="AB3778" s="3">
        <v>42562</v>
      </c>
      <c r="AC3778" t="s">
        <v>53</v>
      </c>
      <c r="AD3778" t="s">
        <v>53</v>
      </c>
      <c r="AK3778">
        <v>0</v>
      </c>
      <c r="AU3778" s="3">
        <v>42451</v>
      </c>
      <c r="AV3778" s="3">
        <v>42451</v>
      </c>
      <c r="AW3778" t="s">
        <v>54</v>
      </c>
      <c r="AX3778" t="str">
        <f t="shared" si="459"/>
        <v>ALTPRO</v>
      </c>
      <c r="AY3778" t="s">
        <v>93</v>
      </c>
    </row>
    <row r="3779" spans="1:51" hidden="1">
      <c r="A3779">
        <v>106558</v>
      </c>
      <c r="B3779" t="s">
        <v>487</v>
      </c>
      <c r="C3779" t="str">
        <f t="shared" si="457"/>
        <v>01622840625</v>
      </c>
      <c r="D3779" t="str">
        <f t="shared" si="458"/>
        <v>FDRPRI80E71G596D</v>
      </c>
      <c r="E3779" t="s">
        <v>52</v>
      </c>
      <c r="F3779">
        <v>2016</v>
      </c>
      <c r="G3779" t="str">
        <f>"         FATTPA 3_16"</f>
        <v xml:space="preserve">         FATTPA 3_16</v>
      </c>
      <c r="H3779" s="3">
        <v>42433</v>
      </c>
      <c r="I3779" s="3">
        <v>42436</v>
      </c>
      <c r="J3779" s="3">
        <v>42433</v>
      </c>
      <c r="K3779" s="3">
        <v>42493</v>
      </c>
      <c r="L3779"/>
      <c r="N3779"/>
      <c r="O3779" s="4">
        <v>2109.1999999999998</v>
      </c>
      <c r="P3779">
        <v>-42</v>
      </c>
      <c r="Q3779" s="4">
        <v>-88586.4</v>
      </c>
      <c r="R3779">
        <v>0</v>
      </c>
      <c r="V3779">
        <v>0</v>
      </c>
      <c r="W3779">
        <v>0</v>
      </c>
      <c r="X3779">
        <v>0</v>
      </c>
      <c r="Y3779" s="4">
        <v>2109.1999999999998</v>
      </c>
      <c r="Z3779" s="4">
        <v>2109.1999999999998</v>
      </c>
      <c r="AA3779" s="4">
        <v>2109.1999999999998</v>
      </c>
      <c r="AB3779" s="3">
        <v>42562</v>
      </c>
      <c r="AC3779" t="s">
        <v>53</v>
      </c>
      <c r="AD3779" t="s">
        <v>53</v>
      </c>
      <c r="AK3779">
        <v>0</v>
      </c>
      <c r="AU3779" s="3">
        <v>42451</v>
      </c>
      <c r="AV3779" s="3">
        <v>42451</v>
      </c>
      <c r="AW3779" t="s">
        <v>54</v>
      </c>
      <c r="AX3779" t="str">
        <f t="shared" si="459"/>
        <v>ALTPRO</v>
      </c>
      <c r="AY3779" t="s">
        <v>93</v>
      </c>
    </row>
    <row r="3780" spans="1:51">
      <c r="A3780">
        <v>106558</v>
      </c>
      <c r="B3780" t="s">
        <v>487</v>
      </c>
      <c r="C3780" t="str">
        <f t="shared" si="457"/>
        <v>01622840625</v>
      </c>
      <c r="D3780" t="str">
        <f t="shared" si="458"/>
        <v>FDRPRI80E71G596D</v>
      </c>
      <c r="E3780" t="s">
        <v>52</v>
      </c>
      <c r="F3780">
        <v>2016</v>
      </c>
      <c r="G3780" t="str">
        <f>"         FATTPA 4_16"</f>
        <v xml:space="preserve">         FATTPA 4_16</v>
      </c>
      <c r="H3780" s="3">
        <v>42461</v>
      </c>
      <c r="I3780" s="3">
        <v>42464</v>
      </c>
      <c r="J3780" s="3">
        <v>42461</v>
      </c>
      <c r="K3780" s="3">
        <v>42521</v>
      </c>
      <c r="L3780" s="5">
        <v>2193.4899999999998</v>
      </c>
      <c r="M3780">
        <v>-34</v>
      </c>
      <c r="N3780" s="5">
        <v>-74578.66</v>
      </c>
      <c r="O3780" s="4">
        <v>2193.4899999999998</v>
      </c>
      <c r="P3780">
        <v>-34</v>
      </c>
      <c r="Q3780" s="4">
        <v>-74578.66</v>
      </c>
      <c r="R3780">
        <v>0</v>
      </c>
      <c r="V3780">
        <v>-547.87</v>
      </c>
      <c r="W3780" s="4">
        <v>2193.4899999999998</v>
      </c>
      <c r="X3780" s="4">
        <v>2193.4899999999998</v>
      </c>
      <c r="Y3780" s="4">
        <v>2193.4899999999998</v>
      </c>
      <c r="Z3780" s="4">
        <v>2193.4899999999998</v>
      </c>
      <c r="AA3780" s="4">
        <v>2193.4899999999998</v>
      </c>
      <c r="AB3780" s="3">
        <v>42562</v>
      </c>
      <c r="AC3780" t="s">
        <v>53</v>
      </c>
      <c r="AD3780" t="s">
        <v>53</v>
      </c>
      <c r="AK3780">
        <v>0</v>
      </c>
      <c r="AU3780" s="3">
        <v>42487</v>
      </c>
      <c r="AV3780" s="3">
        <v>42487</v>
      </c>
      <c r="AW3780" t="s">
        <v>54</v>
      </c>
      <c r="AX3780" t="str">
        <f t="shared" si="459"/>
        <v>ALTPRO</v>
      </c>
      <c r="AY3780" t="s">
        <v>93</v>
      </c>
    </row>
    <row r="3781" spans="1:51">
      <c r="A3781">
        <v>106558</v>
      </c>
      <c r="B3781" t="s">
        <v>487</v>
      </c>
      <c r="C3781" t="str">
        <f t="shared" si="457"/>
        <v>01622840625</v>
      </c>
      <c r="D3781" t="str">
        <f t="shared" si="458"/>
        <v>FDRPRI80E71G596D</v>
      </c>
      <c r="E3781" t="s">
        <v>52</v>
      </c>
      <c r="F3781">
        <v>2016</v>
      </c>
      <c r="G3781" t="str">
        <f>"         FATTPA 5_16"</f>
        <v xml:space="preserve">         FATTPA 5_16</v>
      </c>
      <c r="H3781" s="3">
        <v>42492</v>
      </c>
      <c r="I3781" s="3">
        <v>42493</v>
      </c>
      <c r="J3781" s="3">
        <v>42493</v>
      </c>
      <c r="K3781" s="3">
        <v>42553</v>
      </c>
      <c r="L3781" s="5">
        <v>2109.1999999999998</v>
      </c>
      <c r="M3781">
        <v>-37</v>
      </c>
      <c r="N3781" s="5">
        <v>-78040.399999999994</v>
      </c>
      <c r="O3781" s="4">
        <v>2109.1999999999998</v>
      </c>
      <c r="P3781">
        <v>-37</v>
      </c>
      <c r="Q3781" s="4">
        <v>-78040.399999999994</v>
      </c>
      <c r="R3781">
        <v>0</v>
      </c>
      <c r="V3781" s="4">
        <v>2109.1999999999998</v>
      </c>
      <c r="W3781" s="4">
        <v>2109.1999999999998</v>
      </c>
      <c r="X3781" s="4">
        <v>2109.1999999999998</v>
      </c>
      <c r="Y3781" s="4">
        <v>2109.1999999999998</v>
      </c>
      <c r="Z3781" s="4">
        <v>2109.1999999999998</v>
      </c>
      <c r="AA3781" s="4">
        <v>2109.1999999999998</v>
      </c>
      <c r="AB3781" s="3">
        <v>42562</v>
      </c>
      <c r="AC3781" t="s">
        <v>53</v>
      </c>
      <c r="AD3781" t="s">
        <v>53</v>
      </c>
      <c r="AK3781">
        <v>0</v>
      </c>
      <c r="AU3781" s="3">
        <v>42516</v>
      </c>
      <c r="AV3781" s="3">
        <v>42516</v>
      </c>
      <c r="AW3781" t="s">
        <v>54</v>
      </c>
      <c r="AX3781" t="str">
        <f t="shared" si="459"/>
        <v>ALTPRO</v>
      </c>
      <c r="AY3781" t="s">
        <v>93</v>
      </c>
    </row>
    <row r="3782" spans="1:51">
      <c r="A3782">
        <v>106558</v>
      </c>
      <c r="B3782" t="s">
        <v>487</v>
      </c>
      <c r="C3782" t="str">
        <f t="shared" si="457"/>
        <v>01622840625</v>
      </c>
      <c r="D3782" t="str">
        <f t="shared" si="458"/>
        <v>FDRPRI80E71G596D</v>
      </c>
      <c r="E3782" t="s">
        <v>52</v>
      </c>
      <c r="F3782">
        <v>2016</v>
      </c>
      <c r="G3782" t="str">
        <f>"         FATTPA 6_16"</f>
        <v xml:space="preserve">         FATTPA 6_16</v>
      </c>
      <c r="H3782" s="3">
        <v>42522</v>
      </c>
      <c r="I3782" s="3">
        <v>42527</v>
      </c>
      <c r="J3782" s="3">
        <v>42522</v>
      </c>
      <c r="K3782" s="3">
        <v>42582</v>
      </c>
      <c r="L3782" s="5">
        <v>2193.4899999999998</v>
      </c>
      <c r="M3782">
        <v>-54</v>
      </c>
      <c r="N3782" s="5">
        <v>-118448.46</v>
      </c>
      <c r="O3782" s="4">
        <v>2193.4899999999998</v>
      </c>
      <c r="P3782">
        <v>-54</v>
      </c>
      <c r="Q3782" s="4">
        <v>-118448.46</v>
      </c>
      <c r="R3782">
        <v>0</v>
      </c>
      <c r="V3782" s="4">
        <v>2193.4899999999998</v>
      </c>
      <c r="W3782" s="4">
        <v>2193.4899999999998</v>
      </c>
      <c r="X3782" s="4">
        <v>2193.4899999999998</v>
      </c>
      <c r="Y3782" s="4">
        <v>2193.4899999999998</v>
      </c>
      <c r="Z3782" s="4">
        <v>2193.4899999999998</v>
      </c>
      <c r="AA3782" s="4">
        <v>2193.4899999999998</v>
      </c>
      <c r="AB3782" s="3">
        <v>42562</v>
      </c>
      <c r="AC3782" t="s">
        <v>53</v>
      </c>
      <c r="AD3782" t="s">
        <v>53</v>
      </c>
      <c r="AK3782">
        <v>0</v>
      </c>
      <c r="AU3782" s="3">
        <v>42528</v>
      </c>
      <c r="AV3782" s="3">
        <v>42528</v>
      </c>
      <c r="AW3782" t="s">
        <v>54</v>
      </c>
      <c r="AX3782" t="str">
        <f t="shared" si="459"/>
        <v>ALTPRO</v>
      </c>
      <c r="AY3782" t="s">
        <v>93</v>
      </c>
    </row>
    <row r="3783" spans="1:51">
      <c r="A3783">
        <v>106559</v>
      </c>
      <c r="B3783" t="s">
        <v>488</v>
      </c>
      <c r="C3783" t="str">
        <f t="shared" ref="C3783:D3786" si="460">"08418370964"</f>
        <v>08418370964</v>
      </c>
      <c r="D3783" t="str">
        <f t="shared" si="460"/>
        <v>08418370964</v>
      </c>
      <c r="E3783" t="s">
        <v>52</v>
      </c>
      <c r="F3783">
        <v>2015</v>
      </c>
      <c r="G3783" t="str">
        <f>"             0501897"</f>
        <v xml:space="preserve">             0501897</v>
      </c>
      <c r="H3783" s="3">
        <v>42124</v>
      </c>
      <c r="I3783" s="3">
        <v>42131</v>
      </c>
      <c r="J3783" s="3">
        <v>42130</v>
      </c>
      <c r="K3783" s="3">
        <v>42190</v>
      </c>
      <c r="L3783" s="5">
        <v>3870.7</v>
      </c>
      <c r="M3783">
        <v>330</v>
      </c>
      <c r="N3783" s="5">
        <v>1277331</v>
      </c>
      <c r="O3783" s="4">
        <v>3870.7</v>
      </c>
      <c r="P3783">
        <v>330</v>
      </c>
      <c r="Q3783" s="4">
        <v>1277331</v>
      </c>
      <c r="R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>
        <v>0</v>
      </c>
      <c r="AB3783" s="3">
        <v>42562</v>
      </c>
      <c r="AC3783" t="s">
        <v>53</v>
      </c>
      <c r="AD3783" t="s">
        <v>53</v>
      </c>
      <c r="AK3783">
        <v>0</v>
      </c>
      <c r="AU3783" s="3">
        <v>42520</v>
      </c>
      <c r="AV3783" s="3">
        <v>42520</v>
      </c>
      <c r="AW3783" t="s">
        <v>54</v>
      </c>
      <c r="AX3783" t="str">
        <f t="shared" ref="AX3783:AX3814" si="461">"FOR"</f>
        <v>FOR</v>
      </c>
      <c r="AY3783" t="s">
        <v>55</v>
      </c>
    </row>
    <row r="3784" spans="1:51">
      <c r="A3784">
        <v>106559</v>
      </c>
      <c r="B3784" t="s">
        <v>488</v>
      </c>
      <c r="C3784" t="str">
        <f t="shared" si="460"/>
        <v>08418370964</v>
      </c>
      <c r="D3784" t="str">
        <f t="shared" si="460"/>
        <v>08418370964</v>
      </c>
      <c r="E3784" t="s">
        <v>52</v>
      </c>
      <c r="F3784">
        <v>2015</v>
      </c>
      <c r="G3784" t="str">
        <f>"             0501915"</f>
        <v xml:space="preserve">             0501915</v>
      </c>
      <c r="H3784" s="3">
        <v>42124</v>
      </c>
      <c r="I3784" s="3">
        <v>42131</v>
      </c>
      <c r="J3784" s="3">
        <v>42130</v>
      </c>
      <c r="K3784" s="3">
        <v>42190</v>
      </c>
      <c r="L3784" s="1">
        <v>514.64</v>
      </c>
      <c r="M3784">
        <v>330</v>
      </c>
      <c r="N3784" s="5">
        <v>169831.2</v>
      </c>
      <c r="O3784">
        <v>514.64</v>
      </c>
      <c r="P3784">
        <v>330</v>
      </c>
      <c r="Q3784" s="4">
        <v>169831.2</v>
      </c>
      <c r="R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  <c r="AB3784" s="3">
        <v>42562</v>
      </c>
      <c r="AC3784" t="s">
        <v>53</v>
      </c>
      <c r="AD3784" t="s">
        <v>53</v>
      </c>
      <c r="AK3784">
        <v>0</v>
      </c>
      <c r="AU3784" s="3">
        <v>42520</v>
      </c>
      <c r="AV3784" s="3">
        <v>42520</v>
      </c>
      <c r="AW3784" t="s">
        <v>54</v>
      </c>
      <c r="AX3784" t="str">
        <f t="shared" si="461"/>
        <v>FOR</v>
      </c>
      <c r="AY3784" t="s">
        <v>55</v>
      </c>
    </row>
    <row r="3785" spans="1:51">
      <c r="A3785">
        <v>106559</v>
      </c>
      <c r="B3785" t="s">
        <v>488</v>
      </c>
      <c r="C3785" t="str">
        <f t="shared" si="460"/>
        <v>08418370964</v>
      </c>
      <c r="D3785" t="str">
        <f t="shared" si="460"/>
        <v>08418370964</v>
      </c>
      <c r="E3785" t="s">
        <v>52</v>
      </c>
      <c r="F3785">
        <v>2015</v>
      </c>
      <c r="G3785" t="str">
        <f>"             0504312"</f>
        <v xml:space="preserve">             0504312</v>
      </c>
      <c r="H3785" s="3">
        <v>42185</v>
      </c>
      <c r="I3785" s="3">
        <v>42195</v>
      </c>
      <c r="J3785" s="3">
        <v>42190</v>
      </c>
      <c r="K3785" s="3">
        <v>42250</v>
      </c>
      <c r="L3785" s="5">
        <v>3334.31</v>
      </c>
      <c r="M3785">
        <v>270</v>
      </c>
      <c r="N3785" s="5">
        <v>900263.7</v>
      </c>
      <c r="O3785" s="4">
        <v>3334.31</v>
      </c>
      <c r="P3785">
        <v>270</v>
      </c>
      <c r="Q3785" s="4">
        <v>900263.7</v>
      </c>
      <c r="R3785">
        <v>0</v>
      </c>
      <c r="V3785">
        <v>0</v>
      </c>
      <c r="W3785">
        <v>0</v>
      </c>
      <c r="X3785">
        <v>0</v>
      </c>
      <c r="Y3785">
        <v>0</v>
      </c>
      <c r="Z3785">
        <v>0</v>
      </c>
      <c r="AA3785">
        <v>0</v>
      </c>
      <c r="AB3785" s="3">
        <v>42562</v>
      </c>
      <c r="AC3785" t="s">
        <v>53</v>
      </c>
      <c r="AD3785" t="s">
        <v>53</v>
      </c>
      <c r="AK3785">
        <v>0</v>
      </c>
      <c r="AU3785" s="3">
        <v>42520</v>
      </c>
      <c r="AV3785" s="3">
        <v>42520</v>
      </c>
      <c r="AW3785" t="s">
        <v>54</v>
      </c>
      <c r="AX3785" t="str">
        <f t="shared" si="461"/>
        <v>FOR</v>
      </c>
      <c r="AY3785" t="s">
        <v>55</v>
      </c>
    </row>
    <row r="3786" spans="1:51">
      <c r="A3786">
        <v>106559</v>
      </c>
      <c r="B3786" t="s">
        <v>488</v>
      </c>
      <c r="C3786" t="str">
        <f t="shared" si="460"/>
        <v>08418370964</v>
      </c>
      <c r="D3786" t="str">
        <f t="shared" si="460"/>
        <v>08418370964</v>
      </c>
      <c r="E3786" t="s">
        <v>52</v>
      </c>
      <c r="F3786">
        <v>2015</v>
      </c>
      <c r="G3786" t="str">
        <f>"             0504313"</f>
        <v xml:space="preserve">             0504313</v>
      </c>
      <c r="H3786" s="3">
        <v>42185</v>
      </c>
      <c r="I3786" s="3">
        <v>42195</v>
      </c>
      <c r="J3786" s="3">
        <v>42190</v>
      </c>
      <c r="K3786" s="3">
        <v>42250</v>
      </c>
      <c r="L3786" s="1">
        <v>652.38</v>
      </c>
      <c r="M3786">
        <v>270</v>
      </c>
      <c r="N3786" s="5">
        <v>176142.6</v>
      </c>
      <c r="O3786">
        <v>652.38</v>
      </c>
      <c r="P3786">
        <v>270</v>
      </c>
      <c r="Q3786" s="4">
        <v>176142.6</v>
      </c>
      <c r="R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 s="3">
        <v>42562</v>
      </c>
      <c r="AC3786" t="s">
        <v>53</v>
      </c>
      <c r="AD3786" t="s">
        <v>53</v>
      </c>
      <c r="AK3786">
        <v>0</v>
      </c>
      <c r="AU3786" s="3">
        <v>42520</v>
      </c>
      <c r="AV3786" s="3">
        <v>42520</v>
      </c>
      <c r="AW3786" t="s">
        <v>54</v>
      </c>
      <c r="AX3786" t="str">
        <f t="shared" si="461"/>
        <v>FOR</v>
      </c>
      <c r="AY3786" t="s">
        <v>55</v>
      </c>
    </row>
    <row r="3787" spans="1:51" hidden="1">
      <c r="A3787">
        <v>106570</v>
      </c>
      <c r="B3787" t="s">
        <v>489</v>
      </c>
      <c r="C3787" t="str">
        <f t="shared" ref="C3787:D3806" si="462">"01617610629"</f>
        <v>01617610629</v>
      </c>
      <c r="D3787" t="str">
        <f t="shared" si="462"/>
        <v>01617610629</v>
      </c>
      <c r="E3787" t="s">
        <v>52</v>
      </c>
      <c r="F3787">
        <v>2015</v>
      </c>
      <c r="G3787" t="str">
        <f>"        2015    58/a"</f>
        <v xml:space="preserve">        2015    58/a</v>
      </c>
      <c r="H3787" s="3">
        <v>42277</v>
      </c>
      <c r="I3787" s="3">
        <v>42278</v>
      </c>
      <c r="J3787" s="3">
        <v>42277</v>
      </c>
      <c r="K3787" s="3">
        <v>42337</v>
      </c>
      <c r="L3787"/>
      <c r="N3787"/>
      <c r="O3787">
        <v>230</v>
      </c>
      <c r="P3787">
        <v>66</v>
      </c>
      <c r="Q3787" s="4">
        <v>15180</v>
      </c>
      <c r="R3787">
        <v>50.6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  <c r="AB3787" s="3">
        <v>42562</v>
      </c>
      <c r="AC3787" t="s">
        <v>53</v>
      </c>
      <c r="AD3787" t="s">
        <v>53</v>
      </c>
      <c r="AK3787">
        <v>50.6</v>
      </c>
      <c r="AU3787" s="3">
        <v>42403</v>
      </c>
      <c r="AV3787" s="3">
        <v>42403</v>
      </c>
      <c r="AW3787" t="s">
        <v>54</v>
      </c>
      <c r="AX3787" t="str">
        <f t="shared" si="461"/>
        <v>FOR</v>
      </c>
      <c r="AY3787" t="s">
        <v>55</v>
      </c>
    </row>
    <row r="3788" spans="1:51" hidden="1">
      <c r="A3788">
        <v>106570</v>
      </c>
      <c r="B3788" t="s">
        <v>489</v>
      </c>
      <c r="C3788" t="str">
        <f t="shared" si="462"/>
        <v>01617610629</v>
      </c>
      <c r="D3788" t="str">
        <f t="shared" si="462"/>
        <v>01617610629</v>
      </c>
      <c r="E3788" t="s">
        <v>52</v>
      </c>
      <c r="F3788">
        <v>2015</v>
      </c>
      <c r="G3788" t="str">
        <f>"        2015    59/a"</f>
        <v xml:space="preserve">        2015    59/a</v>
      </c>
      <c r="H3788" s="3">
        <v>42277</v>
      </c>
      <c r="I3788" s="3">
        <v>42278</v>
      </c>
      <c r="J3788" s="3">
        <v>42277</v>
      </c>
      <c r="K3788" s="3">
        <v>42337</v>
      </c>
      <c r="L3788"/>
      <c r="N3788"/>
      <c r="O3788">
        <v>350</v>
      </c>
      <c r="P3788">
        <v>66</v>
      </c>
      <c r="Q3788" s="4">
        <v>23100</v>
      </c>
      <c r="R3788">
        <v>77</v>
      </c>
      <c r="V3788">
        <v>0</v>
      </c>
      <c r="W3788">
        <v>0</v>
      </c>
      <c r="X3788">
        <v>0</v>
      </c>
      <c r="Y3788">
        <v>0</v>
      </c>
      <c r="Z3788">
        <v>0</v>
      </c>
      <c r="AA3788">
        <v>0</v>
      </c>
      <c r="AB3788" s="3">
        <v>42562</v>
      </c>
      <c r="AC3788" t="s">
        <v>53</v>
      </c>
      <c r="AD3788" t="s">
        <v>53</v>
      </c>
      <c r="AK3788">
        <v>77</v>
      </c>
      <c r="AU3788" s="3">
        <v>42403</v>
      </c>
      <c r="AV3788" s="3">
        <v>42403</v>
      </c>
      <c r="AW3788" t="s">
        <v>54</v>
      </c>
      <c r="AX3788" t="str">
        <f t="shared" si="461"/>
        <v>FOR</v>
      </c>
      <c r="AY3788" t="s">
        <v>55</v>
      </c>
    </row>
    <row r="3789" spans="1:51" hidden="1">
      <c r="A3789">
        <v>106570</v>
      </c>
      <c r="B3789" t="s">
        <v>489</v>
      </c>
      <c r="C3789" t="str">
        <f t="shared" si="462"/>
        <v>01617610629</v>
      </c>
      <c r="D3789" t="str">
        <f t="shared" si="462"/>
        <v>01617610629</v>
      </c>
      <c r="E3789" t="s">
        <v>52</v>
      </c>
      <c r="F3789">
        <v>2015</v>
      </c>
      <c r="G3789" t="str">
        <f>"        2015    60/a"</f>
        <v xml:space="preserve">        2015    60/a</v>
      </c>
      <c r="H3789" s="3">
        <v>42277</v>
      </c>
      <c r="I3789" s="3">
        <v>42278</v>
      </c>
      <c r="J3789" s="3">
        <v>42277</v>
      </c>
      <c r="K3789" s="3">
        <v>42337</v>
      </c>
      <c r="L3789"/>
      <c r="N3789"/>
      <c r="O3789">
        <v>185</v>
      </c>
      <c r="P3789">
        <v>66</v>
      </c>
      <c r="Q3789" s="4">
        <v>12210</v>
      </c>
      <c r="R3789">
        <v>40.700000000000003</v>
      </c>
      <c r="V3789">
        <v>0</v>
      </c>
      <c r="W3789">
        <v>0</v>
      </c>
      <c r="X3789">
        <v>0</v>
      </c>
      <c r="Y3789">
        <v>0</v>
      </c>
      <c r="Z3789">
        <v>0</v>
      </c>
      <c r="AA3789">
        <v>0</v>
      </c>
      <c r="AB3789" s="3">
        <v>42562</v>
      </c>
      <c r="AC3789" t="s">
        <v>53</v>
      </c>
      <c r="AD3789" t="s">
        <v>53</v>
      </c>
      <c r="AK3789">
        <v>40.700000000000003</v>
      </c>
      <c r="AU3789" s="3">
        <v>42403</v>
      </c>
      <c r="AV3789" s="3">
        <v>42403</v>
      </c>
      <c r="AW3789" t="s">
        <v>54</v>
      </c>
      <c r="AX3789" t="str">
        <f t="shared" si="461"/>
        <v>FOR</v>
      </c>
      <c r="AY3789" t="s">
        <v>55</v>
      </c>
    </row>
    <row r="3790" spans="1:51" hidden="1">
      <c r="A3790">
        <v>106570</v>
      </c>
      <c r="B3790" t="s">
        <v>489</v>
      </c>
      <c r="C3790" t="str">
        <f t="shared" si="462"/>
        <v>01617610629</v>
      </c>
      <c r="D3790" t="str">
        <f t="shared" si="462"/>
        <v>01617610629</v>
      </c>
      <c r="E3790" t="s">
        <v>52</v>
      </c>
      <c r="F3790">
        <v>2015</v>
      </c>
      <c r="G3790" t="str">
        <f>"        2015    61/a"</f>
        <v xml:space="preserve">        2015    61/a</v>
      </c>
      <c r="H3790" s="3">
        <v>42277</v>
      </c>
      <c r="I3790" s="3">
        <v>42278</v>
      </c>
      <c r="J3790" s="3">
        <v>42277</v>
      </c>
      <c r="K3790" s="3">
        <v>42337</v>
      </c>
      <c r="L3790"/>
      <c r="N3790"/>
      <c r="O3790">
        <v>330</v>
      </c>
      <c r="P3790">
        <v>66</v>
      </c>
      <c r="Q3790" s="4">
        <v>21780</v>
      </c>
      <c r="R3790">
        <v>72.599999999999994</v>
      </c>
      <c r="V3790">
        <v>0</v>
      </c>
      <c r="W3790">
        <v>0</v>
      </c>
      <c r="X3790">
        <v>0</v>
      </c>
      <c r="Y3790">
        <v>0</v>
      </c>
      <c r="Z3790">
        <v>0</v>
      </c>
      <c r="AA3790">
        <v>0</v>
      </c>
      <c r="AB3790" s="3">
        <v>42562</v>
      </c>
      <c r="AC3790" t="s">
        <v>53</v>
      </c>
      <c r="AD3790" t="s">
        <v>53</v>
      </c>
      <c r="AK3790">
        <v>72.599999999999994</v>
      </c>
      <c r="AU3790" s="3">
        <v>42403</v>
      </c>
      <c r="AV3790" s="3">
        <v>42403</v>
      </c>
      <c r="AW3790" t="s">
        <v>54</v>
      </c>
      <c r="AX3790" t="str">
        <f t="shared" si="461"/>
        <v>FOR</v>
      </c>
      <c r="AY3790" t="s">
        <v>55</v>
      </c>
    </row>
    <row r="3791" spans="1:51" hidden="1">
      <c r="A3791">
        <v>106570</v>
      </c>
      <c r="B3791" t="s">
        <v>489</v>
      </c>
      <c r="C3791" t="str">
        <f t="shared" si="462"/>
        <v>01617610629</v>
      </c>
      <c r="D3791" t="str">
        <f t="shared" si="462"/>
        <v>01617610629</v>
      </c>
      <c r="E3791" t="s">
        <v>52</v>
      </c>
      <c r="F3791">
        <v>2015</v>
      </c>
      <c r="G3791" t="str">
        <f>"        2015    62/a"</f>
        <v xml:space="preserve">        2015    62/a</v>
      </c>
      <c r="H3791" s="3">
        <v>42277</v>
      </c>
      <c r="I3791" s="3">
        <v>42278</v>
      </c>
      <c r="J3791" s="3">
        <v>42277</v>
      </c>
      <c r="K3791" s="3">
        <v>42337</v>
      </c>
      <c r="L3791"/>
      <c r="N3791"/>
      <c r="O3791">
        <v>110</v>
      </c>
      <c r="P3791">
        <v>66</v>
      </c>
      <c r="Q3791" s="4">
        <v>7260</v>
      </c>
      <c r="R3791">
        <v>24.2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 s="3">
        <v>42562</v>
      </c>
      <c r="AC3791" t="s">
        <v>53</v>
      </c>
      <c r="AD3791" t="s">
        <v>53</v>
      </c>
      <c r="AK3791">
        <v>24.2</v>
      </c>
      <c r="AU3791" s="3">
        <v>42403</v>
      </c>
      <c r="AV3791" s="3">
        <v>42403</v>
      </c>
      <c r="AW3791" t="s">
        <v>54</v>
      </c>
      <c r="AX3791" t="str">
        <f t="shared" si="461"/>
        <v>FOR</v>
      </c>
      <c r="AY3791" t="s">
        <v>55</v>
      </c>
    </row>
    <row r="3792" spans="1:51" hidden="1">
      <c r="A3792">
        <v>106570</v>
      </c>
      <c r="B3792" t="s">
        <v>489</v>
      </c>
      <c r="C3792" t="str">
        <f t="shared" si="462"/>
        <v>01617610629</v>
      </c>
      <c r="D3792" t="str">
        <f t="shared" si="462"/>
        <v>01617610629</v>
      </c>
      <c r="E3792" t="s">
        <v>52</v>
      </c>
      <c r="F3792">
        <v>2015</v>
      </c>
      <c r="G3792" t="str">
        <f>"        2015    63/a"</f>
        <v xml:space="preserve">        2015    63/a</v>
      </c>
      <c r="H3792" s="3">
        <v>42277</v>
      </c>
      <c r="I3792" s="3">
        <v>42278</v>
      </c>
      <c r="J3792" s="3">
        <v>42277</v>
      </c>
      <c r="K3792" s="3">
        <v>42337</v>
      </c>
      <c r="L3792"/>
      <c r="N3792"/>
      <c r="O3792">
        <v>435</v>
      </c>
      <c r="P3792">
        <v>66</v>
      </c>
      <c r="Q3792" s="4">
        <v>28710</v>
      </c>
      <c r="R3792">
        <v>95.7</v>
      </c>
      <c r="V3792">
        <v>0</v>
      </c>
      <c r="W3792">
        <v>0</v>
      </c>
      <c r="X3792">
        <v>0</v>
      </c>
      <c r="Y3792">
        <v>0</v>
      </c>
      <c r="Z3792">
        <v>0</v>
      </c>
      <c r="AA3792">
        <v>0</v>
      </c>
      <c r="AB3792" s="3">
        <v>42562</v>
      </c>
      <c r="AC3792" t="s">
        <v>53</v>
      </c>
      <c r="AD3792" t="s">
        <v>53</v>
      </c>
      <c r="AK3792">
        <v>95.7</v>
      </c>
      <c r="AU3792" s="3">
        <v>42403</v>
      </c>
      <c r="AV3792" s="3">
        <v>42403</v>
      </c>
      <c r="AW3792" t="s">
        <v>54</v>
      </c>
      <c r="AX3792" t="str">
        <f t="shared" si="461"/>
        <v>FOR</v>
      </c>
      <c r="AY3792" t="s">
        <v>55</v>
      </c>
    </row>
    <row r="3793" spans="1:51" hidden="1">
      <c r="A3793">
        <v>106570</v>
      </c>
      <c r="B3793" t="s">
        <v>489</v>
      </c>
      <c r="C3793" t="str">
        <f t="shared" si="462"/>
        <v>01617610629</v>
      </c>
      <c r="D3793" t="str">
        <f t="shared" si="462"/>
        <v>01617610629</v>
      </c>
      <c r="E3793" t="s">
        <v>52</v>
      </c>
      <c r="F3793">
        <v>2015</v>
      </c>
      <c r="G3793" t="str">
        <f>"        2015    64/a"</f>
        <v xml:space="preserve">        2015    64/a</v>
      </c>
      <c r="H3793" s="3">
        <v>42277</v>
      </c>
      <c r="I3793" s="3">
        <v>42278</v>
      </c>
      <c r="J3793" s="3">
        <v>42277</v>
      </c>
      <c r="K3793" s="3">
        <v>42337</v>
      </c>
      <c r="L3793"/>
      <c r="N3793"/>
      <c r="O3793">
        <v>100</v>
      </c>
      <c r="P3793">
        <v>66</v>
      </c>
      <c r="Q3793" s="4">
        <v>6600</v>
      </c>
      <c r="R3793">
        <v>22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  <c r="AB3793" s="3">
        <v>42562</v>
      </c>
      <c r="AC3793" t="s">
        <v>53</v>
      </c>
      <c r="AD3793" t="s">
        <v>53</v>
      </c>
      <c r="AK3793">
        <v>22</v>
      </c>
      <c r="AU3793" s="3">
        <v>42403</v>
      </c>
      <c r="AV3793" s="3">
        <v>42403</v>
      </c>
      <c r="AW3793" t="s">
        <v>54</v>
      </c>
      <c r="AX3793" t="str">
        <f t="shared" si="461"/>
        <v>FOR</v>
      </c>
      <c r="AY3793" t="s">
        <v>55</v>
      </c>
    </row>
    <row r="3794" spans="1:51" hidden="1">
      <c r="A3794">
        <v>106570</v>
      </c>
      <c r="B3794" t="s">
        <v>489</v>
      </c>
      <c r="C3794" t="str">
        <f t="shared" si="462"/>
        <v>01617610629</v>
      </c>
      <c r="D3794" t="str">
        <f t="shared" si="462"/>
        <v>01617610629</v>
      </c>
      <c r="E3794" t="s">
        <v>52</v>
      </c>
      <c r="F3794">
        <v>2015</v>
      </c>
      <c r="G3794" t="str">
        <f>"        2015    65/a"</f>
        <v xml:space="preserve">        2015    65/a</v>
      </c>
      <c r="H3794" s="3">
        <v>42277</v>
      </c>
      <c r="I3794" s="3">
        <v>42278</v>
      </c>
      <c r="J3794" s="3">
        <v>42277</v>
      </c>
      <c r="K3794" s="3">
        <v>42337</v>
      </c>
      <c r="L3794"/>
      <c r="N3794"/>
      <c r="O3794">
        <v>360</v>
      </c>
      <c r="P3794">
        <v>66</v>
      </c>
      <c r="Q3794" s="4">
        <v>23760</v>
      </c>
      <c r="R3794">
        <v>79.2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  <c r="AB3794" s="3">
        <v>42562</v>
      </c>
      <c r="AC3794" t="s">
        <v>53</v>
      </c>
      <c r="AD3794" t="s">
        <v>53</v>
      </c>
      <c r="AK3794">
        <v>79.2</v>
      </c>
      <c r="AU3794" s="3">
        <v>42403</v>
      </c>
      <c r="AV3794" s="3">
        <v>42403</v>
      </c>
      <c r="AW3794" t="s">
        <v>54</v>
      </c>
      <c r="AX3794" t="str">
        <f t="shared" si="461"/>
        <v>FOR</v>
      </c>
      <c r="AY3794" t="s">
        <v>55</v>
      </c>
    </row>
    <row r="3795" spans="1:51" hidden="1">
      <c r="A3795">
        <v>106570</v>
      </c>
      <c r="B3795" t="s">
        <v>489</v>
      </c>
      <c r="C3795" t="str">
        <f t="shared" si="462"/>
        <v>01617610629</v>
      </c>
      <c r="D3795" t="str">
        <f t="shared" si="462"/>
        <v>01617610629</v>
      </c>
      <c r="E3795" t="s">
        <v>52</v>
      </c>
      <c r="F3795">
        <v>2015</v>
      </c>
      <c r="G3795" t="str">
        <f>"        2015    66/a"</f>
        <v xml:space="preserve">        2015    66/a</v>
      </c>
      <c r="H3795" s="3">
        <v>42277</v>
      </c>
      <c r="I3795" s="3">
        <v>42278</v>
      </c>
      <c r="J3795" s="3">
        <v>42277</v>
      </c>
      <c r="K3795" s="3">
        <v>42337</v>
      </c>
      <c r="L3795"/>
      <c r="N3795"/>
      <c r="O3795">
        <v>150</v>
      </c>
      <c r="P3795">
        <v>66</v>
      </c>
      <c r="Q3795" s="4">
        <v>9900</v>
      </c>
      <c r="R3795">
        <v>33</v>
      </c>
      <c r="V3795">
        <v>0</v>
      </c>
      <c r="W3795">
        <v>0</v>
      </c>
      <c r="X3795">
        <v>0</v>
      </c>
      <c r="Y3795">
        <v>0</v>
      </c>
      <c r="Z3795">
        <v>0</v>
      </c>
      <c r="AA3795">
        <v>0</v>
      </c>
      <c r="AB3795" s="3">
        <v>42562</v>
      </c>
      <c r="AC3795" t="s">
        <v>53</v>
      </c>
      <c r="AD3795" t="s">
        <v>53</v>
      </c>
      <c r="AK3795">
        <v>33</v>
      </c>
      <c r="AU3795" s="3">
        <v>42403</v>
      </c>
      <c r="AV3795" s="3">
        <v>42403</v>
      </c>
      <c r="AW3795" t="s">
        <v>54</v>
      </c>
      <c r="AX3795" t="str">
        <f t="shared" si="461"/>
        <v>FOR</v>
      </c>
      <c r="AY3795" t="s">
        <v>55</v>
      </c>
    </row>
    <row r="3796" spans="1:51" hidden="1">
      <c r="A3796">
        <v>106570</v>
      </c>
      <c r="B3796" t="s">
        <v>489</v>
      </c>
      <c r="C3796" t="str">
        <f t="shared" si="462"/>
        <v>01617610629</v>
      </c>
      <c r="D3796" t="str">
        <f t="shared" si="462"/>
        <v>01617610629</v>
      </c>
      <c r="E3796" t="s">
        <v>52</v>
      </c>
      <c r="F3796">
        <v>2015</v>
      </c>
      <c r="G3796" t="str">
        <f>"        2015    67/a"</f>
        <v xml:space="preserve">        2015    67/a</v>
      </c>
      <c r="H3796" s="3">
        <v>42277</v>
      </c>
      <c r="I3796" s="3">
        <v>42278</v>
      </c>
      <c r="J3796" s="3">
        <v>42277</v>
      </c>
      <c r="K3796" s="3">
        <v>42337</v>
      </c>
      <c r="L3796"/>
      <c r="N3796"/>
      <c r="O3796">
        <v>290</v>
      </c>
      <c r="P3796">
        <v>66</v>
      </c>
      <c r="Q3796" s="4">
        <v>19140</v>
      </c>
      <c r="R3796">
        <v>63.8</v>
      </c>
      <c r="V3796">
        <v>0</v>
      </c>
      <c r="W3796">
        <v>0</v>
      </c>
      <c r="X3796">
        <v>0</v>
      </c>
      <c r="Y3796">
        <v>0</v>
      </c>
      <c r="Z3796">
        <v>0</v>
      </c>
      <c r="AA3796">
        <v>0</v>
      </c>
      <c r="AB3796" s="3">
        <v>42562</v>
      </c>
      <c r="AC3796" t="s">
        <v>53</v>
      </c>
      <c r="AD3796" t="s">
        <v>53</v>
      </c>
      <c r="AK3796">
        <v>63.8</v>
      </c>
      <c r="AU3796" s="3">
        <v>42403</v>
      </c>
      <c r="AV3796" s="3">
        <v>42403</v>
      </c>
      <c r="AW3796" t="s">
        <v>54</v>
      </c>
      <c r="AX3796" t="str">
        <f t="shared" si="461"/>
        <v>FOR</v>
      </c>
      <c r="AY3796" t="s">
        <v>55</v>
      </c>
    </row>
    <row r="3797" spans="1:51" hidden="1">
      <c r="A3797">
        <v>106570</v>
      </c>
      <c r="B3797" t="s">
        <v>489</v>
      </c>
      <c r="C3797" t="str">
        <f t="shared" si="462"/>
        <v>01617610629</v>
      </c>
      <c r="D3797" t="str">
        <f t="shared" si="462"/>
        <v>01617610629</v>
      </c>
      <c r="E3797" t="s">
        <v>52</v>
      </c>
      <c r="F3797">
        <v>2015</v>
      </c>
      <c r="G3797" t="str">
        <f>"        2015    68/a"</f>
        <v xml:space="preserve">        2015    68/a</v>
      </c>
      <c r="H3797" s="3">
        <v>42277</v>
      </c>
      <c r="I3797" s="3">
        <v>42278</v>
      </c>
      <c r="J3797" s="3">
        <v>42278</v>
      </c>
      <c r="K3797" s="3">
        <v>42338</v>
      </c>
      <c r="L3797"/>
      <c r="N3797"/>
      <c r="O3797">
        <v>250</v>
      </c>
      <c r="P3797">
        <v>65</v>
      </c>
      <c r="Q3797" s="4">
        <v>16250</v>
      </c>
      <c r="R3797">
        <v>55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  <c r="AB3797" s="3">
        <v>42562</v>
      </c>
      <c r="AC3797" t="s">
        <v>53</v>
      </c>
      <c r="AD3797" t="s">
        <v>53</v>
      </c>
      <c r="AK3797">
        <v>55</v>
      </c>
      <c r="AU3797" s="3">
        <v>42403</v>
      </c>
      <c r="AV3797" s="3">
        <v>42403</v>
      </c>
      <c r="AW3797" t="s">
        <v>54</v>
      </c>
      <c r="AX3797" t="str">
        <f t="shared" si="461"/>
        <v>FOR</v>
      </c>
      <c r="AY3797" t="s">
        <v>55</v>
      </c>
    </row>
    <row r="3798" spans="1:51" hidden="1">
      <c r="A3798">
        <v>106570</v>
      </c>
      <c r="B3798" t="s">
        <v>489</v>
      </c>
      <c r="C3798" t="str">
        <f t="shared" si="462"/>
        <v>01617610629</v>
      </c>
      <c r="D3798" t="str">
        <f t="shared" si="462"/>
        <v>01617610629</v>
      </c>
      <c r="E3798" t="s">
        <v>52</v>
      </c>
      <c r="F3798">
        <v>2015</v>
      </c>
      <c r="G3798" t="str">
        <f>"        2015    76/a"</f>
        <v xml:space="preserve">        2015    76/a</v>
      </c>
      <c r="H3798" s="3">
        <v>42310</v>
      </c>
      <c r="I3798" s="3">
        <v>42312</v>
      </c>
      <c r="J3798" s="3">
        <v>42310</v>
      </c>
      <c r="K3798" s="3">
        <v>42370</v>
      </c>
      <c r="L3798"/>
      <c r="N3798"/>
      <c r="O3798">
        <v>570</v>
      </c>
      <c r="P3798">
        <v>33</v>
      </c>
      <c r="Q3798" s="4">
        <v>18810</v>
      </c>
      <c r="R3798">
        <v>125.4</v>
      </c>
      <c r="V3798">
        <v>0</v>
      </c>
      <c r="W3798">
        <v>0</v>
      </c>
      <c r="X3798">
        <v>0</v>
      </c>
      <c r="Y3798">
        <v>0</v>
      </c>
      <c r="Z3798">
        <v>0</v>
      </c>
      <c r="AA3798">
        <v>0</v>
      </c>
      <c r="AB3798" s="3">
        <v>42562</v>
      </c>
      <c r="AC3798" t="s">
        <v>53</v>
      </c>
      <c r="AD3798" t="s">
        <v>53</v>
      </c>
      <c r="AJ3798">
        <v>125.4</v>
      </c>
      <c r="AK3798">
        <v>0</v>
      </c>
      <c r="AU3798" s="3">
        <v>42403</v>
      </c>
      <c r="AV3798" s="3">
        <v>42403</v>
      </c>
      <c r="AW3798" t="s">
        <v>54</v>
      </c>
      <c r="AX3798" t="str">
        <f t="shared" si="461"/>
        <v>FOR</v>
      </c>
      <c r="AY3798" t="s">
        <v>55</v>
      </c>
    </row>
    <row r="3799" spans="1:51" hidden="1">
      <c r="A3799">
        <v>106570</v>
      </c>
      <c r="B3799" t="s">
        <v>489</v>
      </c>
      <c r="C3799" t="str">
        <f t="shared" si="462"/>
        <v>01617610629</v>
      </c>
      <c r="D3799" t="str">
        <f t="shared" si="462"/>
        <v>01617610629</v>
      </c>
      <c r="E3799" t="s">
        <v>52</v>
      </c>
      <c r="F3799">
        <v>2015</v>
      </c>
      <c r="G3799" t="str">
        <f>"        2015    77/a"</f>
        <v xml:space="preserve">        2015    77/a</v>
      </c>
      <c r="H3799" s="3">
        <v>42310</v>
      </c>
      <c r="I3799" s="3">
        <v>42312</v>
      </c>
      <c r="J3799" s="3">
        <v>42310</v>
      </c>
      <c r="K3799" s="3">
        <v>42370</v>
      </c>
      <c r="L3799"/>
      <c r="N3799"/>
      <c r="O3799">
        <v>230</v>
      </c>
      <c r="P3799">
        <v>33</v>
      </c>
      <c r="Q3799" s="4">
        <v>7590</v>
      </c>
      <c r="R3799">
        <v>50.6</v>
      </c>
      <c r="V3799">
        <v>0</v>
      </c>
      <c r="W3799">
        <v>0</v>
      </c>
      <c r="X3799">
        <v>0</v>
      </c>
      <c r="Y3799">
        <v>0</v>
      </c>
      <c r="Z3799">
        <v>0</v>
      </c>
      <c r="AA3799">
        <v>0</v>
      </c>
      <c r="AB3799" s="3">
        <v>42562</v>
      </c>
      <c r="AC3799" t="s">
        <v>53</v>
      </c>
      <c r="AD3799" t="s">
        <v>53</v>
      </c>
      <c r="AJ3799">
        <v>50.6</v>
      </c>
      <c r="AK3799">
        <v>0</v>
      </c>
      <c r="AU3799" s="3">
        <v>42403</v>
      </c>
      <c r="AV3799" s="3">
        <v>42403</v>
      </c>
      <c r="AW3799" t="s">
        <v>54</v>
      </c>
      <c r="AX3799" t="str">
        <f t="shared" si="461"/>
        <v>FOR</v>
      </c>
      <c r="AY3799" t="s">
        <v>55</v>
      </c>
    </row>
    <row r="3800" spans="1:51" hidden="1">
      <c r="A3800">
        <v>106570</v>
      </c>
      <c r="B3800" t="s">
        <v>489</v>
      </c>
      <c r="C3800" t="str">
        <f t="shared" si="462"/>
        <v>01617610629</v>
      </c>
      <c r="D3800" t="str">
        <f t="shared" si="462"/>
        <v>01617610629</v>
      </c>
      <c r="E3800" t="s">
        <v>52</v>
      </c>
      <c r="F3800">
        <v>2015</v>
      </c>
      <c r="G3800" t="str">
        <f>"        2015    78/a"</f>
        <v xml:space="preserve">        2015    78/a</v>
      </c>
      <c r="H3800" s="3">
        <v>42310</v>
      </c>
      <c r="I3800" s="3">
        <v>42312</v>
      </c>
      <c r="J3800" s="3">
        <v>42310</v>
      </c>
      <c r="K3800" s="3">
        <v>42370</v>
      </c>
      <c r="L3800"/>
      <c r="N3800"/>
      <c r="O3800">
        <v>39</v>
      </c>
      <c r="P3800">
        <v>33</v>
      </c>
      <c r="Q3800" s="4">
        <v>1287</v>
      </c>
      <c r="R3800">
        <v>8.58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 s="3">
        <v>42562</v>
      </c>
      <c r="AC3800" t="s">
        <v>53</v>
      </c>
      <c r="AD3800" t="s">
        <v>53</v>
      </c>
      <c r="AJ3800">
        <v>8.58</v>
      </c>
      <c r="AK3800">
        <v>0</v>
      </c>
      <c r="AU3800" s="3">
        <v>42403</v>
      </c>
      <c r="AV3800" s="3">
        <v>42403</v>
      </c>
      <c r="AW3800" t="s">
        <v>54</v>
      </c>
      <c r="AX3800" t="str">
        <f t="shared" si="461"/>
        <v>FOR</v>
      </c>
      <c r="AY3800" t="s">
        <v>55</v>
      </c>
    </row>
    <row r="3801" spans="1:51" hidden="1">
      <c r="A3801">
        <v>106570</v>
      </c>
      <c r="B3801" t="s">
        <v>489</v>
      </c>
      <c r="C3801" t="str">
        <f t="shared" si="462"/>
        <v>01617610629</v>
      </c>
      <c r="D3801" t="str">
        <f t="shared" si="462"/>
        <v>01617610629</v>
      </c>
      <c r="E3801" t="s">
        <v>52</v>
      </c>
      <c r="F3801">
        <v>2015</v>
      </c>
      <c r="G3801" t="str">
        <f>"        2015    82/a"</f>
        <v xml:space="preserve">        2015    82/a</v>
      </c>
      <c r="H3801" s="3">
        <v>42332</v>
      </c>
      <c r="I3801" s="3">
        <v>42333</v>
      </c>
      <c r="J3801" s="3">
        <v>42332</v>
      </c>
      <c r="K3801" s="3">
        <v>42392</v>
      </c>
      <c r="L3801"/>
      <c r="N3801"/>
      <c r="O3801">
        <v>600</v>
      </c>
      <c r="P3801">
        <v>11</v>
      </c>
      <c r="Q3801" s="4">
        <v>6600</v>
      </c>
      <c r="R3801">
        <v>132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 s="3">
        <v>42562</v>
      </c>
      <c r="AC3801" t="s">
        <v>53</v>
      </c>
      <c r="AD3801" t="s">
        <v>53</v>
      </c>
      <c r="AJ3801">
        <v>132</v>
      </c>
      <c r="AK3801">
        <v>0</v>
      </c>
      <c r="AU3801" s="3">
        <v>42403</v>
      </c>
      <c r="AV3801" s="3">
        <v>42403</v>
      </c>
      <c r="AW3801" t="s">
        <v>54</v>
      </c>
      <c r="AX3801" t="str">
        <f t="shared" si="461"/>
        <v>FOR</v>
      </c>
      <c r="AY3801" t="s">
        <v>55</v>
      </c>
    </row>
    <row r="3802" spans="1:51" hidden="1">
      <c r="A3802">
        <v>106570</v>
      </c>
      <c r="B3802" t="s">
        <v>489</v>
      </c>
      <c r="C3802" t="str">
        <f t="shared" si="462"/>
        <v>01617610629</v>
      </c>
      <c r="D3802" t="str">
        <f t="shared" si="462"/>
        <v>01617610629</v>
      </c>
      <c r="E3802" t="s">
        <v>52</v>
      </c>
      <c r="F3802">
        <v>2015</v>
      </c>
      <c r="G3802" t="str">
        <f>"        2015    83/a"</f>
        <v xml:space="preserve">        2015    83/a</v>
      </c>
      <c r="H3802" s="3">
        <v>42332</v>
      </c>
      <c r="I3802" s="3">
        <v>42333</v>
      </c>
      <c r="J3802" s="3">
        <v>42332</v>
      </c>
      <c r="K3802" s="3">
        <v>42392</v>
      </c>
      <c r="L3802"/>
      <c r="N3802"/>
      <c r="O3802">
        <v>130</v>
      </c>
      <c r="P3802">
        <v>11</v>
      </c>
      <c r="Q3802" s="4">
        <v>1430</v>
      </c>
      <c r="R3802">
        <v>28.6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 s="3">
        <v>42562</v>
      </c>
      <c r="AC3802" t="s">
        <v>53</v>
      </c>
      <c r="AD3802" t="s">
        <v>53</v>
      </c>
      <c r="AJ3802">
        <v>28.6</v>
      </c>
      <c r="AK3802">
        <v>0</v>
      </c>
      <c r="AU3802" s="3">
        <v>42403</v>
      </c>
      <c r="AV3802" s="3">
        <v>42403</v>
      </c>
      <c r="AW3802" t="s">
        <v>54</v>
      </c>
      <c r="AX3802" t="str">
        <f t="shared" si="461"/>
        <v>FOR</v>
      </c>
      <c r="AY3802" t="s">
        <v>55</v>
      </c>
    </row>
    <row r="3803" spans="1:51" hidden="1">
      <c r="A3803">
        <v>106570</v>
      </c>
      <c r="B3803" t="s">
        <v>489</v>
      </c>
      <c r="C3803" t="str">
        <f t="shared" si="462"/>
        <v>01617610629</v>
      </c>
      <c r="D3803" t="str">
        <f t="shared" si="462"/>
        <v>01617610629</v>
      </c>
      <c r="E3803" t="s">
        <v>52</v>
      </c>
      <c r="F3803">
        <v>2015</v>
      </c>
      <c r="G3803" t="str">
        <f>"        2015    84/a"</f>
        <v xml:space="preserve">        2015    84/a</v>
      </c>
      <c r="H3803" s="3">
        <v>42332</v>
      </c>
      <c r="I3803" s="3">
        <v>42333</v>
      </c>
      <c r="J3803" s="3">
        <v>42332</v>
      </c>
      <c r="K3803" s="3">
        <v>42392</v>
      </c>
      <c r="L3803"/>
      <c r="N3803"/>
      <c r="O3803">
        <v>35</v>
      </c>
      <c r="P3803">
        <v>11</v>
      </c>
      <c r="Q3803">
        <v>385</v>
      </c>
      <c r="R3803">
        <v>7.7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 s="3">
        <v>42562</v>
      </c>
      <c r="AC3803" t="s">
        <v>53</v>
      </c>
      <c r="AD3803" t="s">
        <v>53</v>
      </c>
      <c r="AJ3803">
        <v>7.7</v>
      </c>
      <c r="AK3803">
        <v>0</v>
      </c>
      <c r="AU3803" s="3">
        <v>42403</v>
      </c>
      <c r="AV3803" s="3">
        <v>42403</v>
      </c>
      <c r="AW3803" t="s">
        <v>54</v>
      </c>
      <c r="AX3803" t="str">
        <f t="shared" si="461"/>
        <v>FOR</v>
      </c>
      <c r="AY3803" t="s">
        <v>55</v>
      </c>
    </row>
    <row r="3804" spans="1:51" hidden="1">
      <c r="A3804">
        <v>106570</v>
      </c>
      <c r="B3804" t="s">
        <v>489</v>
      </c>
      <c r="C3804" t="str">
        <f t="shared" si="462"/>
        <v>01617610629</v>
      </c>
      <c r="D3804" t="str">
        <f t="shared" si="462"/>
        <v>01617610629</v>
      </c>
      <c r="E3804" t="s">
        <v>52</v>
      </c>
      <c r="F3804">
        <v>2015</v>
      </c>
      <c r="G3804" t="str">
        <f>"        2015    85/a"</f>
        <v xml:space="preserve">        2015    85/a</v>
      </c>
      <c r="H3804" s="3">
        <v>42332</v>
      </c>
      <c r="I3804" s="3">
        <v>42333</v>
      </c>
      <c r="J3804" s="3">
        <v>42332</v>
      </c>
      <c r="K3804" s="3">
        <v>42392</v>
      </c>
      <c r="L3804"/>
      <c r="N3804"/>
      <c r="O3804">
        <v>90</v>
      </c>
      <c r="P3804">
        <v>11</v>
      </c>
      <c r="Q3804">
        <v>990</v>
      </c>
      <c r="R3804">
        <v>19.8</v>
      </c>
      <c r="V3804">
        <v>0</v>
      </c>
      <c r="W3804">
        <v>0</v>
      </c>
      <c r="X3804">
        <v>0</v>
      </c>
      <c r="Y3804">
        <v>0</v>
      </c>
      <c r="Z3804">
        <v>0</v>
      </c>
      <c r="AA3804">
        <v>0</v>
      </c>
      <c r="AB3804" s="3">
        <v>42562</v>
      </c>
      <c r="AC3804" t="s">
        <v>53</v>
      </c>
      <c r="AD3804" t="s">
        <v>53</v>
      </c>
      <c r="AJ3804">
        <v>19.8</v>
      </c>
      <c r="AK3804">
        <v>0</v>
      </c>
      <c r="AU3804" s="3">
        <v>42403</v>
      </c>
      <c r="AV3804" s="3">
        <v>42403</v>
      </c>
      <c r="AW3804" t="s">
        <v>54</v>
      </c>
      <c r="AX3804" t="str">
        <f t="shared" si="461"/>
        <v>FOR</v>
      </c>
      <c r="AY3804" t="s">
        <v>55</v>
      </c>
    </row>
    <row r="3805" spans="1:51" hidden="1">
      <c r="A3805">
        <v>106570</v>
      </c>
      <c r="B3805" t="s">
        <v>489</v>
      </c>
      <c r="C3805" t="str">
        <f t="shared" si="462"/>
        <v>01617610629</v>
      </c>
      <c r="D3805" t="str">
        <f t="shared" si="462"/>
        <v>01617610629</v>
      </c>
      <c r="E3805" t="s">
        <v>52</v>
      </c>
      <c r="F3805">
        <v>2015</v>
      </c>
      <c r="G3805" t="str">
        <f>"        2015    86/a"</f>
        <v xml:space="preserve">        2015    86/a</v>
      </c>
      <c r="H3805" s="3">
        <v>42332</v>
      </c>
      <c r="I3805" s="3">
        <v>42333</v>
      </c>
      <c r="J3805" s="3">
        <v>42332</v>
      </c>
      <c r="K3805" s="3">
        <v>42392</v>
      </c>
      <c r="L3805"/>
      <c r="N3805"/>
      <c r="O3805">
        <v>340</v>
      </c>
      <c r="P3805">
        <v>11</v>
      </c>
      <c r="Q3805" s="4">
        <v>3740</v>
      </c>
      <c r="R3805">
        <v>74.8</v>
      </c>
      <c r="V3805">
        <v>0</v>
      </c>
      <c r="W3805">
        <v>0</v>
      </c>
      <c r="X3805">
        <v>0</v>
      </c>
      <c r="Y3805">
        <v>0</v>
      </c>
      <c r="Z3805">
        <v>0</v>
      </c>
      <c r="AA3805">
        <v>0</v>
      </c>
      <c r="AB3805" s="3">
        <v>42562</v>
      </c>
      <c r="AC3805" t="s">
        <v>53</v>
      </c>
      <c r="AD3805" t="s">
        <v>53</v>
      </c>
      <c r="AJ3805">
        <v>74.8</v>
      </c>
      <c r="AK3805">
        <v>0</v>
      </c>
      <c r="AU3805" s="3">
        <v>42403</v>
      </c>
      <c r="AV3805" s="3">
        <v>42403</v>
      </c>
      <c r="AW3805" t="s">
        <v>54</v>
      </c>
      <c r="AX3805" t="str">
        <f t="shared" si="461"/>
        <v>FOR</v>
      </c>
      <c r="AY3805" t="s">
        <v>55</v>
      </c>
    </row>
    <row r="3806" spans="1:51" hidden="1">
      <c r="A3806">
        <v>106570</v>
      </c>
      <c r="B3806" t="s">
        <v>489</v>
      </c>
      <c r="C3806" t="str">
        <f t="shared" si="462"/>
        <v>01617610629</v>
      </c>
      <c r="D3806" t="str">
        <f t="shared" si="462"/>
        <v>01617610629</v>
      </c>
      <c r="E3806" t="s">
        <v>52</v>
      </c>
      <c r="F3806">
        <v>2015</v>
      </c>
      <c r="G3806" t="str">
        <f>"        2015    87/a"</f>
        <v xml:space="preserve">        2015    87/a</v>
      </c>
      <c r="H3806" s="3">
        <v>42332</v>
      </c>
      <c r="I3806" s="3">
        <v>42333</v>
      </c>
      <c r="J3806" s="3">
        <v>42332</v>
      </c>
      <c r="K3806" s="3">
        <v>42392</v>
      </c>
      <c r="L3806"/>
      <c r="N3806"/>
      <c r="O3806">
        <v>50</v>
      </c>
      <c r="P3806">
        <v>11</v>
      </c>
      <c r="Q3806">
        <v>550</v>
      </c>
      <c r="R3806">
        <v>11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 s="3">
        <v>42562</v>
      </c>
      <c r="AC3806" t="s">
        <v>53</v>
      </c>
      <c r="AD3806" t="s">
        <v>53</v>
      </c>
      <c r="AJ3806">
        <v>11</v>
      </c>
      <c r="AK3806">
        <v>0</v>
      </c>
      <c r="AU3806" s="3">
        <v>42403</v>
      </c>
      <c r="AV3806" s="3">
        <v>42403</v>
      </c>
      <c r="AW3806" t="s">
        <v>54</v>
      </c>
      <c r="AX3806" t="str">
        <f t="shared" si="461"/>
        <v>FOR</v>
      </c>
      <c r="AY3806" t="s">
        <v>55</v>
      </c>
    </row>
    <row r="3807" spans="1:51" hidden="1">
      <c r="A3807">
        <v>106570</v>
      </c>
      <c r="B3807" t="s">
        <v>489</v>
      </c>
      <c r="C3807" t="str">
        <f t="shared" ref="C3807:D3822" si="463">"01617610629"</f>
        <v>01617610629</v>
      </c>
      <c r="D3807" t="str">
        <f t="shared" si="463"/>
        <v>01617610629</v>
      </c>
      <c r="E3807" t="s">
        <v>52</v>
      </c>
      <c r="F3807">
        <v>2015</v>
      </c>
      <c r="G3807" t="str">
        <f>"        2015    88/a"</f>
        <v xml:space="preserve">        2015    88/a</v>
      </c>
      <c r="H3807" s="3">
        <v>42332</v>
      </c>
      <c r="I3807" s="3">
        <v>42333</v>
      </c>
      <c r="J3807" s="3">
        <v>42332</v>
      </c>
      <c r="K3807" s="3">
        <v>42392</v>
      </c>
      <c r="L3807"/>
      <c r="N3807"/>
      <c r="O3807">
        <v>260</v>
      </c>
      <c r="P3807">
        <v>11</v>
      </c>
      <c r="Q3807" s="4">
        <v>2860</v>
      </c>
      <c r="R3807">
        <v>57.2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  <c r="AB3807" s="3">
        <v>42562</v>
      </c>
      <c r="AC3807" t="s">
        <v>53</v>
      </c>
      <c r="AD3807" t="s">
        <v>53</v>
      </c>
      <c r="AJ3807">
        <v>57.2</v>
      </c>
      <c r="AK3807">
        <v>0</v>
      </c>
      <c r="AU3807" s="3">
        <v>42403</v>
      </c>
      <c r="AV3807" s="3">
        <v>42403</v>
      </c>
      <c r="AW3807" t="s">
        <v>54</v>
      </c>
      <c r="AX3807" t="str">
        <f t="shared" si="461"/>
        <v>FOR</v>
      </c>
      <c r="AY3807" t="s">
        <v>55</v>
      </c>
    </row>
    <row r="3808" spans="1:51" hidden="1">
      <c r="A3808">
        <v>106570</v>
      </c>
      <c r="B3808" t="s">
        <v>489</v>
      </c>
      <c r="C3808" t="str">
        <f t="shared" si="463"/>
        <v>01617610629</v>
      </c>
      <c r="D3808" t="str">
        <f t="shared" si="463"/>
        <v>01617610629</v>
      </c>
      <c r="E3808" t="s">
        <v>52</v>
      </c>
      <c r="F3808">
        <v>2015</v>
      </c>
      <c r="G3808" t="str">
        <f>"        2015    89/a"</f>
        <v xml:space="preserve">        2015    89/a</v>
      </c>
      <c r="H3808" s="3">
        <v>42332</v>
      </c>
      <c r="I3808" s="3">
        <v>42333</v>
      </c>
      <c r="J3808" s="3">
        <v>42332</v>
      </c>
      <c r="K3808" s="3">
        <v>42392</v>
      </c>
      <c r="L3808"/>
      <c r="N3808"/>
      <c r="O3808">
        <v>120</v>
      </c>
      <c r="P3808">
        <v>11</v>
      </c>
      <c r="Q3808" s="4">
        <v>1320</v>
      </c>
      <c r="R3808">
        <v>26.4</v>
      </c>
      <c r="V3808">
        <v>0</v>
      </c>
      <c r="W3808">
        <v>0</v>
      </c>
      <c r="X3808">
        <v>0</v>
      </c>
      <c r="Y3808">
        <v>0</v>
      </c>
      <c r="Z3808">
        <v>0</v>
      </c>
      <c r="AA3808">
        <v>0</v>
      </c>
      <c r="AB3808" s="3">
        <v>42562</v>
      </c>
      <c r="AC3808" t="s">
        <v>53</v>
      </c>
      <c r="AD3808" t="s">
        <v>53</v>
      </c>
      <c r="AJ3808">
        <v>26.4</v>
      </c>
      <c r="AK3808">
        <v>0</v>
      </c>
      <c r="AU3808" s="3">
        <v>42403</v>
      </c>
      <c r="AV3808" s="3">
        <v>42403</v>
      </c>
      <c r="AW3808" t="s">
        <v>54</v>
      </c>
      <c r="AX3808" t="str">
        <f t="shared" si="461"/>
        <v>FOR</v>
      </c>
      <c r="AY3808" t="s">
        <v>55</v>
      </c>
    </row>
    <row r="3809" spans="1:51" hidden="1">
      <c r="A3809">
        <v>106570</v>
      </c>
      <c r="B3809" t="s">
        <v>489</v>
      </c>
      <c r="C3809" t="str">
        <f t="shared" si="463"/>
        <v>01617610629</v>
      </c>
      <c r="D3809" t="str">
        <f t="shared" si="463"/>
        <v>01617610629</v>
      </c>
      <c r="E3809" t="s">
        <v>52</v>
      </c>
      <c r="F3809">
        <v>2015</v>
      </c>
      <c r="G3809" t="str">
        <f>"        2015    90/a"</f>
        <v xml:space="preserve">        2015    90/a</v>
      </c>
      <c r="H3809" s="3">
        <v>42332</v>
      </c>
      <c r="I3809" s="3">
        <v>42333</v>
      </c>
      <c r="J3809" s="3">
        <v>42332</v>
      </c>
      <c r="K3809" s="3">
        <v>42392</v>
      </c>
      <c r="L3809"/>
      <c r="N3809"/>
      <c r="O3809">
        <v>87</v>
      </c>
      <c r="P3809">
        <v>11</v>
      </c>
      <c r="Q3809">
        <v>957</v>
      </c>
      <c r="R3809">
        <v>19.14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  <c r="AB3809" s="3">
        <v>42562</v>
      </c>
      <c r="AC3809" t="s">
        <v>53</v>
      </c>
      <c r="AD3809" t="s">
        <v>53</v>
      </c>
      <c r="AJ3809">
        <v>19.14</v>
      </c>
      <c r="AK3809">
        <v>0</v>
      </c>
      <c r="AU3809" s="3">
        <v>42403</v>
      </c>
      <c r="AV3809" s="3">
        <v>42403</v>
      </c>
      <c r="AW3809" t="s">
        <v>54</v>
      </c>
      <c r="AX3809" t="str">
        <f t="shared" si="461"/>
        <v>FOR</v>
      </c>
      <c r="AY3809" t="s">
        <v>55</v>
      </c>
    </row>
    <row r="3810" spans="1:51" hidden="1">
      <c r="A3810">
        <v>106570</v>
      </c>
      <c r="B3810" t="s">
        <v>489</v>
      </c>
      <c r="C3810" t="str">
        <f t="shared" si="463"/>
        <v>01617610629</v>
      </c>
      <c r="D3810" t="str">
        <f t="shared" si="463"/>
        <v>01617610629</v>
      </c>
      <c r="E3810" t="s">
        <v>52</v>
      </c>
      <c r="F3810">
        <v>2015</v>
      </c>
      <c r="G3810" t="str">
        <f>"        2015    91/a"</f>
        <v xml:space="preserve">        2015    91/a</v>
      </c>
      <c r="H3810" s="3">
        <v>42332</v>
      </c>
      <c r="I3810" s="3">
        <v>42333</v>
      </c>
      <c r="J3810" s="3">
        <v>42332</v>
      </c>
      <c r="K3810" s="3">
        <v>42392</v>
      </c>
      <c r="L3810"/>
      <c r="N3810"/>
      <c r="O3810">
        <v>192</v>
      </c>
      <c r="P3810">
        <v>11</v>
      </c>
      <c r="Q3810" s="4">
        <v>2112</v>
      </c>
      <c r="R3810">
        <v>42.24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  <c r="AB3810" s="3">
        <v>42562</v>
      </c>
      <c r="AC3810" t="s">
        <v>53</v>
      </c>
      <c r="AD3810" t="s">
        <v>53</v>
      </c>
      <c r="AJ3810">
        <v>42.24</v>
      </c>
      <c r="AK3810">
        <v>0</v>
      </c>
      <c r="AU3810" s="3">
        <v>42403</v>
      </c>
      <c r="AV3810" s="3">
        <v>42403</v>
      </c>
      <c r="AW3810" t="s">
        <v>54</v>
      </c>
      <c r="AX3810" t="str">
        <f t="shared" si="461"/>
        <v>FOR</v>
      </c>
      <c r="AY3810" t="s">
        <v>55</v>
      </c>
    </row>
    <row r="3811" spans="1:51" hidden="1">
      <c r="A3811">
        <v>106570</v>
      </c>
      <c r="B3811" t="s">
        <v>489</v>
      </c>
      <c r="C3811" t="str">
        <f t="shared" si="463"/>
        <v>01617610629</v>
      </c>
      <c r="D3811" t="str">
        <f t="shared" si="463"/>
        <v>01617610629</v>
      </c>
      <c r="E3811" t="s">
        <v>52</v>
      </c>
      <c r="F3811">
        <v>2015</v>
      </c>
      <c r="G3811" t="str">
        <f>"        2015    92/a"</f>
        <v xml:space="preserve">        2015    92/a</v>
      </c>
      <c r="H3811" s="3">
        <v>42332</v>
      </c>
      <c r="I3811" s="3">
        <v>42333</v>
      </c>
      <c r="J3811" s="3">
        <v>42332</v>
      </c>
      <c r="K3811" s="3">
        <v>42392</v>
      </c>
      <c r="L3811"/>
      <c r="N3811"/>
      <c r="O3811">
        <v>240</v>
      </c>
      <c r="P3811">
        <v>11</v>
      </c>
      <c r="Q3811" s="4">
        <v>2640</v>
      </c>
      <c r="R3811">
        <v>52.8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  <c r="AB3811" s="3">
        <v>42562</v>
      </c>
      <c r="AC3811" t="s">
        <v>53</v>
      </c>
      <c r="AD3811" t="s">
        <v>53</v>
      </c>
      <c r="AJ3811">
        <v>52.8</v>
      </c>
      <c r="AK3811">
        <v>0</v>
      </c>
      <c r="AU3811" s="3">
        <v>42403</v>
      </c>
      <c r="AV3811" s="3">
        <v>42403</v>
      </c>
      <c r="AW3811" t="s">
        <v>54</v>
      </c>
      <c r="AX3811" t="str">
        <f t="shared" si="461"/>
        <v>FOR</v>
      </c>
      <c r="AY3811" t="s">
        <v>55</v>
      </c>
    </row>
    <row r="3812" spans="1:51" hidden="1">
      <c r="A3812">
        <v>106570</v>
      </c>
      <c r="B3812" t="s">
        <v>489</v>
      </c>
      <c r="C3812" t="str">
        <f t="shared" si="463"/>
        <v>01617610629</v>
      </c>
      <c r="D3812" t="str">
        <f t="shared" si="463"/>
        <v>01617610629</v>
      </c>
      <c r="E3812" t="s">
        <v>52</v>
      </c>
      <c r="F3812">
        <v>2015</v>
      </c>
      <c r="G3812" t="str">
        <f>"        2015    93/a"</f>
        <v xml:space="preserve">        2015    93/a</v>
      </c>
      <c r="H3812" s="3">
        <v>42332</v>
      </c>
      <c r="I3812" s="3">
        <v>42333</v>
      </c>
      <c r="J3812" s="3">
        <v>42332</v>
      </c>
      <c r="K3812" s="3">
        <v>42392</v>
      </c>
      <c r="L3812"/>
      <c r="N3812"/>
      <c r="O3812">
        <v>750</v>
      </c>
      <c r="P3812">
        <v>11</v>
      </c>
      <c r="Q3812" s="4">
        <v>8250</v>
      </c>
      <c r="R3812">
        <v>165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 s="3">
        <v>42562</v>
      </c>
      <c r="AC3812" t="s">
        <v>53</v>
      </c>
      <c r="AD3812" t="s">
        <v>53</v>
      </c>
      <c r="AJ3812">
        <v>165</v>
      </c>
      <c r="AK3812">
        <v>0</v>
      </c>
      <c r="AU3812" s="3">
        <v>42403</v>
      </c>
      <c r="AV3812" s="3">
        <v>42403</v>
      </c>
      <c r="AW3812" t="s">
        <v>54</v>
      </c>
      <c r="AX3812" t="str">
        <f t="shared" si="461"/>
        <v>FOR</v>
      </c>
      <c r="AY3812" t="s">
        <v>55</v>
      </c>
    </row>
    <row r="3813" spans="1:51" hidden="1">
      <c r="A3813">
        <v>106570</v>
      </c>
      <c r="B3813" t="s">
        <v>489</v>
      </c>
      <c r="C3813" t="str">
        <f t="shared" si="463"/>
        <v>01617610629</v>
      </c>
      <c r="D3813" t="str">
        <f t="shared" si="463"/>
        <v>01617610629</v>
      </c>
      <c r="E3813" t="s">
        <v>52</v>
      </c>
      <c r="F3813">
        <v>2015</v>
      </c>
      <c r="G3813" t="str">
        <f>"        2015    94/a"</f>
        <v xml:space="preserve">        2015    94/a</v>
      </c>
      <c r="H3813" s="3">
        <v>42332</v>
      </c>
      <c r="I3813" s="3">
        <v>42333</v>
      </c>
      <c r="J3813" s="3">
        <v>42332</v>
      </c>
      <c r="K3813" s="3">
        <v>42392</v>
      </c>
      <c r="L3813"/>
      <c r="N3813"/>
      <c r="O3813">
        <v>358.5</v>
      </c>
      <c r="P3813">
        <v>11</v>
      </c>
      <c r="Q3813" s="4">
        <v>3943.5</v>
      </c>
      <c r="R3813">
        <v>78.87</v>
      </c>
      <c r="V3813">
        <v>0</v>
      </c>
      <c r="W3813">
        <v>0</v>
      </c>
      <c r="X3813">
        <v>0</v>
      </c>
      <c r="Y3813">
        <v>0</v>
      </c>
      <c r="Z3813">
        <v>0</v>
      </c>
      <c r="AA3813">
        <v>0</v>
      </c>
      <c r="AB3813" s="3">
        <v>42562</v>
      </c>
      <c r="AC3813" t="s">
        <v>53</v>
      </c>
      <c r="AD3813" t="s">
        <v>53</v>
      </c>
      <c r="AJ3813">
        <v>78.87</v>
      </c>
      <c r="AK3813">
        <v>0</v>
      </c>
      <c r="AU3813" s="3">
        <v>42403</v>
      </c>
      <c r="AV3813" s="3">
        <v>42403</v>
      </c>
      <c r="AW3813" t="s">
        <v>54</v>
      </c>
      <c r="AX3813" t="str">
        <f t="shared" si="461"/>
        <v>FOR</v>
      </c>
      <c r="AY3813" t="s">
        <v>55</v>
      </c>
    </row>
    <row r="3814" spans="1:51" hidden="1">
      <c r="A3814">
        <v>106570</v>
      </c>
      <c r="B3814" t="s">
        <v>489</v>
      </c>
      <c r="C3814" t="str">
        <f t="shared" si="463"/>
        <v>01617610629</v>
      </c>
      <c r="D3814" t="str">
        <f t="shared" si="463"/>
        <v>01617610629</v>
      </c>
      <c r="E3814" t="s">
        <v>52</v>
      </c>
      <c r="F3814">
        <v>2015</v>
      </c>
      <c r="G3814" t="str">
        <f>"        2015    96/a"</f>
        <v xml:space="preserve">        2015    96/a</v>
      </c>
      <c r="H3814" s="3">
        <v>42335</v>
      </c>
      <c r="I3814" s="3">
        <v>42338</v>
      </c>
      <c r="J3814" s="3">
        <v>42335</v>
      </c>
      <c r="K3814" s="3">
        <v>42395</v>
      </c>
      <c r="L3814"/>
      <c r="N3814"/>
      <c r="O3814">
        <v>39</v>
      </c>
      <c r="P3814">
        <v>8</v>
      </c>
      <c r="Q3814">
        <v>312</v>
      </c>
      <c r="R3814">
        <v>8.58</v>
      </c>
      <c r="V3814">
        <v>0</v>
      </c>
      <c r="W3814">
        <v>0</v>
      </c>
      <c r="X3814">
        <v>0</v>
      </c>
      <c r="Y3814">
        <v>0</v>
      </c>
      <c r="Z3814">
        <v>0</v>
      </c>
      <c r="AA3814">
        <v>0</v>
      </c>
      <c r="AB3814" s="3">
        <v>42562</v>
      </c>
      <c r="AC3814" t="s">
        <v>53</v>
      </c>
      <c r="AD3814" t="s">
        <v>53</v>
      </c>
      <c r="AJ3814">
        <v>8.58</v>
      </c>
      <c r="AK3814">
        <v>0</v>
      </c>
      <c r="AU3814" s="3">
        <v>42403</v>
      </c>
      <c r="AV3814" s="3">
        <v>42403</v>
      </c>
      <c r="AW3814" t="s">
        <v>54</v>
      </c>
      <c r="AX3814" t="str">
        <f t="shared" si="461"/>
        <v>FOR</v>
      </c>
      <c r="AY3814" t="s">
        <v>55</v>
      </c>
    </row>
    <row r="3815" spans="1:51" hidden="1">
      <c r="A3815">
        <v>106570</v>
      </c>
      <c r="B3815" t="s">
        <v>489</v>
      </c>
      <c r="C3815" t="str">
        <f t="shared" si="463"/>
        <v>01617610629</v>
      </c>
      <c r="D3815" t="str">
        <f t="shared" si="463"/>
        <v>01617610629</v>
      </c>
      <c r="E3815" t="s">
        <v>52</v>
      </c>
      <c r="F3815">
        <v>2015</v>
      </c>
      <c r="G3815" t="str">
        <f>"        2015    97/a"</f>
        <v xml:space="preserve">        2015    97/a</v>
      </c>
      <c r="H3815" s="3">
        <v>42335</v>
      </c>
      <c r="I3815" s="3">
        <v>42338</v>
      </c>
      <c r="J3815" s="3">
        <v>42335</v>
      </c>
      <c r="K3815" s="3">
        <v>42395</v>
      </c>
      <c r="L3815"/>
      <c r="N3815"/>
      <c r="O3815">
        <v>39</v>
      </c>
      <c r="P3815">
        <v>8</v>
      </c>
      <c r="Q3815">
        <v>312</v>
      </c>
      <c r="R3815">
        <v>8.58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  <c r="AB3815" s="3">
        <v>42562</v>
      </c>
      <c r="AC3815" t="s">
        <v>53</v>
      </c>
      <c r="AD3815" t="s">
        <v>53</v>
      </c>
      <c r="AJ3815">
        <v>8.58</v>
      </c>
      <c r="AK3815">
        <v>0</v>
      </c>
      <c r="AU3815" s="3">
        <v>42403</v>
      </c>
      <c r="AV3815" s="3">
        <v>42403</v>
      </c>
      <c r="AW3815" t="s">
        <v>54</v>
      </c>
      <c r="AX3815" t="str">
        <f t="shared" ref="AX3815:AX3837" si="464">"FOR"</f>
        <v>FOR</v>
      </c>
      <c r="AY3815" t="s">
        <v>55</v>
      </c>
    </row>
    <row r="3816" spans="1:51" hidden="1">
      <c r="A3816">
        <v>106570</v>
      </c>
      <c r="B3816" t="s">
        <v>489</v>
      </c>
      <c r="C3816" t="str">
        <f t="shared" si="463"/>
        <v>01617610629</v>
      </c>
      <c r="D3816" t="str">
        <f t="shared" si="463"/>
        <v>01617610629</v>
      </c>
      <c r="E3816" t="s">
        <v>52</v>
      </c>
      <c r="F3816">
        <v>2015</v>
      </c>
      <c r="G3816" t="str">
        <f>"        2015    98/a"</f>
        <v xml:space="preserve">        2015    98/a</v>
      </c>
      <c r="H3816" s="3">
        <v>42335</v>
      </c>
      <c r="I3816" s="3">
        <v>42338</v>
      </c>
      <c r="J3816" s="3">
        <v>42335</v>
      </c>
      <c r="K3816" s="3">
        <v>42395</v>
      </c>
      <c r="L3816"/>
      <c r="N3816"/>
      <c r="O3816">
        <v>180</v>
      </c>
      <c r="P3816">
        <v>8</v>
      </c>
      <c r="Q3816" s="4">
        <v>1440</v>
      </c>
      <c r="R3816">
        <v>39.6</v>
      </c>
      <c r="V3816">
        <v>0</v>
      </c>
      <c r="W3816">
        <v>0</v>
      </c>
      <c r="X3816">
        <v>0</v>
      </c>
      <c r="Y3816">
        <v>0</v>
      </c>
      <c r="Z3816">
        <v>0</v>
      </c>
      <c r="AA3816">
        <v>0</v>
      </c>
      <c r="AB3816" s="3">
        <v>42562</v>
      </c>
      <c r="AC3816" t="s">
        <v>53</v>
      </c>
      <c r="AD3816" t="s">
        <v>53</v>
      </c>
      <c r="AJ3816">
        <v>39.6</v>
      </c>
      <c r="AK3816">
        <v>0</v>
      </c>
      <c r="AU3816" s="3">
        <v>42403</v>
      </c>
      <c r="AV3816" s="3">
        <v>42403</v>
      </c>
      <c r="AW3816" t="s">
        <v>54</v>
      </c>
      <c r="AX3816" t="str">
        <f t="shared" si="464"/>
        <v>FOR</v>
      </c>
      <c r="AY3816" t="s">
        <v>55</v>
      </c>
    </row>
    <row r="3817" spans="1:51" hidden="1">
      <c r="A3817">
        <v>106570</v>
      </c>
      <c r="B3817" t="s">
        <v>489</v>
      </c>
      <c r="C3817" t="str">
        <f t="shared" si="463"/>
        <v>01617610629</v>
      </c>
      <c r="D3817" t="str">
        <f t="shared" si="463"/>
        <v>01617610629</v>
      </c>
      <c r="E3817" t="s">
        <v>52</v>
      </c>
      <c r="F3817">
        <v>2015</v>
      </c>
      <c r="G3817" t="str">
        <f>"        2015   101/a"</f>
        <v xml:space="preserve">        2015   101/a</v>
      </c>
      <c r="H3817" s="3">
        <v>42341</v>
      </c>
      <c r="I3817" s="3">
        <v>42341</v>
      </c>
      <c r="J3817" s="3">
        <v>42341</v>
      </c>
      <c r="K3817" s="3">
        <v>42401</v>
      </c>
      <c r="L3817"/>
      <c r="N3817"/>
      <c r="O3817">
        <v>290</v>
      </c>
      <c r="P3817">
        <v>2</v>
      </c>
      <c r="Q3817">
        <v>580</v>
      </c>
      <c r="R3817">
        <v>63.8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 s="3">
        <v>42562</v>
      </c>
      <c r="AC3817" t="s">
        <v>53</v>
      </c>
      <c r="AD3817" t="s">
        <v>53</v>
      </c>
      <c r="AI3817">
        <v>63.8</v>
      </c>
      <c r="AK3817">
        <v>0</v>
      </c>
      <c r="AU3817" s="3">
        <v>42403</v>
      </c>
      <c r="AV3817" s="3">
        <v>42403</v>
      </c>
      <c r="AW3817" t="s">
        <v>54</v>
      </c>
      <c r="AX3817" t="str">
        <f t="shared" si="464"/>
        <v>FOR</v>
      </c>
      <c r="AY3817" t="s">
        <v>55</v>
      </c>
    </row>
    <row r="3818" spans="1:51" hidden="1">
      <c r="A3818">
        <v>106570</v>
      </c>
      <c r="B3818" t="s">
        <v>489</v>
      </c>
      <c r="C3818" t="str">
        <f t="shared" si="463"/>
        <v>01617610629</v>
      </c>
      <c r="D3818" t="str">
        <f t="shared" si="463"/>
        <v>01617610629</v>
      </c>
      <c r="E3818" t="s">
        <v>52</v>
      </c>
      <c r="F3818">
        <v>2015</v>
      </c>
      <c r="G3818" t="str">
        <f>"        2015   102/a"</f>
        <v xml:space="preserve">        2015   102/a</v>
      </c>
      <c r="H3818" s="3">
        <v>42341</v>
      </c>
      <c r="I3818" s="3">
        <v>42341</v>
      </c>
      <c r="J3818" s="3">
        <v>42341</v>
      </c>
      <c r="K3818" s="3">
        <v>42401</v>
      </c>
      <c r="L3818"/>
      <c r="N3818"/>
      <c r="O3818">
        <v>180</v>
      </c>
      <c r="P3818">
        <v>2</v>
      </c>
      <c r="Q3818">
        <v>360</v>
      </c>
      <c r="R3818">
        <v>39.6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  <c r="AB3818" s="3">
        <v>42562</v>
      </c>
      <c r="AC3818" t="s">
        <v>53</v>
      </c>
      <c r="AD3818" t="s">
        <v>53</v>
      </c>
      <c r="AI3818">
        <v>39.6</v>
      </c>
      <c r="AK3818">
        <v>0</v>
      </c>
      <c r="AU3818" s="3">
        <v>42403</v>
      </c>
      <c r="AV3818" s="3">
        <v>42403</v>
      </c>
      <c r="AW3818" t="s">
        <v>54</v>
      </c>
      <c r="AX3818" t="str">
        <f t="shared" si="464"/>
        <v>FOR</v>
      </c>
      <c r="AY3818" t="s">
        <v>55</v>
      </c>
    </row>
    <row r="3819" spans="1:51" hidden="1">
      <c r="A3819">
        <v>106570</v>
      </c>
      <c r="B3819" t="s">
        <v>489</v>
      </c>
      <c r="C3819" t="str">
        <f t="shared" si="463"/>
        <v>01617610629</v>
      </c>
      <c r="D3819" t="str">
        <f t="shared" si="463"/>
        <v>01617610629</v>
      </c>
      <c r="E3819" t="s">
        <v>52</v>
      </c>
      <c r="F3819">
        <v>2015</v>
      </c>
      <c r="G3819" t="str">
        <f>"        2015   103/a"</f>
        <v xml:space="preserve">        2015   103/a</v>
      </c>
      <c r="H3819" s="3">
        <v>42343</v>
      </c>
      <c r="I3819" s="3">
        <v>42345</v>
      </c>
      <c r="J3819" s="3">
        <v>42343</v>
      </c>
      <c r="K3819" s="3">
        <v>42403</v>
      </c>
      <c r="L3819"/>
      <c r="N3819"/>
      <c r="O3819">
        <v>200</v>
      </c>
      <c r="Q3819">
        <v>0</v>
      </c>
      <c r="R3819">
        <v>44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 s="3">
        <v>42562</v>
      </c>
      <c r="AC3819" t="s">
        <v>53</v>
      </c>
      <c r="AD3819" t="s">
        <v>53</v>
      </c>
      <c r="AI3819">
        <v>44</v>
      </c>
      <c r="AK3819">
        <v>0</v>
      </c>
      <c r="AU3819" s="3">
        <v>42403</v>
      </c>
      <c r="AV3819" s="3">
        <v>42403</v>
      </c>
      <c r="AW3819" t="s">
        <v>54</v>
      </c>
      <c r="AX3819" t="str">
        <f t="shared" si="464"/>
        <v>FOR</v>
      </c>
      <c r="AY3819" t="s">
        <v>55</v>
      </c>
    </row>
    <row r="3820" spans="1:51" hidden="1">
      <c r="A3820">
        <v>106570</v>
      </c>
      <c r="B3820" t="s">
        <v>489</v>
      </c>
      <c r="C3820" t="str">
        <f t="shared" si="463"/>
        <v>01617610629</v>
      </c>
      <c r="D3820" t="str">
        <f t="shared" si="463"/>
        <v>01617610629</v>
      </c>
      <c r="E3820" t="s">
        <v>52</v>
      </c>
      <c r="F3820">
        <v>2015</v>
      </c>
      <c r="G3820" t="str">
        <f>"        2015   105/a"</f>
        <v xml:space="preserve">        2015   105/a</v>
      </c>
      <c r="H3820" s="3">
        <v>42349</v>
      </c>
      <c r="I3820" s="3">
        <v>42352</v>
      </c>
      <c r="J3820" s="3">
        <v>42349</v>
      </c>
      <c r="K3820" s="3">
        <v>42409</v>
      </c>
      <c r="L3820"/>
      <c r="N3820"/>
      <c r="O3820">
        <v>250</v>
      </c>
      <c r="P3820">
        <v>-6</v>
      </c>
      <c r="Q3820" s="4">
        <v>-1500</v>
      </c>
      <c r="R3820">
        <v>55</v>
      </c>
      <c r="V3820">
        <v>0</v>
      </c>
      <c r="W3820">
        <v>0</v>
      </c>
      <c r="X3820">
        <v>0</v>
      </c>
      <c r="Y3820">
        <v>0</v>
      </c>
      <c r="Z3820">
        <v>0</v>
      </c>
      <c r="AA3820">
        <v>0</v>
      </c>
      <c r="AB3820" s="3">
        <v>42562</v>
      </c>
      <c r="AC3820" t="s">
        <v>53</v>
      </c>
      <c r="AD3820" t="s">
        <v>53</v>
      </c>
      <c r="AI3820">
        <v>55</v>
      </c>
      <c r="AK3820">
        <v>0</v>
      </c>
      <c r="AU3820" s="3">
        <v>42403</v>
      </c>
      <c r="AV3820" s="3">
        <v>42403</v>
      </c>
      <c r="AW3820" t="s">
        <v>54</v>
      </c>
      <c r="AX3820" t="str">
        <f t="shared" si="464"/>
        <v>FOR</v>
      </c>
      <c r="AY3820" t="s">
        <v>55</v>
      </c>
    </row>
    <row r="3821" spans="1:51" hidden="1">
      <c r="A3821">
        <v>106570</v>
      </c>
      <c r="B3821" t="s">
        <v>489</v>
      </c>
      <c r="C3821" t="str">
        <f t="shared" si="463"/>
        <v>01617610629</v>
      </c>
      <c r="D3821" t="str">
        <f t="shared" si="463"/>
        <v>01617610629</v>
      </c>
      <c r="E3821" t="s">
        <v>52</v>
      </c>
      <c r="F3821">
        <v>2015</v>
      </c>
      <c r="G3821" t="str">
        <f>"        2015   107/a"</f>
        <v xml:space="preserve">        2015   107/a</v>
      </c>
      <c r="H3821" s="3">
        <v>42359</v>
      </c>
      <c r="I3821" s="3">
        <v>42359</v>
      </c>
      <c r="J3821" s="3">
        <v>42359</v>
      </c>
      <c r="K3821" s="3">
        <v>42419</v>
      </c>
      <c r="L3821"/>
      <c r="N3821"/>
      <c r="O3821">
        <v>140</v>
      </c>
      <c r="P3821">
        <v>-16</v>
      </c>
      <c r="Q3821" s="4">
        <v>-2240</v>
      </c>
      <c r="R3821">
        <v>30.8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  <c r="AB3821" s="3">
        <v>42562</v>
      </c>
      <c r="AC3821" t="s">
        <v>53</v>
      </c>
      <c r="AD3821" t="s">
        <v>53</v>
      </c>
      <c r="AI3821">
        <v>30.8</v>
      </c>
      <c r="AK3821">
        <v>0</v>
      </c>
      <c r="AU3821" s="3">
        <v>42403</v>
      </c>
      <c r="AV3821" s="3">
        <v>42403</v>
      </c>
      <c r="AW3821" t="s">
        <v>54</v>
      </c>
      <c r="AX3821" t="str">
        <f t="shared" si="464"/>
        <v>FOR</v>
      </c>
      <c r="AY3821" t="s">
        <v>55</v>
      </c>
    </row>
    <row r="3822" spans="1:51" hidden="1">
      <c r="A3822">
        <v>106570</v>
      </c>
      <c r="B3822" t="s">
        <v>489</v>
      </c>
      <c r="C3822" t="str">
        <f t="shared" si="463"/>
        <v>01617610629</v>
      </c>
      <c r="D3822" t="str">
        <f t="shared" si="463"/>
        <v>01617610629</v>
      </c>
      <c r="E3822" t="s">
        <v>52</v>
      </c>
      <c r="F3822">
        <v>2015</v>
      </c>
      <c r="G3822" t="str">
        <f>"        2015   108/a"</f>
        <v xml:space="preserve">        2015   108/a</v>
      </c>
      <c r="H3822" s="3">
        <v>42360</v>
      </c>
      <c r="I3822" s="3">
        <v>42360</v>
      </c>
      <c r="J3822" s="3">
        <v>42360</v>
      </c>
      <c r="K3822" s="3">
        <v>42420</v>
      </c>
      <c r="L3822"/>
      <c r="N3822"/>
      <c r="O3822">
        <v>435</v>
      </c>
      <c r="P3822">
        <v>-17</v>
      </c>
      <c r="Q3822" s="4">
        <v>-7395</v>
      </c>
      <c r="R3822">
        <v>95.7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  <c r="AB3822" s="3">
        <v>42562</v>
      </c>
      <c r="AC3822" t="s">
        <v>53</v>
      </c>
      <c r="AD3822" t="s">
        <v>53</v>
      </c>
      <c r="AI3822">
        <v>95.7</v>
      </c>
      <c r="AK3822">
        <v>0</v>
      </c>
      <c r="AU3822" s="3">
        <v>42403</v>
      </c>
      <c r="AV3822" s="3">
        <v>42403</v>
      </c>
      <c r="AW3822" t="s">
        <v>54</v>
      </c>
      <c r="AX3822" t="str">
        <f t="shared" si="464"/>
        <v>FOR</v>
      </c>
      <c r="AY3822" t="s">
        <v>55</v>
      </c>
    </row>
    <row r="3823" spans="1:51">
      <c r="A3823">
        <v>106575</v>
      </c>
      <c r="B3823" t="s">
        <v>490</v>
      </c>
      <c r="C3823" t="str">
        <f>"01018460624"</f>
        <v>01018460624</v>
      </c>
      <c r="D3823" t="str">
        <f>"PSQCLD54C07A783D"</f>
        <v>PSQCLD54C07A783D</v>
      </c>
      <c r="E3823" t="s">
        <v>52</v>
      </c>
      <c r="F3823">
        <v>2016</v>
      </c>
      <c r="G3823" t="str">
        <f>"               22/pa"</f>
        <v xml:space="preserve">               22/pa</v>
      </c>
      <c r="H3823" s="3">
        <v>42450</v>
      </c>
      <c r="I3823" s="3">
        <v>42460</v>
      </c>
      <c r="J3823" s="3">
        <v>42450</v>
      </c>
      <c r="K3823" s="3">
        <v>42510</v>
      </c>
      <c r="L3823" s="5">
        <v>2606.61</v>
      </c>
      <c r="M3823">
        <v>18</v>
      </c>
      <c r="N3823" s="5">
        <v>46918.98</v>
      </c>
      <c r="O3823" s="4">
        <v>2606.61</v>
      </c>
      <c r="P3823">
        <v>18</v>
      </c>
      <c r="Q3823" s="4">
        <v>46918.98</v>
      </c>
      <c r="R3823">
        <v>573.45000000000005</v>
      </c>
      <c r="V3823">
        <v>0</v>
      </c>
      <c r="W3823">
        <v>0</v>
      </c>
      <c r="X3823">
        <v>0</v>
      </c>
      <c r="Y3823" s="4">
        <v>3180.06</v>
      </c>
      <c r="Z3823" s="4">
        <v>3180.06</v>
      </c>
      <c r="AA3823" s="4">
        <v>3180.06</v>
      </c>
      <c r="AB3823" s="3">
        <v>42562</v>
      </c>
      <c r="AC3823" t="s">
        <v>53</v>
      </c>
      <c r="AD3823" t="s">
        <v>53</v>
      </c>
      <c r="AF3823">
        <v>573.45000000000005</v>
      </c>
      <c r="AK3823">
        <v>0</v>
      </c>
      <c r="AU3823" s="3">
        <v>42528</v>
      </c>
      <c r="AV3823" s="3">
        <v>42528</v>
      </c>
      <c r="AW3823" t="s">
        <v>54</v>
      </c>
      <c r="AX3823" t="str">
        <f t="shared" si="464"/>
        <v>FOR</v>
      </c>
      <c r="AY3823" t="s">
        <v>55</v>
      </c>
    </row>
    <row r="3824" spans="1:51" hidden="1">
      <c r="A3824">
        <v>106576</v>
      </c>
      <c r="B3824" t="s">
        <v>491</v>
      </c>
      <c r="C3824" t="str">
        <f>"04829050964"</f>
        <v>04829050964</v>
      </c>
      <c r="D3824" t="str">
        <f>"04829050964"</f>
        <v>04829050964</v>
      </c>
      <c r="E3824" t="s">
        <v>52</v>
      </c>
      <c r="F3824">
        <v>2015</v>
      </c>
      <c r="G3824" t="str">
        <f>"          000022    "</f>
        <v xml:space="preserve">          000022    </v>
      </c>
      <c r="H3824" s="3">
        <v>42137</v>
      </c>
      <c r="I3824" s="3">
        <v>42163</v>
      </c>
      <c r="J3824" s="3">
        <v>42149</v>
      </c>
      <c r="K3824" s="3">
        <v>42209</v>
      </c>
      <c r="L3824"/>
      <c r="N3824"/>
      <c r="O3824">
        <v>222</v>
      </c>
      <c r="P3824">
        <v>243</v>
      </c>
      <c r="Q3824" s="4">
        <v>53946</v>
      </c>
      <c r="R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  <c r="AB3824" s="3">
        <v>42562</v>
      </c>
      <c r="AC3824" t="s">
        <v>53</v>
      </c>
      <c r="AD3824" t="s">
        <v>53</v>
      </c>
      <c r="AK3824">
        <v>0</v>
      </c>
      <c r="AU3824" s="3">
        <v>42452</v>
      </c>
      <c r="AV3824" s="3">
        <v>42452</v>
      </c>
      <c r="AW3824" t="s">
        <v>54</v>
      </c>
      <c r="AX3824" t="str">
        <f t="shared" si="464"/>
        <v>FOR</v>
      </c>
      <c r="AY3824" t="s">
        <v>55</v>
      </c>
    </row>
    <row r="3825" spans="1:51">
      <c r="A3825">
        <v>106578</v>
      </c>
      <c r="B3825" t="s">
        <v>492</v>
      </c>
      <c r="C3825" t="str">
        <f t="shared" ref="C3825:D3830" si="465">"02417881204"</f>
        <v>02417881204</v>
      </c>
      <c r="D3825" t="str">
        <f t="shared" si="465"/>
        <v>02417881204</v>
      </c>
      <c r="E3825" t="s">
        <v>52</v>
      </c>
      <c r="F3825">
        <v>2015</v>
      </c>
      <c r="G3825" t="str">
        <f>"              162/10"</f>
        <v xml:space="preserve">              162/10</v>
      </c>
      <c r="H3825" s="3">
        <v>42123</v>
      </c>
      <c r="I3825" s="3">
        <v>42128</v>
      </c>
      <c r="J3825" s="3">
        <v>42128</v>
      </c>
      <c r="K3825" s="3">
        <v>42188</v>
      </c>
      <c r="L3825" s="5">
        <v>3820</v>
      </c>
      <c r="M3825">
        <v>304</v>
      </c>
      <c r="N3825" s="5">
        <v>1161280</v>
      </c>
      <c r="O3825" s="4">
        <v>3820</v>
      </c>
      <c r="P3825">
        <v>304</v>
      </c>
      <c r="Q3825" s="4">
        <v>1161280</v>
      </c>
      <c r="R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  <c r="AB3825" s="3">
        <v>42562</v>
      </c>
      <c r="AC3825" t="s">
        <v>53</v>
      </c>
      <c r="AD3825" t="s">
        <v>53</v>
      </c>
      <c r="AK3825">
        <v>0</v>
      </c>
      <c r="AU3825" s="3">
        <v>42492</v>
      </c>
      <c r="AV3825" s="3">
        <v>42492</v>
      </c>
      <c r="AW3825" t="s">
        <v>54</v>
      </c>
      <c r="AX3825" t="str">
        <f t="shared" si="464"/>
        <v>FOR</v>
      </c>
      <c r="AY3825" t="s">
        <v>55</v>
      </c>
    </row>
    <row r="3826" spans="1:51">
      <c r="A3826">
        <v>106578</v>
      </c>
      <c r="B3826" t="s">
        <v>492</v>
      </c>
      <c r="C3826" t="str">
        <f t="shared" si="465"/>
        <v>02417881204</v>
      </c>
      <c r="D3826" t="str">
        <f t="shared" si="465"/>
        <v>02417881204</v>
      </c>
      <c r="E3826" t="s">
        <v>52</v>
      </c>
      <c r="F3826">
        <v>2015</v>
      </c>
      <c r="G3826" t="str">
        <f>"              163/10"</f>
        <v xml:space="preserve">              163/10</v>
      </c>
      <c r="H3826" s="3">
        <v>42123</v>
      </c>
      <c r="I3826" s="3">
        <v>42129</v>
      </c>
      <c r="J3826" s="3">
        <v>42128</v>
      </c>
      <c r="K3826" s="3">
        <v>42188</v>
      </c>
      <c r="L3826" s="5">
        <v>1500</v>
      </c>
      <c r="M3826">
        <v>304</v>
      </c>
      <c r="N3826" s="5">
        <v>456000</v>
      </c>
      <c r="O3826" s="4">
        <v>1500</v>
      </c>
      <c r="P3826">
        <v>304</v>
      </c>
      <c r="Q3826" s="4">
        <v>456000</v>
      </c>
      <c r="R3826">
        <v>0</v>
      </c>
      <c r="V3826">
        <v>0</v>
      </c>
      <c r="W3826">
        <v>0</v>
      </c>
      <c r="X3826">
        <v>0</v>
      </c>
      <c r="Y3826">
        <v>0</v>
      </c>
      <c r="Z3826">
        <v>0</v>
      </c>
      <c r="AA3826">
        <v>0</v>
      </c>
      <c r="AB3826" s="3">
        <v>42562</v>
      </c>
      <c r="AC3826" t="s">
        <v>53</v>
      </c>
      <c r="AD3826" t="s">
        <v>53</v>
      </c>
      <c r="AK3826">
        <v>0</v>
      </c>
      <c r="AU3826" s="3">
        <v>42492</v>
      </c>
      <c r="AV3826" s="3">
        <v>42492</v>
      </c>
      <c r="AW3826" t="s">
        <v>54</v>
      </c>
      <c r="AX3826" t="str">
        <f t="shared" si="464"/>
        <v>FOR</v>
      </c>
      <c r="AY3826" t="s">
        <v>55</v>
      </c>
    </row>
    <row r="3827" spans="1:51">
      <c r="A3827">
        <v>106578</v>
      </c>
      <c r="B3827" t="s">
        <v>492</v>
      </c>
      <c r="C3827" t="str">
        <f t="shared" si="465"/>
        <v>02417881204</v>
      </c>
      <c r="D3827" t="str">
        <f t="shared" si="465"/>
        <v>02417881204</v>
      </c>
      <c r="E3827" t="s">
        <v>52</v>
      </c>
      <c r="F3827">
        <v>2015</v>
      </c>
      <c r="G3827" t="str">
        <f>"              301/10"</f>
        <v xml:space="preserve">              301/10</v>
      </c>
      <c r="H3827" s="3">
        <v>42165</v>
      </c>
      <c r="I3827" s="3">
        <v>42170</v>
      </c>
      <c r="J3827" s="3">
        <v>42168</v>
      </c>
      <c r="K3827" s="3">
        <v>42228</v>
      </c>
      <c r="L3827" s="5">
        <v>1500</v>
      </c>
      <c r="M3827">
        <v>264</v>
      </c>
      <c r="N3827" s="5">
        <v>396000</v>
      </c>
      <c r="O3827" s="4">
        <v>1500</v>
      </c>
      <c r="P3827">
        <v>264</v>
      </c>
      <c r="Q3827" s="4">
        <v>396000</v>
      </c>
      <c r="R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 s="3">
        <v>42562</v>
      </c>
      <c r="AC3827" t="s">
        <v>53</v>
      </c>
      <c r="AD3827" t="s">
        <v>53</v>
      </c>
      <c r="AK3827">
        <v>0</v>
      </c>
      <c r="AU3827" s="3">
        <v>42492</v>
      </c>
      <c r="AV3827" s="3">
        <v>42492</v>
      </c>
      <c r="AW3827" t="s">
        <v>54</v>
      </c>
      <c r="AX3827" t="str">
        <f t="shared" si="464"/>
        <v>FOR</v>
      </c>
      <c r="AY3827" t="s">
        <v>55</v>
      </c>
    </row>
    <row r="3828" spans="1:51">
      <c r="A3828">
        <v>106578</v>
      </c>
      <c r="B3828" t="s">
        <v>492</v>
      </c>
      <c r="C3828" t="str">
        <f t="shared" si="465"/>
        <v>02417881204</v>
      </c>
      <c r="D3828" t="str">
        <f t="shared" si="465"/>
        <v>02417881204</v>
      </c>
      <c r="E3828" t="s">
        <v>52</v>
      </c>
      <c r="F3828">
        <v>2015</v>
      </c>
      <c r="G3828" t="str">
        <f>"              302/10"</f>
        <v xml:space="preserve">              302/10</v>
      </c>
      <c r="H3828" s="3">
        <v>42165</v>
      </c>
      <c r="I3828" s="3">
        <v>42170</v>
      </c>
      <c r="J3828" s="3">
        <v>42168</v>
      </c>
      <c r="K3828" s="3">
        <v>42228</v>
      </c>
      <c r="L3828" s="5">
        <v>1960</v>
      </c>
      <c r="M3828">
        <v>264</v>
      </c>
      <c r="N3828" s="5">
        <v>517440</v>
      </c>
      <c r="O3828" s="4">
        <v>1960</v>
      </c>
      <c r="P3828">
        <v>264</v>
      </c>
      <c r="Q3828" s="4">
        <v>517440</v>
      </c>
      <c r="R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  <c r="AB3828" s="3">
        <v>42562</v>
      </c>
      <c r="AC3828" t="s">
        <v>53</v>
      </c>
      <c r="AD3828" t="s">
        <v>53</v>
      </c>
      <c r="AK3828">
        <v>0</v>
      </c>
      <c r="AU3828" s="3">
        <v>42492</v>
      </c>
      <c r="AV3828" s="3">
        <v>42492</v>
      </c>
      <c r="AW3828" t="s">
        <v>54</v>
      </c>
      <c r="AX3828" t="str">
        <f t="shared" si="464"/>
        <v>FOR</v>
      </c>
      <c r="AY3828" t="s">
        <v>55</v>
      </c>
    </row>
    <row r="3829" spans="1:51">
      <c r="A3829">
        <v>106578</v>
      </c>
      <c r="B3829" t="s">
        <v>492</v>
      </c>
      <c r="C3829" t="str">
        <f t="shared" si="465"/>
        <v>02417881204</v>
      </c>
      <c r="D3829" t="str">
        <f t="shared" si="465"/>
        <v>02417881204</v>
      </c>
      <c r="E3829" t="s">
        <v>52</v>
      </c>
      <c r="F3829">
        <v>2015</v>
      </c>
      <c r="G3829" t="str">
        <f>"              348/10"</f>
        <v xml:space="preserve">              348/10</v>
      </c>
      <c r="H3829" s="3">
        <v>42177</v>
      </c>
      <c r="I3829" s="3">
        <v>42191</v>
      </c>
      <c r="J3829" s="3">
        <v>42187</v>
      </c>
      <c r="K3829" s="3">
        <v>42247</v>
      </c>
      <c r="L3829" s="5">
        <v>1960</v>
      </c>
      <c r="M3829">
        <v>245</v>
      </c>
      <c r="N3829" s="5">
        <v>480200</v>
      </c>
      <c r="O3829" s="4">
        <v>1960</v>
      </c>
      <c r="P3829">
        <v>245</v>
      </c>
      <c r="Q3829" s="4">
        <v>480200</v>
      </c>
      <c r="R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  <c r="AB3829" s="3">
        <v>42562</v>
      </c>
      <c r="AC3829" t="s">
        <v>53</v>
      </c>
      <c r="AD3829" t="s">
        <v>53</v>
      </c>
      <c r="AK3829">
        <v>0</v>
      </c>
      <c r="AU3829" s="3">
        <v>42492</v>
      </c>
      <c r="AV3829" s="3">
        <v>42492</v>
      </c>
      <c r="AW3829" t="s">
        <v>54</v>
      </c>
      <c r="AX3829" t="str">
        <f t="shared" si="464"/>
        <v>FOR</v>
      </c>
      <c r="AY3829" t="s">
        <v>55</v>
      </c>
    </row>
    <row r="3830" spans="1:51">
      <c r="A3830">
        <v>106578</v>
      </c>
      <c r="B3830" t="s">
        <v>492</v>
      </c>
      <c r="C3830" t="str">
        <f t="shared" si="465"/>
        <v>02417881204</v>
      </c>
      <c r="D3830" t="str">
        <f t="shared" si="465"/>
        <v>02417881204</v>
      </c>
      <c r="E3830" t="s">
        <v>52</v>
      </c>
      <c r="F3830">
        <v>2015</v>
      </c>
      <c r="G3830" t="str">
        <f>"              349/10"</f>
        <v xml:space="preserve">              349/10</v>
      </c>
      <c r="H3830" s="3">
        <v>42177</v>
      </c>
      <c r="I3830" s="3">
        <v>42191</v>
      </c>
      <c r="J3830" s="3">
        <v>42187</v>
      </c>
      <c r="K3830" s="3">
        <v>42247</v>
      </c>
      <c r="L3830" s="5">
        <v>1275</v>
      </c>
      <c r="M3830">
        <v>245</v>
      </c>
      <c r="N3830" s="5">
        <v>312375</v>
      </c>
      <c r="O3830" s="4">
        <v>1275</v>
      </c>
      <c r="P3830">
        <v>245</v>
      </c>
      <c r="Q3830" s="4">
        <v>312375</v>
      </c>
      <c r="R3830">
        <v>0</v>
      </c>
      <c r="V3830">
        <v>0</v>
      </c>
      <c r="W3830">
        <v>0</v>
      </c>
      <c r="X3830">
        <v>0</v>
      </c>
      <c r="Y3830">
        <v>0</v>
      </c>
      <c r="Z3830">
        <v>0</v>
      </c>
      <c r="AA3830">
        <v>0</v>
      </c>
      <c r="AB3830" s="3">
        <v>42562</v>
      </c>
      <c r="AC3830" t="s">
        <v>53</v>
      </c>
      <c r="AD3830" t="s">
        <v>53</v>
      </c>
      <c r="AK3830">
        <v>0</v>
      </c>
      <c r="AU3830" s="3">
        <v>42492</v>
      </c>
      <c r="AV3830" s="3">
        <v>42492</v>
      </c>
      <c r="AW3830" t="s">
        <v>54</v>
      </c>
      <c r="AX3830" t="str">
        <f t="shared" si="464"/>
        <v>FOR</v>
      </c>
      <c r="AY3830" t="s">
        <v>55</v>
      </c>
    </row>
    <row r="3831" spans="1:51" hidden="1">
      <c r="A3831">
        <v>106583</v>
      </c>
      <c r="B3831" t="s">
        <v>493</v>
      </c>
      <c r="C3831" t="str">
        <f t="shared" ref="C3831:D3837" si="466">"08959351001"</f>
        <v>08959351001</v>
      </c>
      <c r="D3831" t="str">
        <f t="shared" si="466"/>
        <v>08959351001</v>
      </c>
      <c r="E3831" t="s">
        <v>52</v>
      </c>
      <c r="F3831">
        <v>2015</v>
      </c>
      <c r="G3831" t="str">
        <f>"              248/PA"</f>
        <v xml:space="preserve">              248/PA</v>
      </c>
      <c r="H3831" s="3">
        <v>42186</v>
      </c>
      <c r="I3831" s="3">
        <v>42188</v>
      </c>
      <c r="J3831" s="3">
        <v>42187</v>
      </c>
      <c r="K3831" s="3">
        <v>42247</v>
      </c>
      <c r="L3831"/>
      <c r="N3831"/>
      <c r="O3831" s="4">
        <v>1533.01</v>
      </c>
      <c r="P3831">
        <v>150</v>
      </c>
      <c r="Q3831" s="4">
        <v>229951.5</v>
      </c>
      <c r="R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  <c r="AB3831" s="3">
        <v>42562</v>
      </c>
      <c r="AC3831" t="s">
        <v>53</v>
      </c>
      <c r="AD3831" t="s">
        <v>53</v>
      </c>
      <c r="AK3831">
        <v>0</v>
      </c>
      <c r="AU3831" s="3">
        <v>42397</v>
      </c>
      <c r="AV3831" s="3">
        <v>42397</v>
      </c>
      <c r="AW3831" t="s">
        <v>54</v>
      </c>
      <c r="AX3831" t="str">
        <f t="shared" si="464"/>
        <v>FOR</v>
      </c>
      <c r="AY3831" t="s">
        <v>55</v>
      </c>
    </row>
    <row r="3832" spans="1:51" hidden="1">
      <c r="A3832">
        <v>106583</v>
      </c>
      <c r="B3832" t="s">
        <v>493</v>
      </c>
      <c r="C3832" t="str">
        <f t="shared" si="466"/>
        <v>08959351001</v>
      </c>
      <c r="D3832" t="str">
        <f t="shared" si="466"/>
        <v>08959351001</v>
      </c>
      <c r="E3832" t="s">
        <v>52</v>
      </c>
      <c r="F3832">
        <v>2015</v>
      </c>
      <c r="G3832" t="str">
        <f>"              249/PA"</f>
        <v xml:space="preserve">              249/PA</v>
      </c>
      <c r="H3832" s="3">
        <v>42186</v>
      </c>
      <c r="I3832" s="3">
        <v>42191</v>
      </c>
      <c r="J3832" s="3">
        <v>42188</v>
      </c>
      <c r="K3832" s="3">
        <v>42248</v>
      </c>
      <c r="L3832"/>
      <c r="N3832"/>
      <c r="O3832" s="4">
        <v>2464</v>
      </c>
      <c r="P3832">
        <v>149</v>
      </c>
      <c r="Q3832" s="4">
        <v>367136</v>
      </c>
      <c r="R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  <c r="AB3832" s="3">
        <v>42562</v>
      </c>
      <c r="AC3832" t="s">
        <v>53</v>
      </c>
      <c r="AD3832" t="s">
        <v>53</v>
      </c>
      <c r="AK3832">
        <v>0</v>
      </c>
      <c r="AU3832" s="3">
        <v>42397</v>
      </c>
      <c r="AV3832" s="3">
        <v>42397</v>
      </c>
      <c r="AW3832" t="s">
        <v>54</v>
      </c>
      <c r="AX3832" t="str">
        <f t="shared" si="464"/>
        <v>FOR</v>
      </c>
      <c r="AY3832" t="s">
        <v>55</v>
      </c>
    </row>
    <row r="3833" spans="1:51" hidden="1">
      <c r="A3833">
        <v>106583</v>
      </c>
      <c r="B3833" t="s">
        <v>493</v>
      </c>
      <c r="C3833" t="str">
        <f t="shared" si="466"/>
        <v>08959351001</v>
      </c>
      <c r="D3833" t="str">
        <f t="shared" si="466"/>
        <v>08959351001</v>
      </c>
      <c r="E3833" t="s">
        <v>52</v>
      </c>
      <c r="F3833">
        <v>2015</v>
      </c>
      <c r="G3833" t="str">
        <f>"              439/PA"</f>
        <v xml:space="preserve">              439/PA</v>
      </c>
      <c r="H3833" s="3">
        <v>42249</v>
      </c>
      <c r="I3833" s="3">
        <v>42250</v>
      </c>
      <c r="J3833" s="3">
        <v>42249</v>
      </c>
      <c r="K3833" s="3">
        <v>42309</v>
      </c>
      <c r="L3833"/>
      <c r="N3833"/>
      <c r="O3833" s="4">
        <v>1065.01</v>
      </c>
      <c r="P3833">
        <v>88</v>
      </c>
      <c r="Q3833" s="4">
        <v>93720.88</v>
      </c>
      <c r="R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  <c r="AB3833" s="3">
        <v>42562</v>
      </c>
      <c r="AC3833" t="s">
        <v>53</v>
      </c>
      <c r="AD3833" t="s">
        <v>53</v>
      </c>
      <c r="AK3833">
        <v>0</v>
      </c>
      <c r="AU3833" s="3">
        <v>42397</v>
      </c>
      <c r="AV3833" s="3">
        <v>42397</v>
      </c>
      <c r="AW3833" t="s">
        <v>54</v>
      </c>
      <c r="AX3833" t="str">
        <f t="shared" si="464"/>
        <v>FOR</v>
      </c>
      <c r="AY3833" t="s">
        <v>55</v>
      </c>
    </row>
    <row r="3834" spans="1:51" hidden="1">
      <c r="A3834">
        <v>106583</v>
      </c>
      <c r="B3834" t="s">
        <v>493</v>
      </c>
      <c r="C3834" t="str">
        <f t="shared" si="466"/>
        <v>08959351001</v>
      </c>
      <c r="D3834" t="str">
        <f t="shared" si="466"/>
        <v>08959351001</v>
      </c>
      <c r="E3834" t="s">
        <v>52</v>
      </c>
      <c r="F3834">
        <v>2015</v>
      </c>
      <c r="G3834" t="str">
        <f>"              444/PA"</f>
        <v xml:space="preserve">              444/PA</v>
      </c>
      <c r="H3834" s="3">
        <v>42251</v>
      </c>
      <c r="I3834" s="3">
        <v>42254</v>
      </c>
      <c r="J3834" s="3">
        <v>42251</v>
      </c>
      <c r="K3834" s="3">
        <v>42311</v>
      </c>
      <c r="L3834"/>
      <c r="N3834"/>
      <c r="O3834" s="4">
        <v>1418.67</v>
      </c>
      <c r="P3834">
        <v>86</v>
      </c>
      <c r="Q3834" s="4">
        <v>122005.62</v>
      </c>
      <c r="R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  <c r="AB3834" s="3">
        <v>42562</v>
      </c>
      <c r="AC3834" t="s">
        <v>53</v>
      </c>
      <c r="AD3834" t="s">
        <v>53</v>
      </c>
      <c r="AK3834">
        <v>0</v>
      </c>
      <c r="AU3834" s="3">
        <v>42397</v>
      </c>
      <c r="AV3834" s="3">
        <v>42397</v>
      </c>
      <c r="AW3834" t="s">
        <v>54</v>
      </c>
      <c r="AX3834" t="str">
        <f t="shared" si="464"/>
        <v>FOR</v>
      </c>
      <c r="AY3834" t="s">
        <v>55</v>
      </c>
    </row>
    <row r="3835" spans="1:51" hidden="1">
      <c r="A3835">
        <v>106583</v>
      </c>
      <c r="B3835" t="s">
        <v>493</v>
      </c>
      <c r="C3835" t="str">
        <f t="shared" si="466"/>
        <v>08959351001</v>
      </c>
      <c r="D3835" t="str">
        <f t="shared" si="466"/>
        <v>08959351001</v>
      </c>
      <c r="E3835" t="s">
        <v>52</v>
      </c>
      <c r="F3835">
        <v>2015</v>
      </c>
      <c r="G3835" t="str">
        <f>"              505/PA"</f>
        <v xml:space="preserve">              505/PA</v>
      </c>
      <c r="H3835" s="3">
        <v>42275</v>
      </c>
      <c r="I3835" s="3">
        <v>42282</v>
      </c>
      <c r="J3835" s="3">
        <v>42279</v>
      </c>
      <c r="K3835" s="3">
        <v>42339</v>
      </c>
      <c r="L3835"/>
      <c r="N3835"/>
      <c r="O3835" s="4">
        <v>1587.36</v>
      </c>
      <c r="P3835">
        <v>58</v>
      </c>
      <c r="Q3835" s="4">
        <v>92066.880000000005</v>
      </c>
      <c r="R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  <c r="AB3835" s="3">
        <v>42562</v>
      </c>
      <c r="AC3835" t="s">
        <v>53</v>
      </c>
      <c r="AD3835" t="s">
        <v>53</v>
      </c>
      <c r="AK3835">
        <v>0</v>
      </c>
      <c r="AU3835" s="3">
        <v>42397</v>
      </c>
      <c r="AV3835" s="3">
        <v>42397</v>
      </c>
      <c r="AW3835" t="s">
        <v>54</v>
      </c>
      <c r="AX3835" t="str">
        <f t="shared" si="464"/>
        <v>FOR</v>
      </c>
      <c r="AY3835" t="s">
        <v>55</v>
      </c>
    </row>
    <row r="3836" spans="1:51" hidden="1">
      <c r="A3836">
        <v>106583</v>
      </c>
      <c r="B3836" t="s">
        <v>493</v>
      </c>
      <c r="C3836" t="str">
        <f t="shared" si="466"/>
        <v>08959351001</v>
      </c>
      <c r="D3836" t="str">
        <f t="shared" si="466"/>
        <v>08959351001</v>
      </c>
      <c r="E3836" t="s">
        <v>52</v>
      </c>
      <c r="F3836">
        <v>2015</v>
      </c>
      <c r="G3836" t="str">
        <f>"              566/PA"</f>
        <v xml:space="preserve">              566/PA</v>
      </c>
      <c r="H3836" s="3">
        <v>42291</v>
      </c>
      <c r="I3836" s="3">
        <v>42296</v>
      </c>
      <c r="J3836" s="3">
        <v>42292</v>
      </c>
      <c r="K3836" s="3">
        <v>42352</v>
      </c>
      <c r="L3836"/>
      <c r="N3836"/>
      <c r="O3836" s="4">
        <v>1722.49</v>
      </c>
      <c r="P3836">
        <v>45</v>
      </c>
      <c r="Q3836" s="4">
        <v>77512.05</v>
      </c>
      <c r="R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>
        <v>0</v>
      </c>
      <c r="AB3836" s="3">
        <v>42562</v>
      </c>
      <c r="AC3836" t="s">
        <v>53</v>
      </c>
      <c r="AD3836" t="s">
        <v>53</v>
      </c>
      <c r="AK3836">
        <v>0</v>
      </c>
      <c r="AU3836" s="3">
        <v>42397</v>
      </c>
      <c r="AV3836" s="3">
        <v>42397</v>
      </c>
      <c r="AW3836" t="s">
        <v>54</v>
      </c>
      <c r="AX3836" t="str">
        <f t="shared" si="464"/>
        <v>FOR</v>
      </c>
      <c r="AY3836" t="s">
        <v>55</v>
      </c>
    </row>
    <row r="3837" spans="1:51" hidden="1">
      <c r="A3837">
        <v>106583</v>
      </c>
      <c r="B3837" t="s">
        <v>493</v>
      </c>
      <c r="C3837" t="str">
        <f t="shared" si="466"/>
        <v>08959351001</v>
      </c>
      <c r="D3837" t="str">
        <f t="shared" si="466"/>
        <v>08959351001</v>
      </c>
      <c r="E3837" t="s">
        <v>52</v>
      </c>
      <c r="F3837">
        <v>2015</v>
      </c>
      <c r="G3837" t="str">
        <f>"              634/PA"</f>
        <v xml:space="preserve">              634/PA</v>
      </c>
      <c r="H3837" s="3">
        <v>42310</v>
      </c>
      <c r="I3837" s="3">
        <v>42312</v>
      </c>
      <c r="J3837" s="3">
        <v>42310</v>
      </c>
      <c r="K3837" s="3">
        <v>42370</v>
      </c>
      <c r="L3837"/>
      <c r="N3837"/>
      <c r="O3837" s="4">
        <v>1214.8599999999999</v>
      </c>
      <c r="P3837">
        <v>31</v>
      </c>
      <c r="Q3837" s="4">
        <v>37660.660000000003</v>
      </c>
      <c r="R3837">
        <v>0</v>
      </c>
      <c r="V3837">
        <v>0</v>
      </c>
      <c r="W3837">
        <v>0</v>
      </c>
      <c r="X3837">
        <v>0</v>
      </c>
      <c r="Y3837">
        <v>0</v>
      </c>
      <c r="Z3837">
        <v>0</v>
      </c>
      <c r="AA3837">
        <v>0</v>
      </c>
      <c r="AB3837" s="3">
        <v>42562</v>
      </c>
      <c r="AC3837" t="s">
        <v>53</v>
      </c>
      <c r="AD3837" t="s">
        <v>53</v>
      </c>
      <c r="AK3837">
        <v>0</v>
      </c>
      <c r="AU3837" s="3">
        <v>42401</v>
      </c>
      <c r="AV3837" s="3">
        <v>42401</v>
      </c>
      <c r="AW3837" t="s">
        <v>54</v>
      </c>
      <c r="AX3837" t="str">
        <f t="shared" si="464"/>
        <v>FOR</v>
      </c>
      <c r="AY3837" t="s">
        <v>55</v>
      </c>
    </row>
    <row r="3838" spans="1:51" hidden="1">
      <c r="A3838">
        <v>106586</v>
      </c>
      <c r="B3838" t="s">
        <v>494</v>
      </c>
      <c r="C3838" t="str">
        <f>"01010600623"</f>
        <v>01010600623</v>
      </c>
      <c r="D3838" t="str">
        <f>"GRRNRC64R24A783D"</f>
        <v>GRRNRC64R24A783D</v>
      </c>
      <c r="E3838" t="s">
        <v>52</v>
      </c>
      <c r="F3838">
        <v>2016</v>
      </c>
      <c r="G3838" t="str">
        <f>"                1-PA"</f>
        <v xml:space="preserve">                1-PA</v>
      </c>
      <c r="H3838" s="3">
        <v>42408</v>
      </c>
      <c r="I3838" s="3">
        <v>42410</v>
      </c>
      <c r="J3838" s="3">
        <v>42408</v>
      </c>
      <c r="K3838" s="3">
        <v>42468</v>
      </c>
      <c r="L3838"/>
      <c r="N3838"/>
      <c r="O3838" s="4">
        <v>4563.78</v>
      </c>
      <c r="P3838">
        <v>-35</v>
      </c>
      <c r="Q3838" s="4">
        <v>-159732.29999999999</v>
      </c>
      <c r="R3838">
        <v>0</v>
      </c>
      <c r="V3838">
        <v>0</v>
      </c>
      <c r="W3838">
        <v>0</v>
      </c>
      <c r="X3838">
        <v>0</v>
      </c>
      <c r="Y3838" s="4">
        <v>4563.78</v>
      </c>
      <c r="Z3838" s="4">
        <v>4563.78</v>
      </c>
      <c r="AA3838" s="4">
        <v>4563.78</v>
      </c>
      <c r="AB3838" s="3">
        <v>42562</v>
      </c>
      <c r="AC3838" t="s">
        <v>53</v>
      </c>
      <c r="AD3838" t="s">
        <v>53</v>
      </c>
      <c r="AK3838">
        <v>0</v>
      </c>
      <c r="AU3838" s="3">
        <v>42433</v>
      </c>
      <c r="AV3838" s="3">
        <v>42433</v>
      </c>
      <c r="AW3838" t="s">
        <v>54</v>
      </c>
      <c r="AX3838" t="str">
        <f>"ALTPRO"</f>
        <v>ALTPRO</v>
      </c>
      <c r="AY3838" t="s">
        <v>93</v>
      </c>
    </row>
    <row r="3839" spans="1:51">
      <c r="A3839">
        <v>106586</v>
      </c>
      <c r="B3839" t="s">
        <v>494</v>
      </c>
      <c r="C3839" t="str">
        <f>"01010600623"</f>
        <v>01010600623</v>
      </c>
      <c r="D3839" t="str">
        <f>"GRRNRC64R24A783D"</f>
        <v>GRRNRC64R24A783D</v>
      </c>
      <c r="E3839" t="s">
        <v>52</v>
      </c>
      <c r="F3839">
        <v>2016</v>
      </c>
      <c r="G3839" t="str">
        <f>"                2-PA"</f>
        <v xml:space="preserve">                2-PA</v>
      </c>
      <c r="H3839" s="3">
        <v>42450</v>
      </c>
      <c r="I3839" s="3">
        <v>42461</v>
      </c>
      <c r="J3839" s="3">
        <v>42450</v>
      </c>
      <c r="K3839" s="3">
        <v>42510</v>
      </c>
      <c r="L3839" s="5">
        <v>4563.78</v>
      </c>
      <c r="M3839">
        <v>-23</v>
      </c>
      <c r="N3839" s="5">
        <v>-104966.94</v>
      </c>
      <c r="O3839" s="4">
        <v>4563.78</v>
      </c>
      <c r="P3839">
        <v>-23</v>
      </c>
      <c r="Q3839" s="4">
        <v>-104966.94</v>
      </c>
      <c r="R3839">
        <v>0</v>
      </c>
      <c r="V3839">
        <v>0</v>
      </c>
      <c r="W3839" s="4">
        <v>4563.78</v>
      </c>
      <c r="X3839">
        <v>0</v>
      </c>
      <c r="Y3839" s="4">
        <v>4563.78</v>
      </c>
      <c r="Z3839" s="4">
        <v>4563.78</v>
      </c>
      <c r="AA3839" s="4">
        <v>4563.78</v>
      </c>
      <c r="AB3839" s="3">
        <v>42562</v>
      </c>
      <c r="AC3839" t="s">
        <v>53</v>
      </c>
      <c r="AD3839" t="s">
        <v>53</v>
      </c>
      <c r="AK3839">
        <v>0</v>
      </c>
      <c r="AU3839" s="3">
        <v>42487</v>
      </c>
      <c r="AV3839" s="3">
        <v>42487</v>
      </c>
      <c r="AW3839" t="s">
        <v>54</v>
      </c>
      <c r="AX3839" t="str">
        <f>"ALTPRO"</f>
        <v>ALTPRO</v>
      </c>
      <c r="AY3839" t="s">
        <v>93</v>
      </c>
    </row>
    <row r="3840" spans="1:51" hidden="1">
      <c r="A3840">
        <v>106587</v>
      </c>
      <c r="B3840" t="s">
        <v>495</v>
      </c>
      <c r="C3840" t="str">
        <f>"01544191008"</f>
        <v>01544191008</v>
      </c>
      <c r="D3840" t="str">
        <f>"06403530584"</f>
        <v>06403530584</v>
      </c>
      <c r="E3840" t="s">
        <v>52</v>
      </c>
      <c r="F3840">
        <v>2015</v>
      </c>
      <c r="G3840" t="str">
        <f>"                  80"</f>
        <v xml:space="preserve">                  80</v>
      </c>
      <c r="H3840" s="3">
        <v>42145</v>
      </c>
      <c r="I3840" s="3">
        <v>42171</v>
      </c>
      <c r="J3840" s="3">
        <v>42167</v>
      </c>
      <c r="K3840" s="3">
        <v>42227</v>
      </c>
      <c r="L3840"/>
      <c r="N3840"/>
      <c r="O3840">
        <v>272.16000000000003</v>
      </c>
      <c r="P3840">
        <v>225</v>
      </c>
      <c r="Q3840" s="4">
        <v>61236</v>
      </c>
      <c r="R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  <c r="AB3840" s="3">
        <v>42562</v>
      </c>
      <c r="AC3840" t="s">
        <v>53</v>
      </c>
      <c r="AD3840" t="s">
        <v>53</v>
      </c>
      <c r="AK3840">
        <v>0</v>
      </c>
      <c r="AU3840" s="3">
        <v>42452</v>
      </c>
      <c r="AV3840" s="3">
        <v>42452</v>
      </c>
      <c r="AW3840" t="s">
        <v>54</v>
      </c>
      <c r="AX3840" t="str">
        <f>"FOR"</f>
        <v>FOR</v>
      </c>
      <c r="AY3840" t="s">
        <v>55</v>
      </c>
    </row>
    <row r="3841" spans="1:51" hidden="1">
      <c r="A3841">
        <v>106587</v>
      </c>
      <c r="B3841" t="s">
        <v>495</v>
      </c>
      <c r="C3841" t="str">
        <f>"01544191008"</f>
        <v>01544191008</v>
      </c>
      <c r="D3841" t="str">
        <f>"06403530584"</f>
        <v>06403530584</v>
      </c>
      <c r="E3841" t="s">
        <v>52</v>
      </c>
      <c r="F3841">
        <v>2015</v>
      </c>
      <c r="G3841" t="str">
        <f>"                 102"</f>
        <v xml:space="preserve">                 102</v>
      </c>
      <c r="H3841" s="3">
        <v>42185</v>
      </c>
      <c r="I3841" s="3">
        <v>42334</v>
      </c>
      <c r="J3841" s="3">
        <v>42334</v>
      </c>
      <c r="K3841" s="3">
        <v>42394</v>
      </c>
      <c r="L3841"/>
      <c r="N3841"/>
      <c r="O3841" s="4">
        <v>1807.98</v>
      </c>
      <c r="P3841">
        <v>58</v>
      </c>
      <c r="Q3841" s="4">
        <v>104862.84</v>
      </c>
      <c r="R3841">
        <v>0</v>
      </c>
      <c r="V3841">
        <v>0</v>
      </c>
      <c r="W3841">
        <v>0</v>
      </c>
      <c r="X3841">
        <v>0</v>
      </c>
      <c r="Y3841">
        <v>0</v>
      </c>
      <c r="Z3841">
        <v>0</v>
      </c>
      <c r="AA3841">
        <v>0</v>
      </c>
      <c r="AB3841" s="3">
        <v>42562</v>
      </c>
      <c r="AC3841" t="s">
        <v>53</v>
      </c>
      <c r="AD3841" t="s">
        <v>53</v>
      </c>
      <c r="AK3841">
        <v>0</v>
      </c>
      <c r="AU3841" s="3">
        <v>42452</v>
      </c>
      <c r="AV3841" s="3">
        <v>42452</v>
      </c>
      <c r="AW3841" t="s">
        <v>54</v>
      </c>
      <c r="AX3841" t="str">
        <f>"FOR"</f>
        <v>FOR</v>
      </c>
      <c r="AY3841" t="s">
        <v>55</v>
      </c>
    </row>
    <row r="3842" spans="1:51">
      <c r="A3842">
        <v>106592</v>
      </c>
      <c r="B3842" t="s">
        <v>496</v>
      </c>
      <c r="C3842" t="str">
        <f>""</f>
        <v/>
      </c>
      <c r="D3842" t="str">
        <f>""</f>
        <v/>
      </c>
      <c r="E3842" t="s">
        <v>52</v>
      </c>
      <c r="F3842">
        <v>2015</v>
      </c>
      <c r="G3842" t="str">
        <f>"           SIN093815"</f>
        <v xml:space="preserve">           SIN093815</v>
      </c>
      <c r="H3842" s="3">
        <v>42186</v>
      </c>
      <c r="I3842" s="3">
        <v>42194</v>
      </c>
      <c r="J3842" s="3">
        <v>42194</v>
      </c>
      <c r="K3842" s="3">
        <v>42254</v>
      </c>
      <c r="L3842" s="5">
        <v>9200</v>
      </c>
      <c r="M3842">
        <v>210</v>
      </c>
      <c r="N3842" s="5">
        <v>1932000</v>
      </c>
      <c r="O3842" s="4">
        <v>9200</v>
      </c>
      <c r="P3842">
        <v>210</v>
      </c>
      <c r="Q3842" s="4">
        <v>1932000</v>
      </c>
      <c r="R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  <c r="AB3842" s="3">
        <v>42562</v>
      </c>
      <c r="AC3842" t="s">
        <v>53</v>
      </c>
      <c r="AD3842" t="s">
        <v>53</v>
      </c>
      <c r="AK3842">
        <v>0</v>
      </c>
      <c r="AU3842" s="3">
        <v>42464</v>
      </c>
      <c r="AV3842" s="3">
        <v>42464</v>
      </c>
      <c r="AW3842" t="s">
        <v>54</v>
      </c>
      <c r="AX3842" t="str">
        <f>"FOR"</f>
        <v>FOR</v>
      </c>
      <c r="AY3842" t="s">
        <v>55</v>
      </c>
    </row>
    <row r="3843" spans="1:51" hidden="1">
      <c r="A3843">
        <v>106596</v>
      </c>
      <c r="B3843" t="s">
        <v>497</v>
      </c>
      <c r="C3843" t="str">
        <f>""</f>
        <v/>
      </c>
      <c r="D3843" t="str">
        <f>"97017710589"</f>
        <v>97017710589</v>
      </c>
      <c r="E3843" t="s">
        <v>52</v>
      </c>
      <c r="F3843">
        <v>2016</v>
      </c>
      <c r="G3843" t="str">
        <f>"                0120"</f>
        <v xml:space="preserve">                0120</v>
      </c>
      <c r="H3843" s="3">
        <v>42389</v>
      </c>
      <c r="I3843" s="3">
        <v>42390</v>
      </c>
      <c r="J3843" s="3">
        <v>42390</v>
      </c>
      <c r="K3843" s="3">
        <v>42450</v>
      </c>
      <c r="L3843"/>
      <c r="N3843"/>
      <c r="O3843">
        <v>8.85</v>
      </c>
      <c r="P3843">
        <v>-60</v>
      </c>
      <c r="Q3843">
        <v>-531</v>
      </c>
      <c r="R3843">
        <v>0</v>
      </c>
      <c r="V3843">
        <v>0</v>
      </c>
      <c r="W3843">
        <v>0</v>
      </c>
      <c r="X3843">
        <v>0</v>
      </c>
      <c r="Y3843">
        <v>8.85</v>
      </c>
      <c r="Z3843">
        <v>8.85</v>
      </c>
      <c r="AA3843">
        <v>8.85</v>
      </c>
      <c r="AB3843" s="3">
        <v>42562</v>
      </c>
      <c r="AC3843" t="s">
        <v>53</v>
      </c>
      <c r="AD3843" t="s">
        <v>53</v>
      </c>
      <c r="AK3843">
        <v>0</v>
      </c>
      <c r="AU3843" s="3">
        <v>42390</v>
      </c>
      <c r="AV3843" s="3">
        <v>42390</v>
      </c>
      <c r="AW3843" t="s">
        <v>54</v>
      </c>
      <c r="AX3843" t="str">
        <f t="shared" ref="AX3843:AX3848" si="467">"ALT"</f>
        <v>ALT</v>
      </c>
      <c r="AY3843" t="s">
        <v>72</v>
      </c>
    </row>
    <row r="3844" spans="1:51" hidden="1">
      <c r="A3844">
        <v>106596</v>
      </c>
      <c r="B3844" t="s">
        <v>497</v>
      </c>
      <c r="C3844" t="str">
        <f>""</f>
        <v/>
      </c>
      <c r="D3844" t="str">
        <f>"97017710589"</f>
        <v>97017710589</v>
      </c>
      <c r="E3844" t="s">
        <v>52</v>
      </c>
      <c r="F3844">
        <v>2016</v>
      </c>
      <c r="G3844" t="str">
        <f>"                0222"</f>
        <v xml:space="preserve">                0222</v>
      </c>
      <c r="H3844" s="3">
        <v>42422</v>
      </c>
      <c r="I3844" s="3">
        <v>42422</v>
      </c>
      <c r="J3844" s="3">
        <v>42422</v>
      </c>
      <c r="K3844" s="3">
        <v>42482</v>
      </c>
      <c r="L3844"/>
      <c r="N3844"/>
      <c r="O3844">
        <v>8.85</v>
      </c>
      <c r="P3844">
        <v>-58</v>
      </c>
      <c r="Q3844">
        <v>-513.29999999999995</v>
      </c>
      <c r="R3844">
        <v>0</v>
      </c>
      <c r="V3844">
        <v>0</v>
      </c>
      <c r="W3844">
        <v>0</v>
      </c>
      <c r="X3844">
        <v>0</v>
      </c>
      <c r="Y3844">
        <v>8.85</v>
      </c>
      <c r="Z3844">
        <v>8.85</v>
      </c>
      <c r="AA3844">
        <v>8.85</v>
      </c>
      <c r="AB3844" s="3">
        <v>42562</v>
      </c>
      <c r="AC3844" t="s">
        <v>53</v>
      </c>
      <c r="AD3844" t="s">
        <v>53</v>
      </c>
      <c r="AK3844">
        <v>0</v>
      </c>
      <c r="AU3844" s="3">
        <v>42424</v>
      </c>
      <c r="AV3844" s="3">
        <v>42424</v>
      </c>
      <c r="AW3844" t="s">
        <v>54</v>
      </c>
      <c r="AX3844" t="str">
        <f t="shared" si="467"/>
        <v>ALT</v>
      </c>
      <c r="AY3844" t="s">
        <v>72</v>
      </c>
    </row>
    <row r="3845" spans="1:51" hidden="1">
      <c r="A3845">
        <v>106596</v>
      </c>
      <c r="B3845" t="s">
        <v>497</v>
      </c>
      <c r="C3845" t="str">
        <f>""</f>
        <v/>
      </c>
      <c r="D3845" t="str">
        <f>"97017710589"</f>
        <v>97017710589</v>
      </c>
      <c r="E3845" t="s">
        <v>52</v>
      </c>
      <c r="F3845">
        <v>2016</v>
      </c>
      <c r="G3845" t="str">
        <f>"                0321"</f>
        <v xml:space="preserve">                0321</v>
      </c>
      <c r="H3845" s="3">
        <v>42450</v>
      </c>
      <c r="I3845" s="3">
        <v>42450</v>
      </c>
      <c r="J3845" s="3">
        <v>42450</v>
      </c>
      <c r="K3845" s="3">
        <v>42510</v>
      </c>
      <c r="L3845"/>
      <c r="N3845"/>
      <c r="O3845">
        <v>8.85</v>
      </c>
      <c r="P3845">
        <v>-57</v>
      </c>
      <c r="Q3845">
        <v>-504.45</v>
      </c>
      <c r="R3845">
        <v>0</v>
      </c>
      <c r="V3845">
        <v>0</v>
      </c>
      <c r="W3845">
        <v>0</v>
      </c>
      <c r="X3845">
        <v>0</v>
      </c>
      <c r="Y3845">
        <v>8.85</v>
      </c>
      <c r="Z3845">
        <v>8.85</v>
      </c>
      <c r="AA3845">
        <v>8.85</v>
      </c>
      <c r="AB3845" s="3">
        <v>42562</v>
      </c>
      <c r="AC3845" t="s">
        <v>53</v>
      </c>
      <c r="AD3845" t="s">
        <v>53</v>
      </c>
      <c r="AK3845">
        <v>0</v>
      </c>
      <c r="AU3845" s="3">
        <v>42453</v>
      </c>
      <c r="AV3845" s="3">
        <v>42453</v>
      </c>
      <c r="AW3845" t="s">
        <v>54</v>
      </c>
      <c r="AX3845" t="str">
        <f t="shared" si="467"/>
        <v>ALT</v>
      </c>
      <c r="AY3845" t="s">
        <v>72</v>
      </c>
    </row>
    <row r="3846" spans="1:51" hidden="1">
      <c r="A3846">
        <v>106596</v>
      </c>
      <c r="B3846" t="s">
        <v>497</v>
      </c>
      <c r="C3846" t="str">
        <f>""</f>
        <v/>
      </c>
      <c r="D3846" t="str">
        <f>"97017710589"</f>
        <v>97017710589</v>
      </c>
      <c r="E3846" t="s">
        <v>52</v>
      </c>
      <c r="F3846">
        <v>2016</v>
      </c>
      <c r="G3846" t="str">
        <f>"                0421"</f>
        <v xml:space="preserve">                0421</v>
      </c>
      <c r="H3846" s="3">
        <v>42481</v>
      </c>
      <c r="I3846" s="3">
        <v>42481</v>
      </c>
      <c r="J3846" s="3">
        <v>42481</v>
      </c>
      <c r="K3846" s="3">
        <v>42541</v>
      </c>
      <c r="L3846">
        <v>8.85</v>
      </c>
      <c r="M3846">
        <v>-60</v>
      </c>
      <c r="N3846">
        <v>-531</v>
      </c>
      <c r="O3846">
        <v>8.85</v>
      </c>
      <c r="P3846">
        <v>-60</v>
      </c>
      <c r="Q3846">
        <v>-531</v>
      </c>
      <c r="R3846">
        <v>0</v>
      </c>
      <c r="V3846">
        <v>8.85</v>
      </c>
      <c r="W3846">
        <v>8.85</v>
      </c>
      <c r="X3846">
        <v>8.85</v>
      </c>
      <c r="Y3846">
        <v>8.85</v>
      </c>
      <c r="Z3846">
        <v>8.85</v>
      </c>
      <c r="AA3846">
        <v>8.85</v>
      </c>
      <c r="AB3846" s="3">
        <v>42562</v>
      </c>
      <c r="AC3846" t="s">
        <v>53</v>
      </c>
      <c r="AD3846" t="s">
        <v>53</v>
      </c>
      <c r="AK3846">
        <v>0</v>
      </c>
      <c r="AU3846" s="3">
        <v>42481</v>
      </c>
      <c r="AV3846" s="3">
        <v>42481</v>
      </c>
      <c r="AW3846" t="s">
        <v>54</v>
      </c>
      <c r="AX3846" t="str">
        <f t="shared" si="467"/>
        <v>ALT</v>
      </c>
      <c r="AY3846" t="s">
        <v>72</v>
      </c>
    </row>
    <row r="3847" spans="1:51" hidden="1">
      <c r="A3847">
        <v>106596</v>
      </c>
      <c r="B3847" t="s">
        <v>497</v>
      </c>
      <c r="C3847" t="str">
        <f>""</f>
        <v/>
      </c>
      <c r="D3847" t="str">
        <f>"97017710589"</f>
        <v>97017710589</v>
      </c>
      <c r="E3847" t="s">
        <v>52</v>
      </c>
      <c r="F3847">
        <v>2016</v>
      </c>
      <c r="G3847" t="str">
        <f>"                0518"</f>
        <v xml:space="preserve">                0518</v>
      </c>
      <c r="H3847" s="3">
        <v>42508</v>
      </c>
      <c r="I3847" s="3">
        <v>42510</v>
      </c>
      <c r="J3847" s="3">
        <v>42510</v>
      </c>
      <c r="K3847" s="3">
        <v>42570</v>
      </c>
      <c r="L3847">
        <v>4.08</v>
      </c>
      <c r="M3847">
        <v>-57</v>
      </c>
      <c r="N3847">
        <v>-232.56</v>
      </c>
      <c r="O3847">
        <v>4.08</v>
      </c>
      <c r="P3847">
        <v>-57</v>
      </c>
      <c r="Q3847">
        <v>-232.56</v>
      </c>
      <c r="R3847">
        <v>0</v>
      </c>
      <c r="V3847">
        <v>4.08</v>
      </c>
      <c r="W3847">
        <v>4.08</v>
      </c>
      <c r="X3847">
        <v>4.08</v>
      </c>
      <c r="Y3847">
        <v>4.08</v>
      </c>
      <c r="Z3847">
        <v>4.08</v>
      </c>
      <c r="AA3847">
        <v>4.08</v>
      </c>
      <c r="AB3847" s="3">
        <v>42562</v>
      </c>
      <c r="AC3847" t="s">
        <v>53</v>
      </c>
      <c r="AD3847" t="s">
        <v>53</v>
      </c>
      <c r="AK3847">
        <v>0</v>
      </c>
      <c r="AU3847" s="3">
        <v>42513</v>
      </c>
      <c r="AV3847" s="3">
        <v>42513</v>
      </c>
      <c r="AW3847" t="s">
        <v>54</v>
      </c>
      <c r="AX3847" t="str">
        <f t="shared" si="467"/>
        <v>ALT</v>
      </c>
      <c r="AY3847" t="s">
        <v>72</v>
      </c>
    </row>
    <row r="3848" spans="1:51" hidden="1">
      <c r="A3848">
        <v>106597</v>
      </c>
      <c r="B3848" t="s">
        <v>498</v>
      </c>
      <c r="C3848" t="str">
        <f>""</f>
        <v/>
      </c>
      <c r="D3848" t="str">
        <f>"97584460584"</f>
        <v>97584460584</v>
      </c>
      <c r="E3848" t="s">
        <v>52</v>
      </c>
      <c r="F3848">
        <v>2016</v>
      </c>
      <c r="G3848" t="str">
        <f>"                  39"</f>
        <v xml:space="preserve">                  39</v>
      </c>
      <c r="H3848" s="3">
        <v>42431</v>
      </c>
      <c r="I3848" s="3">
        <v>42431</v>
      </c>
      <c r="J3848" s="3">
        <v>42431</v>
      </c>
      <c r="K3848" s="3">
        <v>42491</v>
      </c>
      <c r="L3848"/>
      <c r="N3848"/>
      <c r="O3848" s="4">
        <v>1185</v>
      </c>
      <c r="P3848">
        <v>-60</v>
      </c>
      <c r="Q3848" s="4">
        <v>-71100</v>
      </c>
      <c r="R3848">
        <v>0</v>
      </c>
      <c r="V3848">
        <v>0</v>
      </c>
      <c r="W3848">
        <v>0</v>
      </c>
      <c r="X3848">
        <v>0</v>
      </c>
      <c r="Y3848">
        <v>0</v>
      </c>
      <c r="Z3848" s="4">
        <v>1185</v>
      </c>
      <c r="AA3848" s="4">
        <v>1185</v>
      </c>
      <c r="AB3848" s="3">
        <v>42562</v>
      </c>
      <c r="AC3848" t="s">
        <v>53</v>
      </c>
      <c r="AD3848" t="s">
        <v>53</v>
      </c>
      <c r="AK3848">
        <v>0</v>
      </c>
      <c r="AU3848" s="3">
        <v>42431</v>
      </c>
      <c r="AV3848" s="3">
        <v>42431</v>
      </c>
      <c r="AW3848" t="s">
        <v>54</v>
      </c>
      <c r="AX3848" t="str">
        <f t="shared" si="467"/>
        <v>ALT</v>
      </c>
      <c r="AY3848" t="s">
        <v>72</v>
      </c>
    </row>
    <row r="3849" spans="1:51">
      <c r="A3849">
        <v>106599</v>
      </c>
      <c r="B3849" t="s">
        <v>499</v>
      </c>
      <c r="C3849" t="str">
        <f>"05304500654"</f>
        <v>05304500654</v>
      </c>
      <c r="D3849" t="str">
        <f>"05304500654"</f>
        <v>05304500654</v>
      </c>
      <c r="E3849" t="s">
        <v>52</v>
      </c>
      <c r="F3849">
        <v>2015</v>
      </c>
      <c r="G3849" t="str">
        <f>"                  93"</f>
        <v xml:space="preserve">                  93</v>
      </c>
      <c r="H3849" s="3">
        <v>42244</v>
      </c>
      <c r="I3849" s="3">
        <v>42408</v>
      </c>
      <c r="J3849" s="3">
        <v>42408</v>
      </c>
      <c r="K3849" s="3">
        <v>42468</v>
      </c>
      <c r="L3849" s="1">
        <v>921.6</v>
      </c>
      <c r="M3849">
        <v>19</v>
      </c>
      <c r="N3849" s="5">
        <v>17510.400000000001</v>
      </c>
      <c r="O3849">
        <v>921.6</v>
      </c>
      <c r="P3849">
        <v>19</v>
      </c>
      <c r="Q3849" s="4">
        <v>17510.400000000001</v>
      </c>
      <c r="R3849">
        <v>0</v>
      </c>
      <c r="V3849">
        <v>0</v>
      </c>
      <c r="W3849">
        <v>0</v>
      </c>
      <c r="X3849">
        <v>0</v>
      </c>
      <c r="Y3849">
        <v>0</v>
      </c>
      <c r="Z3849" s="4">
        <v>1124.3499999999999</v>
      </c>
      <c r="AA3849">
        <v>0</v>
      </c>
      <c r="AB3849" s="3">
        <v>42562</v>
      </c>
      <c r="AC3849" t="s">
        <v>53</v>
      </c>
      <c r="AD3849" t="s">
        <v>53</v>
      </c>
      <c r="AK3849">
        <v>0</v>
      </c>
      <c r="AU3849" s="3">
        <v>42487</v>
      </c>
      <c r="AV3849" s="3">
        <v>42487</v>
      </c>
      <c r="AW3849" t="s">
        <v>54</v>
      </c>
      <c r="AX3849" t="str">
        <f>"FOR"</f>
        <v>FOR</v>
      </c>
      <c r="AY3849" t="s">
        <v>55</v>
      </c>
    </row>
    <row r="3850" spans="1:51">
      <c r="A3850">
        <v>106599</v>
      </c>
      <c r="B3850" t="s">
        <v>499</v>
      </c>
      <c r="C3850" t="str">
        <f>"05304500654"</f>
        <v>05304500654</v>
      </c>
      <c r="D3850" t="str">
        <f>"05304500654"</f>
        <v>05304500654</v>
      </c>
      <c r="E3850" t="s">
        <v>52</v>
      </c>
      <c r="F3850">
        <v>2015</v>
      </c>
      <c r="G3850" t="str">
        <f>"                59/1"</f>
        <v xml:space="preserve">                59/1</v>
      </c>
      <c r="H3850" s="3">
        <v>42213</v>
      </c>
      <c r="I3850" s="3">
        <v>42408</v>
      </c>
      <c r="J3850" s="3">
        <v>42408</v>
      </c>
      <c r="K3850" s="3">
        <v>42468</v>
      </c>
      <c r="L3850" s="5">
        <v>1305.6300000000001</v>
      </c>
      <c r="M3850">
        <v>19</v>
      </c>
      <c r="N3850" s="5">
        <v>24806.97</v>
      </c>
      <c r="O3850" s="4">
        <v>1305.6300000000001</v>
      </c>
      <c r="P3850">
        <v>19</v>
      </c>
      <c r="Q3850" s="4">
        <v>24806.97</v>
      </c>
      <c r="R3850">
        <v>0</v>
      </c>
      <c r="V3850">
        <v>0</v>
      </c>
      <c r="W3850">
        <v>0</v>
      </c>
      <c r="X3850">
        <v>0</v>
      </c>
      <c r="Y3850">
        <v>0</v>
      </c>
      <c r="Z3850" s="4">
        <v>1592.87</v>
      </c>
      <c r="AA3850">
        <v>0</v>
      </c>
      <c r="AB3850" s="3">
        <v>42562</v>
      </c>
      <c r="AC3850" t="s">
        <v>53</v>
      </c>
      <c r="AD3850" t="s">
        <v>53</v>
      </c>
      <c r="AK3850">
        <v>0</v>
      </c>
      <c r="AU3850" s="3">
        <v>42487</v>
      </c>
      <c r="AV3850" s="3">
        <v>42487</v>
      </c>
      <c r="AW3850" t="s">
        <v>54</v>
      </c>
      <c r="AX3850" t="str">
        <f>"FOR"</f>
        <v>FOR</v>
      </c>
      <c r="AY3850" t="s">
        <v>55</v>
      </c>
    </row>
    <row r="3851" spans="1:51">
      <c r="A3851">
        <v>106608</v>
      </c>
      <c r="B3851" t="s">
        <v>500</v>
      </c>
      <c r="C3851" t="str">
        <f>"03328440270"</f>
        <v>03328440270</v>
      </c>
      <c r="D3851" t="str">
        <f>"02173800281"</f>
        <v>02173800281</v>
      </c>
      <c r="E3851" t="s">
        <v>52</v>
      </c>
      <c r="F3851">
        <v>2015</v>
      </c>
      <c r="G3851" t="str">
        <f>"          15FS006520"</f>
        <v xml:space="preserve">          15FS006520</v>
      </c>
      <c r="H3851" s="3">
        <v>42206</v>
      </c>
      <c r="I3851" s="3">
        <v>42228</v>
      </c>
      <c r="J3851" s="3">
        <v>42222</v>
      </c>
      <c r="K3851" s="3">
        <v>42282</v>
      </c>
      <c r="L3851" s="5">
        <v>3220</v>
      </c>
      <c r="M3851">
        <v>205</v>
      </c>
      <c r="N3851" s="5">
        <v>660100</v>
      </c>
      <c r="O3851" s="4">
        <v>3220</v>
      </c>
      <c r="P3851">
        <v>205</v>
      </c>
      <c r="Q3851" s="4">
        <v>660100</v>
      </c>
      <c r="R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  <c r="AB3851" s="3">
        <v>42562</v>
      </c>
      <c r="AC3851" t="s">
        <v>53</v>
      </c>
      <c r="AD3851" t="s">
        <v>53</v>
      </c>
      <c r="AK3851">
        <v>0</v>
      </c>
      <c r="AU3851" s="3">
        <v>42487</v>
      </c>
      <c r="AV3851" s="3">
        <v>42487</v>
      </c>
      <c r="AW3851" t="s">
        <v>54</v>
      </c>
      <c r="AX3851" t="str">
        <f>"FOR"</f>
        <v>FOR</v>
      </c>
      <c r="AY3851" t="s">
        <v>55</v>
      </c>
    </row>
    <row r="3852" spans="1:51">
      <c r="A3852">
        <v>106614</v>
      </c>
      <c r="B3852" t="s">
        <v>501</v>
      </c>
      <c r="C3852" t="str">
        <f>"04396531214"</f>
        <v>04396531214</v>
      </c>
      <c r="D3852" t="str">
        <f>"04396531214"</f>
        <v>04396531214</v>
      </c>
      <c r="E3852" t="s">
        <v>52</v>
      </c>
      <c r="F3852">
        <v>2015</v>
      </c>
      <c r="G3852" t="str">
        <f>"                 101"</f>
        <v xml:space="preserve">                 101</v>
      </c>
      <c r="H3852" s="3">
        <v>42089</v>
      </c>
      <c r="I3852" s="3">
        <v>42194</v>
      </c>
      <c r="J3852" s="3">
        <v>42194</v>
      </c>
      <c r="K3852" s="3">
        <v>42254</v>
      </c>
      <c r="L3852" s="5">
        <v>200100</v>
      </c>
      <c r="M3852">
        <v>210</v>
      </c>
      <c r="N3852" s="5">
        <v>42021000</v>
      </c>
      <c r="O3852" s="4">
        <v>200100</v>
      </c>
      <c r="P3852">
        <v>210</v>
      </c>
      <c r="Q3852" s="4">
        <v>42021000</v>
      </c>
      <c r="R3852">
        <v>0</v>
      </c>
      <c r="V3852">
        <v>0</v>
      </c>
      <c r="W3852">
        <v>0</v>
      </c>
      <c r="X3852">
        <v>0</v>
      </c>
      <c r="Y3852">
        <v>0</v>
      </c>
      <c r="Z3852">
        <v>0</v>
      </c>
      <c r="AA3852">
        <v>0</v>
      </c>
      <c r="AB3852" s="3">
        <v>42562</v>
      </c>
      <c r="AC3852" t="s">
        <v>53</v>
      </c>
      <c r="AD3852" t="s">
        <v>53</v>
      </c>
      <c r="AK3852">
        <v>0</v>
      </c>
      <c r="AU3852" s="3">
        <v>42464</v>
      </c>
      <c r="AV3852" s="3">
        <v>42464</v>
      </c>
      <c r="AW3852" t="s">
        <v>54</v>
      </c>
      <c r="AX3852" t="str">
        <f>"FOR"</f>
        <v>FOR</v>
      </c>
      <c r="AY3852" t="s">
        <v>55</v>
      </c>
    </row>
    <row r="3853" spans="1:51" hidden="1">
      <c r="A3853">
        <v>106615</v>
      </c>
      <c r="B3853" t="s">
        <v>502</v>
      </c>
      <c r="C3853" t="str">
        <f>"03522310279"</f>
        <v>03522310279</v>
      </c>
      <c r="D3853" t="str">
        <f>"03522310279"</f>
        <v>03522310279</v>
      </c>
      <c r="E3853" t="s">
        <v>52</v>
      </c>
      <c r="F3853">
        <v>2015</v>
      </c>
      <c r="G3853" t="str">
        <f>"                 129"</f>
        <v xml:space="preserve">                 129</v>
      </c>
      <c r="H3853" s="3">
        <v>42207</v>
      </c>
      <c r="I3853" s="3">
        <v>42233</v>
      </c>
      <c r="J3853" s="3">
        <v>42207</v>
      </c>
      <c r="K3853" s="3">
        <v>42267</v>
      </c>
      <c r="L3853"/>
      <c r="N3853"/>
      <c r="O3853">
        <v>371</v>
      </c>
      <c r="P3853">
        <v>137</v>
      </c>
      <c r="Q3853" s="4">
        <v>50827</v>
      </c>
      <c r="R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  <c r="AB3853" s="3">
        <v>42562</v>
      </c>
      <c r="AC3853" t="s">
        <v>53</v>
      </c>
      <c r="AD3853" t="s">
        <v>53</v>
      </c>
      <c r="AK3853">
        <v>0</v>
      </c>
      <c r="AU3853" s="3">
        <v>42404</v>
      </c>
      <c r="AV3853" s="3">
        <v>42404</v>
      </c>
      <c r="AW3853" t="s">
        <v>54</v>
      </c>
      <c r="AX3853" t="str">
        <f>"FOR"</f>
        <v>FOR</v>
      </c>
      <c r="AY3853" t="s">
        <v>55</v>
      </c>
    </row>
    <row r="3854" spans="1:51" hidden="1">
      <c r="A3854">
        <v>106619</v>
      </c>
      <c r="B3854" t="s">
        <v>503</v>
      </c>
      <c r="C3854" t="str">
        <f>"01146180623"</f>
        <v>01146180623</v>
      </c>
      <c r="D3854" t="str">
        <f>""</f>
        <v/>
      </c>
      <c r="E3854" t="s">
        <v>52</v>
      </c>
      <c r="F3854">
        <v>2016</v>
      </c>
      <c r="G3854" t="str">
        <f>"                0120"</f>
        <v xml:space="preserve">                0120</v>
      </c>
      <c r="H3854" s="3">
        <v>42389</v>
      </c>
      <c r="I3854" s="3">
        <v>42390</v>
      </c>
      <c r="J3854" s="3">
        <v>42390</v>
      </c>
      <c r="K3854" s="3">
        <v>42450</v>
      </c>
      <c r="L3854"/>
      <c r="N3854"/>
      <c r="O3854">
        <v>303.87</v>
      </c>
      <c r="P3854">
        <v>-60</v>
      </c>
      <c r="Q3854" s="4">
        <v>-18232.2</v>
      </c>
      <c r="R3854">
        <v>0</v>
      </c>
      <c r="V3854">
        <v>0</v>
      </c>
      <c r="W3854">
        <v>0</v>
      </c>
      <c r="X3854">
        <v>0</v>
      </c>
      <c r="Y3854">
        <v>303.87</v>
      </c>
      <c r="Z3854">
        <v>303.87</v>
      </c>
      <c r="AA3854">
        <v>303.87</v>
      </c>
      <c r="AB3854" s="3">
        <v>42562</v>
      </c>
      <c r="AC3854" t="s">
        <v>53</v>
      </c>
      <c r="AD3854" t="s">
        <v>53</v>
      </c>
      <c r="AK3854">
        <v>0</v>
      </c>
      <c r="AU3854" s="3">
        <v>42390</v>
      </c>
      <c r="AV3854" s="3">
        <v>42390</v>
      </c>
      <c r="AW3854" t="s">
        <v>54</v>
      </c>
      <c r="AX3854" t="str">
        <f t="shared" ref="AX3854:AX3861" si="468">"ALT"</f>
        <v>ALT</v>
      </c>
      <c r="AY3854" t="s">
        <v>72</v>
      </c>
    </row>
    <row r="3855" spans="1:51" hidden="1">
      <c r="A3855">
        <v>106619</v>
      </c>
      <c r="B3855" t="s">
        <v>503</v>
      </c>
      <c r="C3855" t="str">
        <f>"01146180623"</f>
        <v>01146180623</v>
      </c>
      <c r="D3855" t="str">
        <f>""</f>
        <v/>
      </c>
      <c r="E3855" t="s">
        <v>52</v>
      </c>
      <c r="F3855">
        <v>2016</v>
      </c>
      <c r="G3855" t="str">
        <f>"                0222"</f>
        <v xml:space="preserve">                0222</v>
      </c>
      <c r="H3855" s="3">
        <v>42422</v>
      </c>
      <c r="I3855" s="3">
        <v>42422</v>
      </c>
      <c r="J3855" s="3">
        <v>42422</v>
      </c>
      <c r="K3855" s="3">
        <v>42482</v>
      </c>
      <c r="L3855"/>
      <c r="N3855"/>
      <c r="O3855">
        <v>303.87</v>
      </c>
      <c r="P3855">
        <v>-58</v>
      </c>
      <c r="Q3855" s="4">
        <v>-17624.46</v>
      </c>
      <c r="R3855">
        <v>0</v>
      </c>
      <c r="V3855">
        <v>0</v>
      </c>
      <c r="W3855">
        <v>0</v>
      </c>
      <c r="X3855">
        <v>0</v>
      </c>
      <c r="Y3855">
        <v>303.87</v>
      </c>
      <c r="Z3855">
        <v>303.87</v>
      </c>
      <c r="AA3855">
        <v>303.87</v>
      </c>
      <c r="AB3855" s="3">
        <v>42562</v>
      </c>
      <c r="AC3855" t="s">
        <v>53</v>
      </c>
      <c r="AD3855" t="s">
        <v>53</v>
      </c>
      <c r="AK3855">
        <v>0</v>
      </c>
      <c r="AU3855" s="3">
        <v>42424</v>
      </c>
      <c r="AV3855" s="3">
        <v>42424</v>
      </c>
      <c r="AW3855" t="s">
        <v>54</v>
      </c>
      <c r="AX3855" t="str">
        <f t="shared" si="468"/>
        <v>ALT</v>
      </c>
      <c r="AY3855" t="s">
        <v>72</v>
      </c>
    </row>
    <row r="3856" spans="1:51" hidden="1">
      <c r="A3856">
        <v>106619</v>
      </c>
      <c r="B3856" t="s">
        <v>503</v>
      </c>
      <c r="C3856" t="str">
        <f>"01146180623"</f>
        <v>01146180623</v>
      </c>
      <c r="D3856" t="str">
        <f>""</f>
        <v/>
      </c>
      <c r="E3856" t="s">
        <v>52</v>
      </c>
      <c r="F3856">
        <v>2016</v>
      </c>
      <c r="G3856" t="str">
        <f>"                0321"</f>
        <v xml:space="preserve">                0321</v>
      </c>
      <c r="H3856" s="3">
        <v>42450</v>
      </c>
      <c r="I3856" s="3">
        <v>42450</v>
      </c>
      <c r="J3856" s="3">
        <v>42450</v>
      </c>
      <c r="K3856" s="3">
        <v>42510</v>
      </c>
      <c r="L3856"/>
      <c r="N3856"/>
      <c r="O3856">
        <v>303.87</v>
      </c>
      <c r="P3856">
        <v>-57</v>
      </c>
      <c r="Q3856" s="4">
        <v>-17320.59</v>
      </c>
      <c r="R3856">
        <v>0</v>
      </c>
      <c r="V3856">
        <v>0</v>
      </c>
      <c r="W3856">
        <v>0</v>
      </c>
      <c r="X3856">
        <v>0</v>
      </c>
      <c r="Y3856">
        <v>303.87</v>
      </c>
      <c r="Z3856">
        <v>303.87</v>
      </c>
      <c r="AA3856">
        <v>303.87</v>
      </c>
      <c r="AB3856" s="3">
        <v>42562</v>
      </c>
      <c r="AC3856" t="s">
        <v>53</v>
      </c>
      <c r="AD3856" t="s">
        <v>53</v>
      </c>
      <c r="AK3856">
        <v>0</v>
      </c>
      <c r="AU3856" s="3">
        <v>42453</v>
      </c>
      <c r="AV3856" s="3">
        <v>42453</v>
      </c>
      <c r="AW3856" t="s">
        <v>54</v>
      </c>
      <c r="AX3856" t="str">
        <f t="shared" si="468"/>
        <v>ALT</v>
      </c>
      <c r="AY3856" t="s">
        <v>72</v>
      </c>
    </row>
    <row r="3857" spans="1:51" hidden="1">
      <c r="A3857">
        <v>106620</v>
      </c>
      <c r="B3857" t="s">
        <v>504</v>
      </c>
      <c r="C3857" t="str">
        <f>"02597720792"</f>
        <v>02597720792</v>
      </c>
      <c r="D3857" t="str">
        <f>""</f>
        <v/>
      </c>
      <c r="E3857" t="s">
        <v>52</v>
      </c>
      <c r="F3857">
        <v>2016</v>
      </c>
      <c r="G3857" t="str">
        <f>"                0120"</f>
        <v xml:space="preserve">                0120</v>
      </c>
      <c r="H3857" s="3">
        <v>42389</v>
      </c>
      <c r="I3857" s="3">
        <v>42390</v>
      </c>
      <c r="J3857" s="3">
        <v>42390</v>
      </c>
      <c r="K3857" s="3">
        <v>42450</v>
      </c>
      <c r="L3857"/>
      <c r="N3857"/>
      <c r="O3857">
        <v>236</v>
      </c>
      <c r="P3857">
        <v>-60</v>
      </c>
      <c r="Q3857" s="4">
        <v>-14160</v>
      </c>
      <c r="R3857">
        <v>0</v>
      </c>
      <c r="V3857">
        <v>0</v>
      </c>
      <c r="W3857">
        <v>0</v>
      </c>
      <c r="X3857">
        <v>0</v>
      </c>
      <c r="Y3857">
        <v>236</v>
      </c>
      <c r="Z3857">
        <v>236</v>
      </c>
      <c r="AA3857">
        <v>236</v>
      </c>
      <c r="AB3857" s="3">
        <v>42562</v>
      </c>
      <c r="AC3857" t="s">
        <v>53</v>
      </c>
      <c r="AD3857" t="s">
        <v>53</v>
      </c>
      <c r="AK3857">
        <v>0</v>
      </c>
      <c r="AU3857" s="3">
        <v>42390</v>
      </c>
      <c r="AV3857" s="3">
        <v>42390</v>
      </c>
      <c r="AW3857" t="s">
        <v>54</v>
      </c>
      <c r="AX3857" t="str">
        <f t="shared" si="468"/>
        <v>ALT</v>
      </c>
      <c r="AY3857" t="s">
        <v>72</v>
      </c>
    </row>
    <row r="3858" spans="1:51" hidden="1">
      <c r="A3858">
        <v>106620</v>
      </c>
      <c r="B3858" t="s">
        <v>504</v>
      </c>
      <c r="C3858" t="str">
        <f>"02597720792"</f>
        <v>02597720792</v>
      </c>
      <c r="D3858" t="str">
        <f>""</f>
        <v/>
      </c>
      <c r="E3858" t="s">
        <v>52</v>
      </c>
      <c r="F3858">
        <v>2016</v>
      </c>
      <c r="G3858" t="str">
        <f>"                0222"</f>
        <v xml:space="preserve">                0222</v>
      </c>
      <c r="H3858" s="3">
        <v>42422</v>
      </c>
      <c r="I3858" s="3">
        <v>42422</v>
      </c>
      <c r="J3858" s="3">
        <v>42422</v>
      </c>
      <c r="K3858" s="3">
        <v>42482</v>
      </c>
      <c r="L3858"/>
      <c r="N3858"/>
      <c r="O3858">
        <v>236</v>
      </c>
      <c r="P3858">
        <v>-58</v>
      </c>
      <c r="Q3858" s="4">
        <v>-13688</v>
      </c>
      <c r="R3858">
        <v>0</v>
      </c>
      <c r="V3858">
        <v>0</v>
      </c>
      <c r="W3858">
        <v>0</v>
      </c>
      <c r="X3858">
        <v>0</v>
      </c>
      <c r="Y3858">
        <v>236</v>
      </c>
      <c r="Z3858">
        <v>236</v>
      </c>
      <c r="AA3858">
        <v>236</v>
      </c>
      <c r="AB3858" s="3">
        <v>42562</v>
      </c>
      <c r="AC3858" t="s">
        <v>53</v>
      </c>
      <c r="AD3858" t="s">
        <v>53</v>
      </c>
      <c r="AK3858">
        <v>0</v>
      </c>
      <c r="AU3858" s="3">
        <v>42424</v>
      </c>
      <c r="AV3858" s="3">
        <v>42424</v>
      </c>
      <c r="AW3858" t="s">
        <v>54</v>
      </c>
      <c r="AX3858" t="str">
        <f t="shared" si="468"/>
        <v>ALT</v>
      </c>
      <c r="AY3858" t="s">
        <v>72</v>
      </c>
    </row>
    <row r="3859" spans="1:51" hidden="1">
      <c r="A3859">
        <v>106620</v>
      </c>
      <c r="B3859" t="s">
        <v>504</v>
      </c>
      <c r="C3859" t="str">
        <f>"02597720792"</f>
        <v>02597720792</v>
      </c>
      <c r="D3859" t="str">
        <f>""</f>
        <v/>
      </c>
      <c r="E3859" t="s">
        <v>52</v>
      </c>
      <c r="F3859">
        <v>2016</v>
      </c>
      <c r="G3859" t="str">
        <f>"                0321"</f>
        <v xml:space="preserve">                0321</v>
      </c>
      <c r="H3859" s="3">
        <v>42450</v>
      </c>
      <c r="I3859" s="3">
        <v>42450</v>
      </c>
      <c r="J3859" s="3">
        <v>42450</v>
      </c>
      <c r="K3859" s="3">
        <v>42510</v>
      </c>
      <c r="L3859"/>
      <c r="N3859"/>
      <c r="O3859">
        <v>236</v>
      </c>
      <c r="P3859">
        <v>-57</v>
      </c>
      <c r="Q3859" s="4">
        <v>-13452</v>
      </c>
      <c r="R3859">
        <v>0</v>
      </c>
      <c r="V3859">
        <v>0</v>
      </c>
      <c r="W3859">
        <v>0</v>
      </c>
      <c r="X3859">
        <v>0</v>
      </c>
      <c r="Y3859">
        <v>236</v>
      </c>
      <c r="Z3859">
        <v>236</v>
      </c>
      <c r="AA3859">
        <v>236</v>
      </c>
      <c r="AB3859" s="3">
        <v>42562</v>
      </c>
      <c r="AC3859" t="s">
        <v>53</v>
      </c>
      <c r="AD3859" t="s">
        <v>53</v>
      </c>
      <c r="AK3859">
        <v>0</v>
      </c>
      <c r="AU3859" s="3">
        <v>42453</v>
      </c>
      <c r="AV3859" s="3">
        <v>42453</v>
      </c>
      <c r="AW3859" t="s">
        <v>54</v>
      </c>
      <c r="AX3859" t="str">
        <f t="shared" si="468"/>
        <v>ALT</v>
      </c>
      <c r="AY3859" t="s">
        <v>72</v>
      </c>
    </row>
    <row r="3860" spans="1:51" hidden="1">
      <c r="A3860">
        <v>106620</v>
      </c>
      <c r="B3860" t="s">
        <v>504</v>
      </c>
      <c r="C3860" t="str">
        <f>"02597720792"</f>
        <v>02597720792</v>
      </c>
      <c r="D3860" t="str">
        <f>""</f>
        <v/>
      </c>
      <c r="E3860" t="s">
        <v>52</v>
      </c>
      <c r="F3860">
        <v>2016</v>
      </c>
      <c r="G3860" t="str">
        <f>"                0421"</f>
        <v xml:space="preserve">                0421</v>
      </c>
      <c r="H3860" s="3">
        <v>42481</v>
      </c>
      <c r="I3860" s="3">
        <v>42481</v>
      </c>
      <c r="J3860" s="3">
        <v>42481</v>
      </c>
      <c r="K3860" s="3">
        <v>42541</v>
      </c>
      <c r="L3860">
        <v>236</v>
      </c>
      <c r="M3860">
        <v>-60</v>
      </c>
      <c r="N3860" s="4">
        <v>-14160</v>
      </c>
      <c r="O3860">
        <v>236</v>
      </c>
      <c r="P3860">
        <v>-60</v>
      </c>
      <c r="Q3860" s="4">
        <v>-14160</v>
      </c>
      <c r="R3860">
        <v>0</v>
      </c>
      <c r="V3860">
        <v>236</v>
      </c>
      <c r="W3860">
        <v>236</v>
      </c>
      <c r="X3860">
        <v>236</v>
      </c>
      <c r="Y3860">
        <v>236</v>
      </c>
      <c r="Z3860">
        <v>236</v>
      </c>
      <c r="AA3860">
        <v>236</v>
      </c>
      <c r="AB3860" s="3">
        <v>42562</v>
      </c>
      <c r="AC3860" t="s">
        <v>53</v>
      </c>
      <c r="AD3860" t="s">
        <v>53</v>
      </c>
      <c r="AK3860">
        <v>0</v>
      </c>
      <c r="AU3860" s="3">
        <v>42481</v>
      </c>
      <c r="AV3860" s="3">
        <v>42481</v>
      </c>
      <c r="AW3860" t="s">
        <v>54</v>
      </c>
      <c r="AX3860" t="str">
        <f t="shared" si="468"/>
        <v>ALT</v>
      </c>
      <c r="AY3860" t="s">
        <v>72</v>
      </c>
    </row>
    <row r="3861" spans="1:51" hidden="1">
      <c r="A3861">
        <v>106620</v>
      </c>
      <c r="B3861" t="s">
        <v>504</v>
      </c>
      <c r="C3861" t="str">
        <f>"02597720792"</f>
        <v>02597720792</v>
      </c>
      <c r="D3861" t="str">
        <f>""</f>
        <v/>
      </c>
      <c r="E3861" t="s">
        <v>52</v>
      </c>
      <c r="F3861">
        <v>2016</v>
      </c>
      <c r="G3861" t="str">
        <f>"                0518"</f>
        <v xml:space="preserve">                0518</v>
      </c>
      <c r="H3861" s="3">
        <v>42508</v>
      </c>
      <c r="I3861" s="3">
        <v>42510</v>
      </c>
      <c r="J3861" s="3">
        <v>42510</v>
      </c>
      <c r="K3861" s="3">
        <v>42570</v>
      </c>
      <c r="L3861">
        <v>236</v>
      </c>
      <c r="M3861">
        <v>-57</v>
      </c>
      <c r="N3861" s="4">
        <v>-13452</v>
      </c>
      <c r="O3861">
        <v>236</v>
      </c>
      <c r="P3861">
        <v>-57</v>
      </c>
      <c r="Q3861" s="4">
        <v>-13452</v>
      </c>
      <c r="R3861">
        <v>0</v>
      </c>
      <c r="V3861">
        <v>236</v>
      </c>
      <c r="W3861">
        <v>236</v>
      </c>
      <c r="X3861">
        <v>236</v>
      </c>
      <c r="Y3861">
        <v>236</v>
      </c>
      <c r="Z3861">
        <v>236</v>
      </c>
      <c r="AA3861">
        <v>236</v>
      </c>
      <c r="AB3861" s="3">
        <v>42562</v>
      </c>
      <c r="AC3861" t="s">
        <v>53</v>
      </c>
      <c r="AD3861" t="s">
        <v>53</v>
      </c>
      <c r="AK3861">
        <v>0</v>
      </c>
      <c r="AU3861" s="3">
        <v>42513</v>
      </c>
      <c r="AV3861" s="3">
        <v>42513</v>
      </c>
      <c r="AW3861" t="s">
        <v>54</v>
      </c>
      <c r="AX3861" t="str">
        <f t="shared" si="468"/>
        <v>ALT</v>
      </c>
      <c r="AY3861" t="s">
        <v>72</v>
      </c>
    </row>
    <row r="3862" spans="1:51" hidden="1">
      <c r="A3862">
        <v>106624</v>
      </c>
      <c r="B3862" t="s">
        <v>505</v>
      </c>
      <c r="C3862" t="str">
        <f>"07346721009"</f>
        <v>07346721009</v>
      </c>
      <c r="D3862" t="str">
        <f>"07346721009"</f>
        <v>07346721009</v>
      </c>
      <c r="E3862" t="s">
        <v>52</v>
      </c>
      <c r="F3862">
        <v>2015</v>
      </c>
      <c r="G3862" t="str">
        <f>"              003380"</f>
        <v xml:space="preserve">              003380</v>
      </c>
      <c r="H3862" s="3">
        <v>42247</v>
      </c>
      <c r="I3862" s="3">
        <v>42255</v>
      </c>
      <c r="J3862" s="3">
        <v>42254</v>
      </c>
      <c r="K3862" s="3">
        <v>42314</v>
      </c>
      <c r="L3862"/>
      <c r="N3862"/>
      <c r="O3862">
        <v>715.63</v>
      </c>
      <c r="P3862">
        <v>111</v>
      </c>
      <c r="Q3862" s="4">
        <v>79434.929999999993</v>
      </c>
      <c r="R3862">
        <v>0</v>
      </c>
      <c r="V3862">
        <v>0</v>
      </c>
      <c r="W3862">
        <v>0</v>
      </c>
      <c r="X3862">
        <v>0</v>
      </c>
      <c r="Y3862">
        <v>0</v>
      </c>
      <c r="Z3862">
        <v>0</v>
      </c>
      <c r="AA3862">
        <v>0</v>
      </c>
      <c r="AB3862" s="3">
        <v>42562</v>
      </c>
      <c r="AC3862" t="s">
        <v>53</v>
      </c>
      <c r="AD3862" t="s">
        <v>53</v>
      </c>
      <c r="AK3862">
        <v>0</v>
      </c>
      <c r="AU3862" s="3">
        <v>42425</v>
      </c>
      <c r="AV3862" s="3">
        <v>42425</v>
      </c>
      <c r="AW3862" t="s">
        <v>54</v>
      </c>
      <c r="AX3862" t="str">
        <f t="shared" ref="AX3862:AX3867" si="469">"FOR"</f>
        <v>FOR</v>
      </c>
      <c r="AY3862" t="s">
        <v>55</v>
      </c>
    </row>
    <row r="3863" spans="1:51" hidden="1">
      <c r="A3863">
        <v>106624</v>
      </c>
      <c r="B3863" t="s">
        <v>505</v>
      </c>
      <c r="C3863" t="str">
        <f>"07346721009"</f>
        <v>07346721009</v>
      </c>
      <c r="D3863" t="str">
        <f>"07346721009"</f>
        <v>07346721009</v>
      </c>
      <c r="E3863" t="s">
        <v>52</v>
      </c>
      <c r="F3863">
        <v>2015</v>
      </c>
      <c r="G3863" t="str">
        <f>"              004809"</f>
        <v xml:space="preserve">              004809</v>
      </c>
      <c r="H3863" s="3">
        <v>42369</v>
      </c>
      <c r="I3863" s="3">
        <v>42369</v>
      </c>
      <c r="J3863" s="3">
        <v>42369</v>
      </c>
      <c r="K3863" s="3">
        <v>42429</v>
      </c>
      <c r="L3863"/>
      <c r="N3863"/>
      <c r="O3863">
        <v>715.63</v>
      </c>
      <c r="P3863">
        <v>-4</v>
      </c>
      <c r="Q3863" s="4">
        <v>-2862.52</v>
      </c>
      <c r="R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  <c r="AB3863" s="3">
        <v>42562</v>
      </c>
      <c r="AC3863" t="s">
        <v>53</v>
      </c>
      <c r="AD3863" t="s">
        <v>53</v>
      </c>
      <c r="AK3863">
        <v>0</v>
      </c>
      <c r="AU3863" s="3">
        <v>42425</v>
      </c>
      <c r="AV3863" s="3">
        <v>42425</v>
      </c>
      <c r="AW3863" t="s">
        <v>54</v>
      </c>
      <c r="AX3863" t="str">
        <f t="shared" si="469"/>
        <v>FOR</v>
      </c>
      <c r="AY3863" t="s">
        <v>55</v>
      </c>
    </row>
    <row r="3864" spans="1:51">
      <c r="A3864">
        <v>106625</v>
      </c>
      <c r="B3864" t="s">
        <v>506</v>
      </c>
      <c r="C3864" t="str">
        <f>"02283810998"</f>
        <v>02283810998</v>
      </c>
      <c r="D3864" t="str">
        <f>""</f>
        <v/>
      </c>
      <c r="E3864" t="s">
        <v>52</v>
      </c>
      <c r="F3864">
        <v>2015</v>
      </c>
      <c r="G3864" t="str">
        <f>"              150173"</f>
        <v xml:space="preserve">              150173</v>
      </c>
      <c r="H3864" s="3">
        <v>42241</v>
      </c>
      <c r="I3864" s="3">
        <v>42243</v>
      </c>
      <c r="J3864" s="3">
        <v>42243</v>
      </c>
      <c r="K3864" s="3">
        <v>42303</v>
      </c>
      <c r="L3864" s="5">
        <v>1200</v>
      </c>
      <c r="M3864">
        <v>161</v>
      </c>
      <c r="N3864" s="5">
        <v>193200</v>
      </c>
      <c r="O3864" s="4">
        <v>1200</v>
      </c>
      <c r="P3864">
        <v>161</v>
      </c>
      <c r="Q3864" s="4">
        <v>193200</v>
      </c>
      <c r="R3864">
        <v>0</v>
      </c>
      <c r="V3864">
        <v>0</v>
      </c>
      <c r="W3864">
        <v>0</v>
      </c>
      <c r="X3864">
        <v>0</v>
      </c>
      <c r="Y3864">
        <v>0</v>
      </c>
      <c r="Z3864">
        <v>0</v>
      </c>
      <c r="AA3864">
        <v>0</v>
      </c>
      <c r="AB3864" s="3">
        <v>42562</v>
      </c>
      <c r="AC3864" t="s">
        <v>53</v>
      </c>
      <c r="AD3864" t="s">
        <v>53</v>
      </c>
      <c r="AK3864">
        <v>0</v>
      </c>
      <c r="AU3864" s="3">
        <v>42464</v>
      </c>
      <c r="AV3864" s="3">
        <v>42464</v>
      </c>
      <c r="AW3864" t="s">
        <v>54</v>
      </c>
      <c r="AX3864" t="str">
        <f t="shared" si="469"/>
        <v>FOR</v>
      </c>
      <c r="AY3864" t="s">
        <v>55</v>
      </c>
    </row>
    <row r="3865" spans="1:51">
      <c r="A3865">
        <v>106625</v>
      </c>
      <c r="B3865" t="s">
        <v>506</v>
      </c>
      <c r="C3865" t="str">
        <f>"02283810998"</f>
        <v>02283810998</v>
      </c>
      <c r="D3865" t="str">
        <f>""</f>
        <v/>
      </c>
      <c r="E3865" t="s">
        <v>52</v>
      </c>
      <c r="F3865">
        <v>2015</v>
      </c>
      <c r="G3865" t="str">
        <f>"              150263"</f>
        <v xml:space="preserve">              150263</v>
      </c>
      <c r="H3865" s="3">
        <v>42306</v>
      </c>
      <c r="I3865" s="3">
        <v>42320</v>
      </c>
      <c r="J3865" s="3">
        <v>42319</v>
      </c>
      <c r="K3865" s="3">
        <v>42379</v>
      </c>
      <c r="L3865" s="1">
        <v>300</v>
      </c>
      <c r="M3865">
        <v>85</v>
      </c>
      <c r="N3865" s="5">
        <v>25500</v>
      </c>
      <c r="O3865">
        <v>300</v>
      </c>
      <c r="P3865">
        <v>85</v>
      </c>
      <c r="Q3865" s="4">
        <v>25500</v>
      </c>
      <c r="R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  <c r="AB3865" s="3">
        <v>42562</v>
      </c>
      <c r="AC3865" t="s">
        <v>53</v>
      </c>
      <c r="AD3865" t="s">
        <v>53</v>
      </c>
      <c r="AK3865">
        <v>0</v>
      </c>
      <c r="AU3865" s="3">
        <v>42464</v>
      </c>
      <c r="AV3865" s="3">
        <v>42464</v>
      </c>
      <c r="AW3865" t="s">
        <v>54</v>
      </c>
      <c r="AX3865" t="str">
        <f t="shared" si="469"/>
        <v>FOR</v>
      </c>
      <c r="AY3865" t="s">
        <v>55</v>
      </c>
    </row>
    <row r="3866" spans="1:51">
      <c r="A3866">
        <v>106625</v>
      </c>
      <c r="B3866" t="s">
        <v>506</v>
      </c>
      <c r="C3866" t="str">
        <f>"02283810998"</f>
        <v>02283810998</v>
      </c>
      <c r="D3866" t="str">
        <f>""</f>
        <v/>
      </c>
      <c r="E3866" t="s">
        <v>52</v>
      </c>
      <c r="F3866">
        <v>2015</v>
      </c>
      <c r="G3866" t="str">
        <f>"              150264"</f>
        <v xml:space="preserve">              150264</v>
      </c>
      <c r="H3866" s="3">
        <v>42306</v>
      </c>
      <c r="I3866" s="3">
        <v>42320</v>
      </c>
      <c r="J3866" s="3">
        <v>42319</v>
      </c>
      <c r="K3866" s="3">
        <v>42379</v>
      </c>
      <c r="L3866" s="1">
        <v>820</v>
      </c>
      <c r="M3866">
        <v>85</v>
      </c>
      <c r="N3866" s="5">
        <v>69700</v>
      </c>
      <c r="O3866">
        <v>820</v>
      </c>
      <c r="P3866">
        <v>85</v>
      </c>
      <c r="Q3866" s="4">
        <v>69700</v>
      </c>
      <c r="R3866">
        <v>0</v>
      </c>
      <c r="V3866">
        <v>0</v>
      </c>
      <c r="W3866">
        <v>0</v>
      </c>
      <c r="X3866">
        <v>0</v>
      </c>
      <c r="Y3866">
        <v>0</v>
      </c>
      <c r="Z3866">
        <v>0</v>
      </c>
      <c r="AA3866">
        <v>0</v>
      </c>
      <c r="AB3866" s="3">
        <v>42562</v>
      </c>
      <c r="AC3866" t="s">
        <v>53</v>
      </c>
      <c r="AD3866" t="s">
        <v>53</v>
      </c>
      <c r="AK3866">
        <v>0</v>
      </c>
      <c r="AU3866" s="3">
        <v>42464</v>
      </c>
      <c r="AV3866" s="3">
        <v>42464</v>
      </c>
      <c r="AW3866" t="s">
        <v>54</v>
      </c>
      <c r="AX3866" t="str">
        <f t="shared" si="469"/>
        <v>FOR</v>
      </c>
      <c r="AY3866" t="s">
        <v>55</v>
      </c>
    </row>
    <row r="3867" spans="1:51">
      <c r="A3867">
        <v>106634</v>
      </c>
      <c r="B3867" t="s">
        <v>507</v>
      </c>
      <c r="C3867" t="str">
        <f>"04927530651"</f>
        <v>04927530651</v>
      </c>
      <c r="D3867" t="str">
        <f>""</f>
        <v/>
      </c>
      <c r="E3867" t="s">
        <v>52</v>
      </c>
      <c r="F3867">
        <v>2015</v>
      </c>
      <c r="G3867" t="str">
        <f>"        2015    73/E"</f>
        <v xml:space="preserve">        2015    73/E</v>
      </c>
      <c r="H3867" s="3">
        <v>42307</v>
      </c>
      <c r="I3867" s="3">
        <v>42312</v>
      </c>
      <c r="J3867" s="3">
        <v>42311</v>
      </c>
      <c r="K3867" s="3">
        <v>42371</v>
      </c>
      <c r="L3867" s="1">
        <v>520.52</v>
      </c>
      <c r="M3867">
        <v>104</v>
      </c>
      <c r="N3867" s="5">
        <v>54134.080000000002</v>
      </c>
      <c r="O3867">
        <v>520.52</v>
      </c>
      <c r="P3867">
        <v>104</v>
      </c>
      <c r="Q3867" s="4">
        <v>54134.080000000002</v>
      </c>
      <c r="R3867">
        <v>0</v>
      </c>
      <c r="V3867">
        <v>0</v>
      </c>
      <c r="W3867">
        <v>0</v>
      </c>
      <c r="X3867">
        <v>0</v>
      </c>
      <c r="Y3867">
        <v>0</v>
      </c>
      <c r="Z3867">
        <v>0</v>
      </c>
      <c r="AA3867">
        <v>0</v>
      </c>
      <c r="AB3867" s="3">
        <v>42562</v>
      </c>
      <c r="AC3867" t="s">
        <v>53</v>
      </c>
      <c r="AD3867" t="s">
        <v>53</v>
      </c>
      <c r="AK3867">
        <v>0</v>
      </c>
      <c r="AU3867" s="3">
        <v>42475</v>
      </c>
      <c r="AV3867" s="3">
        <v>42475</v>
      </c>
      <c r="AW3867" t="s">
        <v>54</v>
      </c>
      <c r="AX3867" t="str">
        <f t="shared" si="469"/>
        <v>FOR</v>
      </c>
      <c r="AY3867" t="s">
        <v>55</v>
      </c>
    </row>
    <row r="3868" spans="1:51" hidden="1">
      <c r="A3868">
        <v>106635</v>
      </c>
      <c r="B3868" t="s">
        <v>508</v>
      </c>
      <c r="C3868" t="str">
        <f>"03587150610"</f>
        <v>03587150610</v>
      </c>
      <c r="D3868" t="str">
        <f>"DCSLSU81L57A512Z"</f>
        <v>DCSLSU81L57A512Z</v>
      </c>
      <c r="E3868" t="s">
        <v>52</v>
      </c>
      <c r="F3868">
        <v>2015</v>
      </c>
      <c r="G3868" t="str">
        <f>"                2/PA"</f>
        <v xml:space="preserve">                2/PA</v>
      </c>
      <c r="H3868" s="3">
        <v>42368</v>
      </c>
      <c r="I3868" s="3">
        <v>42368</v>
      </c>
      <c r="J3868" s="3">
        <v>42368</v>
      </c>
      <c r="K3868" s="3">
        <v>42428</v>
      </c>
      <c r="L3868"/>
      <c r="N3868"/>
      <c r="O3868" s="4">
        <v>5002</v>
      </c>
      <c r="P3868">
        <v>-31</v>
      </c>
      <c r="Q3868" s="4">
        <v>-155062</v>
      </c>
      <c r="R3868">
        <v>0</v>
      </c>
      <c r="V3868">
        <v>0</v>
      </c>
      <c r="W3868">
        <v>0</v>
      </c>
      <c r="X3868">
        <v>0</v>
      </c>
      <c r="Y3868">
        <v>0</v>
      </c>
      <c r="Z3868">
        <v>0</v>
      </c>
      <c r="AA3868">
        <v>0</v>
      </c>
      <c r="AB3868" s="3">
        <v>42562</v>
      </c>
      <c r="AC3868" t="s">
        <v>53</v>
      </c>
      <c r="AD3868" t="s">
        <v>53</v>
      </c>
      <c r="AK3868">
        <v>0</v>
      </c>
      <c r="AU3868" s="3">
        <v>42397</v>
      </c>
      <c r="AV3868" s="3">
        <v>42397</v>
      </c>
      <c r="AW3868" t="s">
        <v>54</v>
      </c>
      <c r="AX3868" t="str">
        <f t="shared" ref="AX3868:AX3877" si="470">"ALTPRO"</f>
        <v>ALTPRO</v>
      </c>
      <c r="AY3868" t="s">
        <v>93</v>
      </c>
    </row>
    <row r="3869" spans="1:51">
      <c r="A3869">
        <v>106635</v>
      </c>
      <c r="B3869" t="s">
        <v>508</v>
      </c>
      <c r="C3869" t="str">
        <f>"03587150610"</f>
        <v>03587150610</v>
      </c>
      <c r="D3869" t="str">
        <f>"DCSLSU81L57A512Z"</f>
        <v>DCSLSU81L57A512Z</v>
      </c>
      <c r="E3869" t="s">
        <v>52</v>
      </c>
      <c r="F3869">
        <v>2016</v>
      </c>
      <c r="G3869" t="str">
        <f>"                1/PA"</f>
        <v xml:space="preserve">                1/PA</v>
      </c>
      <c r="H3869" s="3">
        <v>42466</v>
      </c>
      <c r="I3869" s="3">
        <v>42466</v>
      </c>
      <c r="J3869" s="3">
        <v>42466</v>
      </c>
      <c r="K3869" s="3">
        <v>42526</v>
      </c>
      <c r="L3869" s="5">
        <v>5002</v>
      </c>
      <c r="M3869">
        <v>-39</v>
      </c>
      <c r="N3869" s="5">
        <v>-195078</v>
      </c>
      <c r="O3869" s="4">
        <v>5002</v>
      </c>
      <c r="P3869">
        <v>-39</v>
      </c>
      <c r="Q3869" s="4">
        <v>-195078</v>
      </c>
      <c r="R3869">
        <v>0</v>
      </c>
      <c r="V3869">
        <v>0</v>
      </c>
      <c r="W3869" s="4">
        <v>5002</v>
      </c>
      <c r="X3869" s="4">
        <v>5002</v>
      </c>
      <c r="Y3869" s="4">
        <v>5002</v>
      </c>
      <c r="Z3869" s="4">
        <v>5002</v>
      </c>
      <c r="AA3869" s="4">
        <v>5002</v>
      </c>
      <c r="AB3869" s="3">
        <v>42562</v>
      </c>
      <c r="AC3869" t="s">
        <v>53</v>
      </c>
      <c r="AD3869" t="s">
        <v>53</v>
      </c>
      <c r="AK3869">
        <v>0</v>
      </c>
      <c r="AU3869" s="3">
        <v>42487</v>
      </c>
      <c r="AV3869" s="3">
        <v>42487</v>
      </c>
      <c r="AW3869" t="s">
        <v>54</v>
      </c>
      <c r="AX3869" t="str">
        <f t="shared" si="470"/>
        <v>ALTPRO</v>
      </c>
      <c r="AY3869" t="s">
        <v>93</v>
      </c>
    </row>
    <row r="3870" spans="1:51">
      <c r="A3870">
        <v>106636</v>
      </c>
      <c r="B3870" t="s">
        <v>509</v>
      </c>
      <c r="C3870" t="str">
        <f>"00880650627"</f>
        <v>00880650627</v>
      </c>
      <c r="D3870" t="str">
        <f>"PZZDNC63B18F839G"</f>
        <v>PZZDNC63B18F839G</v>
      </c>
      <c r="E3870" t="s">
        <v>52</v>
      </c>
      <c r="F3870">
        <v>2015</v>
      </c>
      <c r="G3870" t="str">
        <f>"             3E_2015"</f>
        <v xml:space="preserve">             3E_2015</v>
      </c>
      <c r="H3870" s="3">
        <v>42247</v>
      </c>
      <c r="I3870" s="3">
        <v>42282</v>
      </c>
      <c r="J3870" s="3">
        <v>42272</v>
      </c>
      <c r="K3870" s="3">
        <v>42332</v>
      </c>
      <c r="L3870" s="1">
        <v>636.04999999999995</v>
      </c>
      <c r="M3870">
        <v>155</v>
      </c>
      <c r="N3870" s="5">
        <v>98587.75</v>
      </c>
      <c r="O3870">
        <v>636.04999999999995</v>
      </c>
      <c r="P3870">
        <v>155</v>
      </c>
      <c r="Q3870" s="4">
        <v>98587.75</v>
      </c>
      <c r="R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  <c r="AB3870" s="3">
        <v>42562</v>
      </c>
      <c r="AC3870" t="s">
        <v>53</v>
      </c>
      <c r="AD3870" t="s">
        <v>53</v>
      </c>
      <c r="AK3870">
        <v>0</v>
      </c>
      <c r="AU3870" s="3">
        <v>42487</v>
      </c>
      <c r="AV3870" s="3">
        <v>42487</v>
      </c>
      <c r="AW3870" t="s">
        <v>54</v>
      </c>
      <c r="AX3870" t="str">
        <f t="shared" si="470"/>
        <v>ALTPRO</v>
      </c>
      <c r="AY3870" t="s">
        <v>93</v>
      </c>
    </row>
    <row r="3871" spans="1:51" hidden="1">
      <c r="A3871">
        <v>106637</v>
      </c>
      <c r="B3871" t="s">
        <v>510</v>
      </c>
      <c r="C3871" t="str">
        <f>"05390990652"</f>
        <v>05390990652</v>
      </c>
      <c r="D3871" t="str">
        <f>"TMPLRA84S50A717U"</f>
        <v>TMPLRA84S50A717U</v>
      </c>
      <c r="E3871" t="s">
        <v>52</v>
      </c>
      <c r="F3871">
        <v>2016</v>
      </c>
      <c r="G3871" t="str">
        <f>"         FATTPA 1_16"</f>
        <v xml:space="preserve">         FATTPA 1_16</v>
      </c>
      <c r="H3871" s="3">
        <v>42374</v>
      </c>
      <c r="I3871" s="3">
        <v>42377</v>
      </c>
      <c r="J3871" s="3">
        <v>42374</v>
      </c>
      <c r="K3871" s="3">
        <v>42434</v>
      </c>
      <c r="L3871"/>
      <c r="N3871"/>
      <c r="O3871" s="4">
        <v>6379.79</v>
      </c>
      <c r="P3871">
        <v>-37</v>
      </c>
      <c r="Q3871" s="4">
        <v>-236052.23</v>
      </c>
      <c r="R3871">
        <v>0</v>
      </c>
      <c r="V3871">
        <v>0</v>
      </c>
      <c r="W3871">
        <v>0</v>
      </c>
      <c r="X3871">
        <v>0</v>
      </c>
      <c r="Y3871" s="4">
        <v>-1594.45</v>
      </c>
      <c r="Z3871" s="4">
        <v>6379.79</v>
      </c>
      <c r="AA3871" s="4">
        <v>6379.79</v>
      </c>
      <c r="AB3871" s="3">
        <v>42562</v>
      </c>
      <c r="AC3871" t="s">
        <v>53</v>
      </c>
      <c r="AD3871" t="s">
        <v>53</v>
      </c>
      <c r="AK3871">
        <v>0</v>
      </c>
      <c r="AU3871" s="3">
        <v>42397</v>
      </c>
      <c r="AV3871" s="3">
        <v>42397</v>
      </c>
      <c r="AW3871" t="s">
        <v>54</v>
      </c>
      <c r="AX3871" t="str">
        <f t="shared" si="470"/>
        <v>ALTPRO</v>
      </c>
      <c r="AY3871" t="s">
        <v>93</v>
      </c>
    </row>
    <row r="3872" spans="1:51" hidden="1">
      <c r="A3872">
        <v>106637</v>
      </c>
      <c r="B3872" t="s">
        <v>510</v>
      </c>
      <c r="C3872" t="str">
        <f>"05390990652"</f>
        <v>05390990652</v>
      </c>
      <c r="D3872" t="str">
        <f>"TMPLRA84S50A717U"</f>
        <v>TMPLRA84S50A717U</v>
      </c>
      <c r="E3872" t="s">
        <v>52</v>
      </c>
      <c r="F3872">
        <v>2016</v>
      </c>
      <c r="G3872" t="str">
        <f>"         FATTPA 2_16"</f>
        <v xml:space="preserve">         FATTPA 2_16</v>
      </c>
      <c r="H3872" s="3">
        <v>42402</v>
      </c>
      <c r="I3872" s="3">
        <v>42403</v>
      </c>
      <c r="J3872" s="3">
        <v>42402</v>
      </c>
      <c r="K3872" s="3">
        <v>42462</v>
      </c>
      <c r="L3872"/>
      <c r="N3872"/>
      <c r="O3872" s="4">
        <v>2053.0100000000002</v>
      </c>
      <c r="P3872">
        <v>-36</v>
      </c>
      <c r="Q3872" s="4">
        <v>-73908.36</v>
      </c>
      <c r="R3872">
        <v>0</v>
      </c>
      <c r="V3872">
        <v>0</v>
      </c>
      <c r="W3872">
        <v>0</v>
      </c>
      <c r="X3872">
        <v>0</v>
      </c>
      <c r="Y3872" s="4">
        <v>2053.0100000000002</v>
      </c>
      <c r="Z3872" s="4">
        <v>2053.0100000000002</v>
      </c>
      <c r="AA3872" s="4">
        <v>2053.0100000000002</v>
      </c>
      <c r="AB3872" s="3">
        <v>42562</v>
      </c>
      <c r="AC3872" t="s">
        <v>53</v>
      </c>
      <c r="AD3872" t="s">
        <v>53</v>
      </c>
      <c r="AK3872">
        <v>0</v>
      </c>
      <c r="AU3872" s="3">
        <v>42426</v>
      </c>
      <c r="AV3872" s="3">
        <v>42426</v>
      </c>
      <c r="AW3872" t="s">
        <v>54</v>
      </c>
      <c r="AX3872" t="str">
        <f t="shared" si="470"/>
        <v>ALTPRO</v>
      </c>
      <c r="AY3872" t="s">
        <v>93</v>
      </c>
    </row>
    <row r="3873" spans="1:51" hidden="1">
      <c r="A3873">
        <v>106637</v>
      </c>
      <c r="B3873" t="s">
        <v>510</v>
      </c>
      <c r="C3873" t="str">
        <f>"05390990652"</f>
        <v>05390990652</v>
      </c>
      <c r="D3873" t="str">
        <f>"TMPLRA84S50A717U"</f>
        <v>TMPLRA84S50A717U</v>
      </c>
      <c r="E3873" t="s">
        <v>52</v>
      </c>
      <c r="F3873">
        <v>2016</v>
      </c>
      <c r="G3873" t="str">
        <f>"         FATTPA 3_16"</f>
        <v xml:space="preserve">         FATTPA 3_16</v>
      </c>
      <c r="H3873" s="3">
        <v>42434</v>
      </c>
      <c r="I3873" s="3">
        <v>42436</v>
      </c>
      <c r="J3873" s="3">
        <v>42434</v>
      </c>
      <c r="K3873" s="3">
        <v>42494</v>
      </c>
      <c r="L3873"/>
      <c r="N3873"/>
      <c r="O3873" s="4">
        <v>2109.1999999999998</v>
      </c>
      <c r="P3873">
        <v>-43</v>
      </c>
      <c r="Q3873" s="4">
        <v>-90695.6</v>
      </c>
      <c r="R3873">
        <v>0</v>
      </c>
      <c r="V3873">
        <v>0</v>
      </c>
      <c r="W3873">
        <v>0</v>
      </c>
      <c r="X3873">
        <v>0</v>
      </c>
      <c r="Y3873" s="4">
        <v>2109.1999999999998</v>
      </c>
      <c r="Z3873" s="4">
        <v>2109.1999999999998</v>
      </c>
      <c r="AA3873" s="4">
        <v>2109.1999999999998</v>
      </c>
      <c r="AB3873" s="3">
        <v>42562</v>
      </c>
      <c r="AC3873" t="s">
        <v>53</v>
      </c>
      <c r="AD3873" t="s">
        <v>53</v>
      </c>
      <c r="AK3873">
        <v>0</v>
      </c>
      <c r="AU3873" s="3">
        <v>42451</v>
      </c>
      <c r="AV3873" s="3">
        <v>42451</v>
      </c>
      <c r="AW3873" t="s">
        <v>54</v>
      </c>
      <c r="AX3873" t="str">
        <f t="shared" si="470"/>
        <v>ALTPRO</v>
      </c>
      <c r="AY3873" t="s">
        <v>93</v>
      </c>
    </row>
    <row r="3874" spans="1:51">
      <c r="A3874">
        <v>106637</v>
      </c>
      <c r="B3874" t="s">
        <v>510</v>
      </c>
      <c r="C3874" t="str">
        <f>"05390990652"</f>
        <v>05390990652</v>
      </c>
      <c r="D3874" t="str">
        <f>"TMPLRA84S50A717U"</f>
        <v>TMPLRA84S50A717U</v>
      </c>
      <c r="E3874" t="s">
        <v>52</v>
      </c>
      <c r="F3874">
        <v>2016</v>
      </c>
      <c r="G3874" t="str">
        <f>"         FATTPA 5_16"</f>
        <v xml:space="preserve">         FATTPA 5_16</v>
      </c>
      <c r="H3874" s="3">
        <v>42460</v>
      </c>
      <c r="I3874" s="3">
        <v>42464</v>
      </c>
      <c r="J3874" s="3">
        <v>42460</v>
      </c>
      <c r="K3874" s="3">
        <v>42520</v>
      </c>
      <c r="L3874" s="5">
        <v>2193.4899999999998</v>
      </c>
      <c r="M3874">
        <v>-33</v>
      </c>
      <c r="N3874" s="5">
        <v>-72385.17</v>
      </c>
      <c r="O3874" s="4">
        <v>2193.4899999999998</v>
      </c>
      <c r="P3874">
        <v>-33</v>
      </c>
      <c r="Q3874" s="4">
        <v>-72385.17</v>
      </c>
      <c r="R3874">
        <v>0</v>
      </c>
      <c r="V3874">
        <v>0</v>
      </c>
      <c r="W3874" s="4">
        <v>2193.4899999999998</v>
      </c>
      <c r="X3874">
        <v>0</v>
      </c>
      <c r="Y3874" s="4">
        <v>2193.4899999999998</v>
      </c>
      <c r="Z3874" s="4">
        <v>2193.4899999999998</v>
      </c>
      <c r="AA3874" s="4">
        <v>2193.4899999999998</v>
      </c>
      <c r="AB3874" s="3">
        <v>42562</v>
      </c>
      <c r="AC3874" t="s">
        <v>53</v>
      </c>
      <c r="AD3874" t="s">
        <v>53</v>
      </c>
      <c r="AK3874">
        <v>0</v>
      </c>
      <c r="AU3874" s="3">
        <v>42487</v>
      </c>
      <c r="AV3874" s="3">
        <v>42487</v>
      </c>
      <c r="AW3874" t="s">
        <v>54</v>
      </c>
      <c r="AX3874" t="str">
        <f t="shared" si="470"/>
        <v>ALTPRO</v>
      </c>
      <c r="AY3874" t="s">
        <v>93</v>
      </c>
    </row>
    <row r="3875" spans="1:51">
      <c r="A3875">
        <v>106637</v>
      </c>
      <c r="B3875" t="s">
        <v>510</v>
      </c>
      <c r="C3875" t="str">
        <f>"05390990652"</f>
        <v>05390990652</v>
      </c>
      <c r="D3875" t="str">
        <f>"TMPLRA84S50A717U"</f>
        <v>TMPLRA84S50A717U</v>
      </c>
      <c r="E3875" t="s">
        <v>52</v>
      </c>
      <c r="F3875">
        <v>2016</v>
      </c>
      <c r="G3875" t="str">
        <f>"         FATTPA 6_16"</f>
        <v xml:space="preserve">         FATTPA 6_16</v>
      </c>
      <c r="H3875" s="3">
        <v>42494</v>
      </c>
      <c r="I3875" s="3">
        <v>42495</v>
      </c>
      <c r="J3875" s="3">
        <v>42494</v>
      </c>
      <c r="K3875" s="3">
        <v>42554</v>
      </c>
      <c r="L3875" s="5">
        <v>2109.1999999999998</v>
      </c>
      <c r="M3875">
        <v>-38</v>
      </c>
      <c r="N3875" s="5">
        <v>-80149.600000000006</v>
      </c>
      <c r="O3875" s="4">
        <v>2109.1999999999998</v>
      </c>
      <c r="P3875">
        <v>-38</v>
      </c>
      <c r="Q3875" s="4">
        <v>-80149.600000000006</v>
      </c>
      <c r="R3875">
        <v>0</v>
      </c>
      <c r="V3875" s="4">
        <v>2109.1999999999998</v>
      </c>
      <c r="W3875" s="4">
        <v>2109.1999999999998</v>
      </c>
      <c r="X3875" s="4">
        <v>2109.1999999999998</v>
      </c>
      <c r="Y3875" s="4">
        <v>2109.1999999999998</v>
      </c>
      <c r="Z3875" s="4">
        <v>2109.1999999999998</v>
      </c>
      <c r="AA3875" s="4">
        <v>2109.1999999999998</v>
      </c>
      <c r="AB3875" s="3">
        <v>42562</v>
      </c>
      <c r="AC3875" t="s">
        <v>53</v>
      </c>
      <c r="AD3875" t="s">
        <v>53</v>
      </c>
      <c r="AK3875">
        <v>0</v>
      </c>
      <c r="AU3875" s="3">
        <v>42516</v>
      </c>
      <c r="AV3875" s="3">
        <v>42516</v>
      </c>
      <c r="AW3875" t="s">
        <v>54</v>
      </c>
      <c r="AX3875" t="str">
        <f t="shared" si="470"/>
        <v>ALTPRO</v>
      </c>
      <c r="AY3875" t="s">
        <v>93</v>
      </c>
    </row>
    <row r="3876" spans="1:51" hidden="1">
      <c r="A3876">
        <v>106642</v>
      </c>
      <c r="B3876" t="s">
        <v>511</v>
      </c>
      <c r="C3876" t="str">
        <f>"03385160787"</f>
        <v>03385160787</v>
      </c>
      <c r="D3876" t="str">
        <f>"PTRRNN80S62E919N"</f>
        <v>PTRRNN80S62E919N</v>
      </c>
      <c r="E3876" t="s">
        <v>52</v>
      </c>
      <c r="F3876">
        <v>2016</v>
      </c>
      <c r="G3876" t="str">
        <f>"         FATTPA 1_16"</f>
        <v xml:space="preserve">         FATTPA 1_16</v>
      </c>
      <c r="H3876" s="3">
        <v>42381</v>
      </c>
      <c r="I3876" s="3">
        <v>42382</v>
      </c>
      <c r="J3876" s="3">
        <v>42381</v>
      </c>
      <c r="K3876" s="3">
        <v>42441</v>
      </c>
      <c r="L3876"/>
      <c r="N3876"/>
      <c r="O3876" s="4">
        <v>3502</v>
      </c>
      <c r="P3876">
        <v>-44</v>
      </c>
      <c r="Q3876" s="4">
        <v>-154088</v>
      </c>
      <c r="R3876">
        <v>0</v>
      </c>
      <c r="V3876">
        <v>0</v>
      </c>
      <c r="W3876">
        <v>0</v>
      </c>
      <c r="X3876">
        <v>0</v>
      </c>
      <c r="Y3876" s="4">
        <v>3502</v>
      </c>
      <c r="Z3876" s="4">
        <v>3502</v>
      </c>
      <c r="AA3876" s="4">
        <v>3502</v>
      </c>
      <c r="AB3876" s="3">
        <v>42562</v>
      </c>
      <c r="AC3876" t="s">
        <v>53</v>
      </c>
      <c r="AD3876" t="s">
        <v>53</v>
      </c>
      <c r="AK3876">
        <v>0</v>
      </c>
      <c r="AU3876" s="3">
        <v>42397</v>
      </c>
      <c r="AV3876" s="3">
        <v>42397</v>
      </c>
      <c r="AW3876" t="s">
        <v>54</v>
      </c>
      <c r="AX3876" t="str">
        <f t="shared" si="470"/>
        <v>ALTPRO</v>
      </c>
      <c r="AY3876" t="s">
        <v>93</v>
      </c>
    </row>
    <row r="3877" spans="1:51">
      <c r="A3877">
        <v>106642</v>
      </c>
      <c r="B3877" t="s">
        <v>511</v>
      </c>
      <c r="C3877" t="str">
        <f>"03385160787"</f>
        <v>03385160787</v>
      </c>
      <c r="D3877" t="str">
        <f>"PTRRNN80S62E919N"</f>
        <v>PTRRNN80S62E919N</v>
      </c>
      <c r="E3877" t="s">
        <v>52</v>
      </c>
      <c r="F3877">
        <v>2016</v>
      </c>
      <c r="G3877" t="str">
        <f>"         FATTPA 2_16"</f>
        <v xml:space="preserve">         FATTPA 2_16</v>
      </c>
      <c r="H3877" s="3">
        <v>42464</v>
      </c>
      <c r="I3877" s="3">
        <v>42465</v>
      </c>
      <c r="J3877" s="3">
        <v>42464</v>
      </c>
      <c r="K3877" s="3">
        <v>42524</v>
      </c>
      <c r="L3877" s="5">
        <v>3502</v>
      </c>
      <c r="M3877">
        <v>-37</v>
      </c>
      <c r="N3877" s="5">
        <v>-129574</v>
      </c>
      <c r="O3877" s="4">
        <v>3502</v>
      </c>
      <c r="P3877">
        <v>-37</v>
      </c>
      <c r="Q3877" s="4">
        <v>-129574</v>
      </c>
      <c r="R3877">
        <v>0</v>
      </c>
      <c r="V3877">
        <v>0</v>
      </c>
      <c r="W3877" s="4">
        <v>3502</v>
      </c>
      <c r="X3877" s="4">
        <v>3502</v>
      </c>
      <c r="Y3877" s="4">
        <v>3502</v>
      </c>
      <c r="Z3877" s="4">
        <v>3502</v>
      </c>
      <c r="AA3877" s="4">
        <v>3502</v>
      </c>
      <c r="AB3877" s="3">
        <v>42562</v>
      </c>
      <c r="AC3877" t="s">
        <v>53</v>
      </c>
      <c r="AD3877" t="s">
        <v>53</v>
      </c>
      <c r="AK3877">
        <v>0</v>
      </c>
      <c r="AU3877" s="3">
        <v>42487</v>
      </c>
      <c r="AV3877" s="3">
        <v>42487</v>
      </c>
      <c r="AW3877" t="s">
        <v>54</v>
      </c>
      <c r="AX3877" t="str">
        <f t="shared" si="470"/>
        <v>ALTPRO</v>
      </c>
      <c r="AY3877" t="s">
        <v>93</v>
      </c>
    </row>
    <row r="3878" spans="1:51" hidden="1">
      <c r="A3878">
        <v>106645</v>
      </c>
      <c r="B3878" t="s">
        <v>512</v>
      </c>
      <c r="C3878" t="str">
        <f>""</f>
        <v/>
      </c>
      <c r="D3878" t="str">
        <f>"LNGRTI64L61A783C"</f>
        <v>LNGRTI64L61A783C</v>
      </c>
      <c r="E3878" t="s">
        <v>52</v>
      </c>
      <c r="F3878">
        <v>2016</v>
      </c>
      <c r="G3878" t="str">
        <f>"                  63"</f>
        <v xml:space="preserve">                  63</v>
      </c>
      <c r="H3878" s="3">
        <v>42444</v>
      </c>
      <c r="I3878" s="3">
        <v>42444</v>
      </c>
      <c r="J3878" s="3">
        <v>42444</v>
      </c>
      <c r="K3878" s="3">
        <v>42504</v>
      </c>
      <c r="L3878"/>
      <c r="N3878"/>
      <c r="O3878">
        <v>250</v>
      </c>
      <c r="P3878">
        <v>-60</v>
      </c>
      <c r="Q3878" s="4">
        <v>-15000</v>
      </c>
      <c r="R3878">
        <v>0</v>
      </c>
      <c r="V3878">
        <v>0</v>
      </c>
      <c r="W3878">
        <v>0</v>
      </c>
      <c r="X3878">
        <v>0</v>
      </c>
      <c r="Y3878">
        <v>250</v>
      </c>
      <c r="Z3878">
        <v>250</v>
      </c>
      <c r="AA3878">
        <v>250</v>
      </c>
      <c r="AB3878" s="3">
        <v>42562</v>
      </c>
      <c r="AC3878" t="s">
        <v>53</v>
      </c>
      <c r="AD3878" t="s">
        <v>53</v>
      </c>
      <c r="AK3878">
        <v>0</v>
      </c>
      <c r="AU3878" s="3">
        <v>42444</v>
      </c>
      <c r="AV3878" s="3">
        <v>42444</v>
      </c>
      <c r="AW3878" t="s">
        <v>54</v>
      </c>
      <c r="AX3878" t="str">
        <f>"ALT"</f>
        <v>ALT</v>
      </c>
      <c r="AY3878" t="s">
        <v>72</v>
      </c>
    </row>
    <row r="3879" spans="1:51" hidden="1">
      <c r="A3879">
        <v>106645</v>
      </c>
      <c r="B3879" t="s">
        <v>512</v>
      </c>
      <c r="C3879" t="str">
        <f>""</f>
        <v/>
      </c>
      <c r="D3879" t="str">
        <f>"LNGRTI64L61A783C"</f>
        <v>LNGRTI64L61A783C</v>
      </c>
      <c r="E3879" t="s">
        <v>52</v>
      </c>
      <c r="F3879">
        <v>2016</v>
      </c>
      <c r="G3879" t="str">
        <f>"                  85"</f>
        <v xml:space="preserve">                  85</v>
      </c>
      <c r="H3879" s="3">
        <v>42478</v>
      </c>
      <c r="I3879" s="3">
        <v>42478</v>
      </c>
      <c r="J3879" s="3">
        <v>42478</v>
      </c>
      <c r="K3879" s="3">
        <v>42538</v>
      </c>
      <c r="L3879">
        <v>100</v>
      </c>
      <c r="M3879">
        <v>-60</v>
      </c>
      <c r="N3879" s="4">
        <v>-6000</v>
      </c>
      <c r="O3879">
        <v>100</v>
      </c>
      <c r="P3879">
        <v>-60</v>
      </c>
      <c r="Q3879" s="4">
        <v>-6000</v>
      </c>
      <c r="R3879">
        <v>0</v>
      </c>
      <c r="V3879">
        <v>100</v>
      </c>
      <c r="W3879">
        <v>100</v>
      </c>
      <c r="X3879">
        <v>100</v>
      </c>
      <c r="Y3879">
        <v>100</v>
      </c>
      <c r="Z3879">
        <v>100</v>
      </c>
      <c r="AA3879">
        <v>100</v>
      </c>
      <c r="AB3879" s="3">
        <v>42562</v>
      </c>
      <c r="AC3879" t="s">
        <v>53</v>
      </c>
      <c r="AD3879" t="s">
        <v>53</v>
      </c>
      <c r="AK3879">
        <v>0</v>
      </c>
      <c r="AU3879" s="3">
        <v>42478</v>
      </c>
      <c r="AV3879" s="3">
        <v>42478</v>
      </c>
      <c r="AW3879" t="s">
        <v>54</v>
      </c>
      <c r="AX3879" t="str">
        <f>"ALT"</f>
        <v>ALT</v>
      </c>
      <c r="AY3879" t="s">
        <v>72</v>
      </c>
    </row>
    <row r="3880" spans="1:51" hidden="1">
      <c r="A3880">
        <v>106645</v>
      </c>
      <c r="B3880" t="s">
        <v>512</v>
      </c>
      <c r="C3880" t="str">
        <f>""</f>
        <v/>
      </c>
      <c r="D3880" t="str">
        <f>"LNGRTI64L61A783C"</f>
        <v>LNGRTI64L61A783C</v>
      </c>
      <c r="E3880" t="s">
        <v>52</v>
      </c>
      <c r="F3880">
        <v>2016</v>
      </c>
      <c r="G3880" t="str">
        <f>"                 119"</f>
        <v xml:space="preserve">                 119</v>
      </c>
      <c r="H3880" s="3">
        <v>42509</v>
      </c>
      <c r="I3880" s="3">
        <v>42509</v>
      </c>
      <c r="J3880" s="3">
        <v>42509</v>
      </c>
      <c r="K3880" s="3">
        <v>42569</v>
      </c>
      <c r="L3880">
        <v>100</v>
      </c>
      <c r="M3880">
        <v>-60</v>
      </c>
      <c r="N3880" s="4">
        <v>-6000</v>
      </c>
      <c r="O3880">
        <v>100</v>
      </c>
      <c r="P3880">
        <v>-60</v>
      </c>
      <c r="Q3880" s="4">
        <v>-6000</v>
      </c>
      <c r="R3880">
        <v>0</v>
      </c>
      <c r="V3880">
        <v>100</v>
      </c>
      <c r="W3880">
        <v>100</v>
      </c>
      <c r="X3880">
        <v>100</v>
      </c>
      <c r="Y3880">
        <v>100</v>
      </c>
      <c r="Z3880">
        <v>100</v>
      </c>
      <c r="AA3880">
        <v>100</v>
      </c>
      <c r="AB3880" s="3">
        <v>42562</v>
      </c>
      <c r="AC3880" t="s">
        <v>53</v>
      </c>
      <c r="AD3880" t="s">
        <v>53</v>
      </c>
      <c r="AK3880">
        <v>0</v>
      </c>
      <c r="AU3880" s="3">
        <v>42509</v>
      </c>
      <c r="AV3880" s="3">
        <v>42509</v>
      </c>
      <c r="AW3880" t="s">
        <v>54</v>
      </c>
      <c r="AX3880" t="str">
        <f>"ALT"</f>
        <v>ALT</v>
      </c>
      <c r="AY3880" t="s">
        <v>72</v>
      </c>
    </row>
    <row r="3881" spans="1:51" hidden="1">
      <c r="A3881">
        <v>106645</v>
      </c>
      <c r="B3881" t="s">
        <v>512</v>
      </c>
      <c r="C3881" t="str">
        <f>""</f>
        <v/>
      </c>
      <c r="D3881" t="str">
        <f>"LNGRTI64L61A783C"</f>
        <v>LNGRTI64L61A783C</v>
      </c>
      <c r="E3881" t="s">
        <v>52</v>
      </c>
      <c r="F3881">
        <v>2016</v>
      </c>
      <c r="G3881" t="str">
        <f>"                 143"</f>
        <v xml:space="preserve">                 143</v>
      </c>
      <c r="H3881" s="3">
        <v>42535</v>
      </c>
      <c r="I3881" s="3">
        <v>42535</v>
      </c>
      <c r="J3881" s="3">
        <v>42535</v>
      </c>
      <c r="K3881" s="3">
        <v>42595</v>
      </c>
      <c r="L3881">
        <v>100</v>
      </c>
      <c r="M3881">
        <v>-60</v>
      </c>
      <c r="N3881" s="4">
        <v>-6000</v>
      </c>
      <c r="O3881">
        <v>100</v>
      </c>
      <c r="P3881">
        <v>-60</v>
      </c>
      <c r="Q3881" s="4">
        <v>-6000</v>
      </c>
      <c r="R3881">
        <v>0</v>
      </c>
      <c r="V3881">
        <v>100</v>
      </c>
      <c r="W3881">
        <v>100</v>
      </c>
      <c r="X3881">
        <v>100</v>
      </c>
      <c r="Y3881">
        <v>100</v>
      </c>
      <c r="Z3881">
        <v>100</v>
      </c>
      <c r="AA3881">
        <v>100</v>
      </c>
      <c r="AB3881" s="3">
        <v>42562</v>
      </c>
      <c r="AC3881" t="s">
        <v>53</v>
      </c>
      <c r="AD3881" t="s">
        <v>53</v>
      </c>
      <c r="AK3881">
        <v>0</v>
      </c>
      <c r="AU3881" s="3">
        <v>42535</v>
      </c>
      <c r="AV3881" s="3">
        <v>42535</v>
      </c>
      <c r="AW3881" t="s">
        <v>54</v>
      </c>
      <c r="AX3881" t="str">
        <f>"ALT"</f>
        <v>ALT</v>
      </c>
      <c r="AY3881" t="s">
        <v>72</v>
      </c>
    </row>
    <row r="3882" spans="1:51" hidden="1">
      <c r="A3882">
        <v>106652</v>
      </c>
      <c r="B3882" t="s">
        <v>513</v>
      </c>
      <c r="C3882" t="str">
        <f>"02860130646"</f>
        <v>02860130646</v>
      </c>
      <c r="D3882" t="str">
        <f>"DGGCMN86A67A717P"</f>
        <v>DGGCMN86A67A717P</v>
      </c>
      <c r="E3882" t="s">
        <v>52</v>
      </c>
      <c r="F3882">
        <v>2016</v>
      </c>
      <c r="G3882" t="str">
        <f>"         FATTPA 1_16"</f>
        <v xml:space="preserve">         FATTPA 1_16</v>
      </c>
      <c r="H3882" s="3">
        <v>42380</v>
      </c>
      <c r="I3882" s="3">
        <v>42382</v>
      </c>
      <c r="J3882" s="3">
        <v>42380</v>
      </c>
      <c r="K3882" s="3">
        <v>42440</v>
      </c>
      <c r="L3882"/>
      <c r="N3882"/>
      <c r="O3882">
        <v>669.01</v>
      </c>
      <c r="P3882">
        <v>-43</v>
      </c>
      <c r="Q3882" s="4">
        <v>-28767.43</v>
      </c>
      <c r="R3882">
        <v>0</v>
      </c>
      <c r="V3882">
        <v>0</v>
      </c>
      <c r="W3882">
        <v>0</v>
      </c>
      <c r="X3882">
        <v>0</v>
      </c>
      <c r="Y3882">
        <v>669.01</v>
      </c>
      <c r="Z3882">
        <v>669.01</v>
      </c>
      <c r="AA3882">
        <v>669.01</v>
      </c>
      <c r="AB3882" s="3">
        <v>42562</v>
      </c>
      <c r="AC3882" t="s">
        <v>53</v>
      </c>
      <c r="AD3882" t="s">
        <v>53</v>
      </c>
      <c r="AK3882">
        <v>0</v>
      </c>
      <c r="AU3882" s="3">
        <v>42397</v>
      </c>
      <c r="AV3882" s="3">
        <v>42397</v>
      </c>
      <c r="AW3882" t="s">
        <v>54</v>
      </c>
      <c r="AX3882" t="str">
        <f t="shared" ref="AX3882:AX3890" si="471">"ALTPRO"</f>
        <v>ALTPRO</v>
      </c>
      <c r="AY3882" t="s">
        <v>93</v>
      </c>
    </row>
    <row r="3883" spans="1:51" hidden="1">
      <c r="A3883">
        <v>106652</v>
      </c>
      <c r="B3883" t="s">
        <v>513</v>
      </c>
      <c r="C3883" t="str">
        <f>"02860130646"</f>
        <v>02860130646</v>
      </c>
      <c r="D3883" t="str">
        <f>"DGGCMN86A67A717P"</f>
        <v>DGGCMN86A67A717P</v>
      </c>
      <c r="E3883" t="s">
        <v>52</v>
      </c>
      <c r="F3883">
        <v>2016</v>
      </c>
      <c r="G3883" t="str">
        <f>"         FATTPA 2_16"</f>
        <v xml:space="preserve">         FATTPA 2_16</v>
      </c>
      <c r="H3883" s="3">
        <v>42380</v>
      </c>
      <c r="I3883" s="3">
        <v>42382</v>
      </c>
      <c r="J3883" s="3">
        <v>42380</v>
      </c>
      <c r="K3883" s="3">
        <v>42440</v>
      </c>
      <c r="L3883"/>
      <c r="N3883"/>
      <c r="O3883">
        <v>669.01</v>
      </c>
      <c r="P3883">
        <v>-43</v>
      </c>
      <c r="Q3883" s="4">
        <v>-28767.43</v>
      </c>
      <c r="R3883">
        <v>0</v>
      </c>
      <c r="V3883">
        <v>0</v>
      </c>
      <c r="W3883">
        <v>0</v>
      </c>
      <c r="X3883">
        <v>0</v>
      </c>
      <c r="Y3883">
        <v>669.01</v>
      </c>
      <c r="Z3883">
        <v>669.01</v>
      </c>
      <c r="AA3883">
        <v>669.01</v>
      </c>
      <c r="AB3883" s="3">
        <v>42562</v>
      </c>
      <c r="AC3883" t="s">
        <v>53</v>
      </c>
      <c r="AD3883" t="s">
        <v>53</v>
      </c>
      <c r="AK3883">
        <v>0</v>
      </c>
      <c r="AU3883" s="3">
        <v>42397</v>
      </c>
      <c r="AV3883" s="3">
        <v>42397</v>
      </c>
      <c r="AW3883" t="s">
        <v>54</v>
      </c>
      <c r="AX3883" t="str">
        <f t="shared" si="471"/>
        <v>ALTPRO</v>
      </c>
      <c r="AY3883" t="s">
        <v>93</v>
      </c>
    </row>
    <row r="3884" spans="1:51" hidden="1">
      <c r="A3884">
        <v>106652</v>
      </c>
      <c r="B3884" t="s">
        <v>513</v>
      </c>
      <c r="C3884" t="str">
        <f>"02860130646"</f>
        <v>02860130646</v>
      </c>
      <c r="D3884" t="str">
        <f>"DGGCMN86A67A717P"</f>
        <v>DGGCMN86A67A717P</v>
      </c>
      <c r="E3884" t="s">
        <v>52</v>
      </c>
      <c r="F3884">
        <v>2016</v>
      </c>
      <c r="G3884" t="str">
        <f>"         FATTPA 3_16"</f>
        <v xml:space="preserve">         FATTPA 3_16</v>
      </c>
      <c r="H3884" s="3">
        <v>42443</v>
      </c>
      <c r="I3884" s="3">
        <v>42443</v>
      </c>
      <c r="J3884" s="3">
        <v>42443</v>
      </c>
      <c r="K3884" s="3">
        <v>42503</v>
      </c>
      <c r="L3884"/>
      <c r="N3884"/>
      <c r="O3884" s="4">
        <v>1336.01</v>
      </c>
      <c r="P3884">
        <v>-52</v>
      </c>
      <c r="Q3884" s="4">
        <v>-69472.52</v>
      </c>
      <c r="R3884">
        <v>0</v>
      </c>
      <c r="V3884">
        <v>0</v>
      </c>
      <c r="W3884">
        <v>0</v>
      </c>
      <c r="X3884">
        <v>0</v>
      </c>
      <c r="Y3884" s="4">
        <v>1336.01</v>
      </c>
      <c r="Z3884" s="4">
        <v>1336.01</v>
      </c>
      <c r="AA3884" s="4">
        <v>1336.01</v>
      </c>
      <c r="AB3884" s="3">
        <v>42562</v>
      </c>
      <c r="AC3884" t="s">
        <v>53</v>
      </c>
      <c r="AD3884" t="s">
        <v>53</v>
      </c>
      <c r="AK3884">
        <v>0</v>
      </c>
      <c r="AU3884" s="3">
        <v>42451</v>
      </c>
      <c r="AV3884" s="3">
        <v>42451</v>
      </c>
      <c r="AW3884" t="s">
        <v>54</v>
      </c>
      <c r="AX3884" t="str">
        <f t="shared" si="471"/>
        <v>ALTPRO</v>
      </c>
      <c r="AY3884" t="s">
        <v>93</v>
      </c>
    </row>
    <row r="3885" spans="1:51">
      <c r="A3885">
        <v>106652</v>
      </c>
      <c r="B3885" t="s">
        <v>513</v>
      </c>
      <c r="C3885" t="str">
        <f>"02860130646"</f>
        <v>02860130646</v>
      </c>
      <c r="D3885" t="str">
        <f>"DGGCMN86A67A717P"</f>
        <v>DGGCMN86A67A717P</v>
      </c>
      <c r="E3885" t="s">
        <v>52</v>
      </c>
      <c r="F3885">
        <v>2016</v>
      </c>
      <c r="G3885" t="str">
        <f>"         FATTPA 4_16"</f>
        <v xml:space="preserve">         FATTPA 4_16</v>
      </c>
      <c r="H3885" s="3">
        <v>42498</v>
      </c>
      <c r="I3885" s="3">
        <v>42499</v>
      </c>
      <c r="J3885" s="3">
        <v>42498</v>
      </c>
      <c r="K3885" s="3">
        <v>42558</v>
      </c>
      <c r="L3885" s="5">
        <v>1336.01</v>
      </c>
      <c r="M3885">
        <v>-31</v>
      </c>
      <c r="N3885" s="5">
        <v>-41416.31</v>
      </c>
      <c r="O3885" s="4">
        <v>1336.01</v>
      </c>
      <c r="P3885">
        <v>-31</v>
      </c>
      <c r="Q3885" s="4">
        <v>-41416.31</v>
      </c>
      <c r="R3885">
        <v>0</v>
      </c>
      <c r="V3885">
        <v>0</v>
      </c>
      <c r="W3885" s="4">
        <v>1336.01</v>
      </c>
      <c r="X3885" s="4">
        <v>1336.01</v>
      </c>
      <c r="Y3885" s="4">
        <v>1336.01</v>
      </c>
      <c r="Z3885" s="4">
        <v>1336.01</v>
      </c>
      <c r="AA3885" s="4">
        <v>1336.01</v>
      </c>
      <c r="AB3885" s="3">
        <v>42562</v>
      </c>
      <c r="AC3885" t="s">
        <v>53</v>
      </c>
      <c r="AD3885" t="s">
        <v>53</v>
      </c>
      <c r="AK3885">
        <v>0</v>
      </c>
      <c r="AU3885" s="3">
        <v>42527</v>
      </c>
      <c r="AV3885" s="3">
        <v>42527</v>
      </c>
      <c r="AW3885" t="s">
        <v>54</v>
      </c>
      <c r="AX3885" t="str">
        <f t="shared" si="471"/>
        <v>ALTPRO</v>
      </c>
      <c r="AY3885" t="s">
        <v>93</v>
      </c>
    </row>
    <row r="3886" spans="1:51" hidden="1">
      <c r="A3886">
        <v>106656</v>
      </c>
      <c r="B3886" t="s">
        <v>514</v>
      </c>
      <c r="C3886" t="str">
        <f>"01342050620"</f>
        <v>01342050620</v>
      </c>
      <c r="D3886" t="str">
        <f>""</f>
        <v/>
      </c>
      <c r="E3886" t="s">
        <v>52</v>
      </c>
      <c r="F3886">
        <v>2016</v>
      </c>
      <c r="G3886" t="str">
        <f>"                  05"</f>
        <v xml:space="preserve">                  05</v>
      </c>
      <c r="H3886" s="3">
        <v>42409</v>
      </c>
      <c r="I3886" s="3">
        <v>42410</v>
      </c>
      <c r="J3886" s="3">
        <v>42409</v>
      </c>
      <c r="K3886" s="3">
        <v>42469</v>
      </c>
      <c r="L3886"/>
      <c r="N3886"/>
      <c r="O3886" s="4">
        <v>4754.24</v>
      </c>
      <c r="P3886">
        <v>-36</v>
      </c>
      <c r="Q3886" s="4">
        <v>-171152.64000000001</v>
      </c>
      <c r="R3886">
        <v>0</v>
      </c>
      <c r="V3886">
        <v>0</v>
      </c>
      <c r="W3886">
        <v>0</v>
      </c>
      <c r="X3886">
        <v>0</v>
      </c>
      <c r="Y3886" s="4">
        <v>4754.24</v>
      </c>
      <c r="Z3886" s="4">
        <v>4754.24</v>
      </c>
      <c r="AA3886" s="4">
        <v>4754.24</v>
      </c>
      <c r="AB3886" s="3">
        <v>42562</v>
      </c>
      <c r="AC3886" t="s">
        <v>53</v>
      </c>
      <c r="AD3886" t="s">
        <v>53</v>
      </c>
      <c r="AK3886">
        <v>0</v>
      </c>
      <c r="AU3886" s="3">
        <v>42433</v>
      </c>
      <c r="AV3886" s="3">
        <v>42433</v>
      </c>
      <c r="AW3886" t="s">
        <v>54</v>
      </c>
      <c r="AX3886" t="str">
        <f t="shared" si="471"/>
        <v>ALTPRO</v>
      </c>
      <c r="AY3886" t="s">
        <v>93</v>
      </c>
    </row>
    <row r="3887" spans="1:51" hidden="1">
      <c r="A3887">
        <v>106659</v>
      </c>
      <c r="B3887" t="s">
        <v>515</v>
      </c>
      <c r="C3887" t="str">
        <f>"03393330612"</f>
        <v>03393330612</v>
      </c>
      <c r="D3887" t="str">
        <f>"TRNMRA77P16B963T"</f>
        <v>TRNMRA77P16B963T</v>
      </c>
      <c r="E3887" t="s">
        <v>52</v>
      </c>
      <c r="F3887">
        <v>2015</v>
      </c>
      <c r="G3887" t="str">
        <f>"     10_2015/FATTURE"</f>
        <v xml:space="preserve">     10_2015/FATTURE</v>
      </c>
      <c r="H3887" s="3">
        <v>42335</v>
      </c>
      <c r="I3887" s="3">
        <v>42338</v>
      </c>
      <c r="J3887" s="3">
        <v>42335</v>
      </c>
      <c r="K3887" s="3">
        <v>42395</v>
      </c>
      <c r="L3887"/>
      <c r="N3887"/>
      <c r="O3887" s="4">
        <v>4800</v>
      </c>
      <c r="P3887">
        <v>2</v>
      </c>
      <c r="Q3887" s="4">
        <v>9600</v>
      </c>
      <c r="R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 s="3">
        <v>42562</v>
      </c>
      <c r="AC3887" t="s">
        <v>53</v>
      </c>
      <c r="AD3887" t="s">
        <v>53</v>
      </c>
      <c r="AK3887">
        <v>0</v>
      </c>
      <c r="AU3887" s="3">
        <v>42397</v>
      </c>
      <c r="AV3887" s="3">
        <v>42397</v>
      </c>
      <c r="AW3887" t="s">
        <v>54</v>
      </c>
      <c r="AX3887" t="str">
        <f t="shared" si="471"/>
        <v>ALTPRO</v>
      </c>
      <c r="AY3887" t="s">
        <v>93</v>
      </c>
    </row>
    <row r="3888" spans="1:51" hidden="1">
      <c r="A3888">
        <v>106659</v>
      </c>
      <c r="B3888" t="s">
        <v>515</v>
      </c>
      <c r="C3888" t="str">
        <f>"03393330612"</f>
        <v>03393330612</v>
      </c>
      <c r="D3888" t="str">
        <f>"TRNMRA77P16B963T"</f>
        <v>TRNMRA77P16B963T</v>
      </c>
      <c r="E3888" t="s">
        <v>52</v>
      </c>
      <c r="F3888">
        <v>2015</v>
      </c>
      <c r="G3888" t="str">
        <f>"     11_2015/FATTURE"</f>
        <v xml:space="preserve">     11_2015/FATTURE</v>
      </c>
      <c r="H3888" s="3">
        <v>42335</v>
      </c>
      <c r="I3888" s="3">
        <v>42338</v>
      </c>
      <c r="J3888" s="3">
        <v>42335</v>
      </c>
      <c r="K3888" s="3">
        <v>42395</v>
      </c>
      <c r="L3888"/>
      <c r="N3888"/>
      <c r="O3888" s="4">
        <v>4800</v>
      </c>
      <c r="P3888">
        <v>2</v>
      </c>
      <c r="Q3888" s="4">
        <v>9600</v>
      </c>
      <c r="R3888">
        <v>0</v>
      </c>
      <c r="V3888">
        <v>0</v>
      </c>
      <c r="W3888">
        <v>0</v>
      </c>
      <c r="X3888">
        <v>0</v>
      </c>
      <c r="Y3888">
        <v>0</v>
      </c>
      <c r="Z3888">
        <v>0</v>
      </c>
      <c r="AA3888">
        <v>0</v>
      </c>
      <c r="AB3888" s="3">
        <v>42562</v>
      </c>
      <c r="AC3888" t="s">
        <v>53</v>
      </c>
      <c r="AD3888" t="s">
        <v>53</v>
      </c>
      <c r="AK3888">
        <v>0</v>
      </c>
      <c r="AU3888" s="3">
        <v>42397</v>
      </c>
      <c r="AV3888" s="3">
        <v>42397</v>
      </c>
      <c r="AW3888" t="s">
        <v>54</v>
      </c>
      <c r="AX3888" t="str">
        <f t="shared" si="471"/>
        <v>ALTPRO</v>
      </c>
      <c r="AY3888" t="s">
        <v>93</v>
      </c>
    </row>
    <row r="3889" spans="1:51" hidden="1">
      <c r="A3889">
        <v>106659</v>
      </c>
      <c r="B3889" t="s">
        <v>515</v>
      </c>
      <c r="C3889" t="str">
        <f>"03393330612"</f>
        <v>03393330612</v>
      </c>
      <c r="D3889" t="str">
        <f>"TRNMRA77P16B963T"</f>
        <v>TRNMRA77P16B963T</v>
      </c>
      <c r="E3889" t="s">
        <v>52</v>
      </c>
      <c r="F3889">
        <v>2016</v>
      </c>
      <c r="G3889" t="str">
        <f>"   3_2016/FATTURE BN"</f>
        <v xml:space="preserve">   3_2016/FATTURE BN</v>
      </c>
      <c r="H3889" s="3">
        <v>42441</v>
      </c>
      <c r="I3889" s="3">
        <v>42443</v>
      </c>
      <c r="J3889" s="3">
        <v>42441</v>
      </c>
      <c r="K3889" s="3">
        <v>42501</v>
      </c>
      <c r="L3889"/>
      <c r="N3889"/>
      <c r="O3889" s="4">
        <v>4800</v>
      </c>
      <c r="P3889">
        <v>-50</v>
      </c>
      <c r="Q3889" s="4">
        <v>-240000</v>
      </c>
      <c r="R3889">
        <v>0</v>
      </c>
      <c r="V3889">
        <v>0</v>
      </c>
      <c r="W3889">
        <v>0</v>
      </c>
      <c r="X3889">
        <v>0</v>
      </c>
      <c r="Y3889" s="4">
        <v>4800</v>
      </c>
      <c r="Z3889" s="4">
        <v>4800</v>
      </c>
      <c r="AA3889" s="4">
        <v>4800</v>
      </c>
      <c r="AB3889" s="3">
        <v>42562</v>
      </c>
      <c r="AC3889" t="s">
        <v>53</v>
      </c>
      <c r="AD3889" t="s">
        <v>53</v>
      </c>
      <c r="AK3889">
        <v>0</v>
      </c>
      <c r="AU3889" s="3">
        <v>42451</v>
      </c>
      <c r="AV3889" s="3">
        <v>42451</v>
      </c>
      <c r="AW3889" t="s">
        <v>54</v>
      </c>
      <c r="AX3889" t="str">
        <f t="shared" si="471"/>
        <v>ALTPRO</v>
      </c>
      <c r="AY3889" t="s">
        <v>93</v>
      </c>
    </row>
    <row r="3890" spans="1:51" hidden="1">
      <c r="A3890">
        <v>106660</v>
      </c>
      <c r="B3890" t="s">
        <v>516</v>
      </c>
      <c r="C3890" t="str">
        <f>"01299270627"</f>
        <v>01299270627</v>
      </c>
      <c r="D3890" t="str">
        <f>"SRUTRS60A48A783F"</f>
        <v>SRUTRS60A48A783F</v>
      </c>
      <c r="E3890" t="s">
        <v>52</v>
      </c>
      <c r="F3890">
        <v>2015</v>
      </c>
      <c r="G3890" t="str">
        <f>"                39/1"</f>
        <v xml:space="preserve">                39/1</v>
      </c>
      <c r="H3890" s="3">
        <v>42298</v>
      </c>
      <c r="I3890" s="3">
        <v>42325</v>
      </c>
      <c r="J3890" s="3">
        <v>42324</v>
      </c>
      <c r="K3890" s="3">
        <v>42384</v>
      </c>
      <c r="L3890"/>
      <c r="N3890"/>
      <c r="O3890" s="4">
        <v>1785</v>
      </c>
      <c r="P3890">
        <v>49</v>
      </c>
      <c r="Q3890" s="4">
        <v>87465</v>
      </c>
      <c r="R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  <c r="AB3890" s="3">
        <v>42562</v>
      </c>
      <c r="AC3890" t="s">
        <v>53</v>
      </c>
      <c r="AD3890" t="s">
        <v>53</v>
      </c>
      <c r="AK3890">
        <v>0</v>
      </c>
      <c r="AU3890" s="3">
        <v>42433</v>
      </c>
      <c r="AV3890" s="3">
        <v>42433</v>
      </c>
      <c r="AW3890" t="s">
        <v>54</v>
      </c>
      <c r="AX3890" t="str">
        <f t="shared" si="471"/>
        <v>ALTPRO</v>
      </c>
      <c r="AY3890" t="s">
        <v>93</v>
      </c>
    </row>
    <row r="3891" spans="1:51" hidden="1">
      <c r="A3891">
        <v>106662</v>
      </c>
      <c r="B3891" t="s">
        <v>517</v>
      </c>
      <c r="C3891" t="str">
        <f>"07226131212"</f>
        <v>07226131212</v>
      </c>
      <c r="D3891" t="str">
        <f>""</f>
        <v/>
      </c>
      <c r="E3891" t="s">
        <v>52</v>
      </c>
      <c r="F3891">
        <v>2015</v>
      </c>
      <c r="G3891" t="str">
        <f>"                7/PA"</f>
        <v xml:space="preserve">                7/PA</v>
      </c>
      <c r="H3891" s="3">
        <v>42338</v>
      </c>
      <c r="I3891" s="3">
        <v>42342</v>
      </c>
      <c r="J3891" s="3">
        <v>42338</v>
      </c>
      <c r="K3891" s="3">
        <v>42398</v>
      </c>
      <c r="L3891"/>
      <c r="N3891"/>
      <c r="O3891" s="4">
        <v>12480</v>
      </c>
      <c r="P3891">
        <v>35</v>
      </c>
      <c r="Q3891" s="4">
        <v>436800</v>
      </c>
      <c r="R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  <c r="AB3891" s="3">
        <v>42562</v>
      </c>
      <c r="AC3891" t="s">
        <v>53</v>
      </c>
      <c r="AD3891" t="s">
        <v>53</v>
      </c>
      <c r="AK3891">
        <v>0</v>
      </c>
      <c r="AU3891" s="3">
        <v>42433</v>
      </c>
      <c r="AV3891" s="3">
        <v>42433</v>
      </c>
      <c r="AW3891" t="s">
        <v>54</v>
      </c>
      <c r="AX3891" t="str">
        <f>"FOR"</f>
        <v>FOR</v>
      </c>
      <c r="AY3891" t="s">
        <v>55</v>
      </c>
    </row>
    <row r="3892" spans="1:51" hidden="1">
      <c r="A3892">
        <v>106665</v>
      </c>
      <c r="B3892" t="s">
        <v>518</v>
      </c>
      <c r="C3892" t="str">
        <f>"01643200627"</f>
        <v>01643200627</v>
      </c>
      <c r="D3892" t="str">
        <f>"MNLLRI82A42D643S"</f>
        <v>MNLLRI82A42D643S</v>
      </c>
      <c r="E3892" t="s">
        <v>52</v>
      </c>
      <c r="F3892">
        <v>2015</v>
      </c>
      <c r="G3892" t="str">
        <f>"         FATTPA 2_15"</f>
        <v xml:space="preserve">         FATTPA 2_15</v>
      </c>
      <c r="H3892" s="3">
        <v>42369</v>
      </c>
      <c r="I3892" s="3">
        <v>42369</v>
      </c>
      <c r="J3892" s="3">
        <v>42369</v>
      </c>
      <c r="K3892" s="3">
        <v>42429</v>
      </c>
      <c r="L3892"/>
      <c r="N3892"/>
      <c r="O3892" s="4">
        <v>3409.64</v>
      </c>
      <c r="P3892">
        <v>-25</v>
      </c>
      <c r="Q3892" s="4">
        <v>-85241</v>
      </c>
      <c r="R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  <c r="AB3892" s="3">
        <v>42562</v>
      </c>
      <c r="AC3892" t="s">
        <v>53</v>
      </c>
      <c r="AD3892" t="s">
        <v>53</v>
      </c>
      <c r="AK3892">
        <v>0</v>
      </c>
      <c r="AU3892" s="3">
        <v>42404</v>
      </c>
      <c r="AV3892" s="3">
        <v>42404</v>
      </c>
      <c r="AW3892" t="s">
        <v>54</v>
      </c>
      <c r="AX3892" t="str">
        <f>"ALTPRO"</f>
        <v>ALTPRO</v>
      </c>
      <c r="AY3892" t="s">
        <v>93</v>
      </c>
    </row>
    <row r="3893" spans="1:51" hidden="1">
      <c r="A3893">
        <v>106665</v>
      </c>
      <c r="B3893" t="s">
        <v>518</v>
      </c>
      <c r="C3893" t="str">
        <f>"01643200627"</f>
        <v>01643200627</v>
      </c>
      <c r="D3893" t="str">
        <f>"MNLLRI82A42D643S"</f>
        <v>MNLLRI82A42D643S</v>
      </c>
      <c r="E3893" t="s">
        <v>52</v>
      </c>
      <c r="F3893">
        <v>2016</v>
      </c>
      <c r="G3893" t="str">
        <f>"         FATTPA 2_16"</f>
        <v xml:space="preserve">         FATTPA 2_16</v>
      </c>
      <c r="H3893" s="3">
        <v>42402</v>
      </c>
      <c r="I3893" s="3">
        <v>42443</v>
      </c>
      <c r="J3893" s="3">
        <v>42440</v>
      </c>
      <c r="K3893" s="3">
        <v>42500</v>
      </c>
      <c r="L3893"/>
      <c r="N3893"/>
      <c r="O3893" s="4">
        <v>2899.14</v>
      </c>
      <c r="P3893">
        <v>-49</v>
      </c>
      <c r="Q3893" s="4">
        <v>-142057.85999999999</v>
      </c>
      <c r="R3893">
        <v>0</v>
      </c>
      <c r="V3893">
        <v>0</v>
      </c>
      <c r="W3893">
        <v>0</v>
      </c>
      <c r="X3893">
        <v>0</v>
      </c>
      <c r="Y3893" s="4">
        <v>2899.14</v>
      </c>
      <c r="Z3893" s="4">
        <v>2899.14</v>
      </c>
      <c r="AA3893" s="4">
        <v>2899.14</v>
      </c>
      <c r="AB3893" s="3">
        <v>42562</v>
      </c>
      <c r="AC3893" t="s">
        <v>53</v>
      </c>
      <c r="AD3893" t="s">
        <v>53</v>
      </c>
      <c r="AK3893">
        <v>0</v>
      </c>
      <c r="AU3893" s="3">
        <v>42451</v>
      </c>
      <c r="AV3893" s="3">
        <v>42451</v>
      </c>
      <c r="AW3893" t="s">
        <v>54</v>
      </c>
      <c r="AX3893" t="str">
        <f>"ALTPRO"</f>
        <v>ALTPRO</v>
      </c>
      <c r="AY3893" t="s">
        <v>93</v>
      </c>
    </row>
    <row r="3894" spans="1:51" hidden="1">
      <c r="A3894">
        <v>106665</v>
      </c>
      <c r="B3894" t="s">
        <v>518</v>
      </c>
      <c r="C3894" t="str">
        <f>"01643200627"</f>
        <v>01643200627</v>
      </c>
      <c r="D3894" t="str">
        <f>"MNLLRI82A42D643S"</f>
        <v>MNLLRI82A42D643S</v>
      </c>
      <c r="E3894" t="s">
        <v>52</v>
      </c>
      <c r="F3894">
        <v>2016</v>
      </c>
      <c r="G3894" t="str">
        <f>"         FATTPA 3_16"</f>
        <v xml:space="preserve">         FATTPA 3_16</v>
      </c>
      <c r="H3894" s="3">
        <v>42432</v>
      </c>
      <c r="I3894" s="3">
        <v>42433</v>
      </c>
      <c r="J3894" s="3">
        <v>42432</v>
      </c>
      <c r="K3894" s="3">
        <v>42492</v>
      </c>
      <c r="L3894"/>
      <c r="N3894"/>
      <c r="O3894" s="4">
        <v>3684.75</v>
      </c>
      <c r="P3894">
        <v>-41</v>
      </c>
      <c r="Q3894" s="4">
        <v>-151074.75</v>
      </c>
      <c r="R3894">
        <v>0</v>
      </c>
      <c r="V3894">
        <v>0</v>
      </c>
      <c r="W3894">
        <v>0</v>
      </c>
      <c r="X3894">
        <v>0</v>
      </c>
      <c r="Y3894" s="4">
        <v>3684.75</v>
      </c>
      <c r="Z3894" s="4">
        <v>3684.75</v>
      </c>
      <c r="AA3894" s="4">
        <v>3684.75</v>
      </c>
      <c r="AB3894" s="3">
        <v>42562</v>
      </c>
      <c r="AC3894" t="s">
        <v>53</v>
      </c>
      <c r="AD3894" t="s">
        <v>53</v>
      </c>
      <c r="AK3894">
        <v>0</v>
      </c>
      <c r="AU3894" s="3">
        <v>42451</v>
      </c>
      <c r="AV3894" s="3">
        <v>42451</v>
      </c>
      <c r="AW3894" t="s">
        <v>54</v>
      </c>
      <c r="AX3894" t="str">
        <f>"ALTPRO"</f>
        <v>ALTPRO</v>
      </c>
      <c r="AY3894" t="s">
        <v>93</v>
      </c>
    </row>
    <row r="3895" spans="1:51">
      <c r="A3895">
        <v>106665</v>
      </c>
      <c r="B3895" t="s">
        <v>518</v>
      </c>
      <c r="C3895" t="str">
        <f>"01643200627"</f>
        <v>01643200627</v>
      </c>
      <c r="D3895" t="str">
        <f>"MNLLRI82A42D643S"</f>
        <v>MNLLRI82A42D643S</v>
      </c>
      <c r="E3895" t="s">
        <v>52</v>
      </c>
      <c r="F3895">
        <v>2016</v>
      </c>
      <c r="G3895" t="str">
        <f>"         FATTPA 4_16"</f>
        <v xml:space="preserve">         FATTPA 4_16</v>
      </c>
      <c r="H3895" s="3">
        <v>42471</v>
      </c>
      <c r="I3895" s="3">
        <v>42471</v>
      </c>
      <c r="J3895" s="3">
        <v>42471</v>
      </c>
      <c r="K3895" s="3">
        <v>42531</v>
      </c>
      <c r="L3895" s="5">
        <v>2415.63</v>
      </c>
      <c r="M3895">
        <v>-44</v>
      </c>
      <c r="N3895" s="5">
        <v>-106287.72</v>
      </c>
      <c r="O3895" s="4">
        <v>2415.63</v>
      </c>
      <c r="P3895">
        <v>-44</v>
      </c>
      <c r="Q3895" s="4">
        <v>-106287.72</v>
      </c>
      <c r="R3895">
        <v>0</v>
      </c>
      <c r="V3895">
        <v>0</v>
      </c>
      <c r="W3895" s="4">
        <v>2415.63</v>
      </c>
      <c r="X3895" s="4">
        <v>2415.63</v>
      </c>
      <c r="Y3895" s="4">
        <v>2415.63</v>
      </c>
      <c r="Z3895" s="4">
        <v>2415.63</v>
      </c>
      <c r="AA3895" s="4">
        <v>2415.63</v>
      </c>
      <c r="AB3895" s="3">
        <v>42562</v>
      </c>
      <c r="AC3895" t="s">
        <v>53</v>
      </c>
      <c r="AD3895" t="s">
        <v>53</v>
      </c>
      <c r="AK3895">
        <v>0</v>
      </c>
      <c r="AU3895" s="3">
        <v>42487</v>
      </c>
      <c r="AV3895" s="3">
        <v>42487</v>
      </c>
      <c r="AW3895" t="s">
        <v>54</v>
      </c>
      <c r="AX3895" t="str">
        <f>"ALTPRO"</f>
        <v>ALTPRO</v>
      </c>
      <c r="AY3895" t="s">
        <v>93</v>
      </c>
    </row>
    <row r="3896" spans="1:51">
      <c r="A3896">
        <v>106665</v>
      </c>
      <c r="B3896" t="s">
        <v>518</v>
      </c>
      <c r="C3896" t="str">
        <f>"01643200627"</f>
        <v>01643200627</v>
      </c>
      <c r="D3896" t="str">
        <f>"MNLLRI82A42D643S"</f>
        <v>MNLLRI82A42D643S</v>
      </c>
      <c r="E3896" t="s">
        <v>52</v>
      </c>
      <c r="F3896">
        <v>2016</v>
      </c>
      <c r="G3896" t="str">
        <f>"         FATTPA 5_16"</f>
        <v xml:space="preserve">         FATTPA 5_16</v>
      </c>
      <c r="H3896" s="3">
        <v>42495</v>
      </c>
      <c r="I3896" s="3">
        <v>42496</v>
      </c>
      <c r="J3896" s="3">
        <v>42495</v>
      </c>
      <c r="K3896" s="3">
        <v>42555</v>
      </c>
      <c r="L3896" s="5">
        <v>2047.74</v>
      </c>
      <c r="M3896">
        <v>-39</v>
      </c>
      <c r="N3896" s="5">
        <v>-79861.86</v>
      </c>
      <c r="O3896" s="4">
        <v>2047.74</v>
      </c>
      <c r="P3896">
        <v>-39</v>
      </c>
      <c r="Q3896" s="4">
        <v>-79861.86</v>
      </c>
      <c r="R3896">
        <v>0</v>
      </c>
      <c r="V3896" s="4">
        <v>2047.74</v>
      </c>
      <c r="W3896" s="4">
        <v>2047.74</v>
      </c>
      <c r="X3896" s="4">
        <v>2047.74</v>
      </c>
      <c r="Y3896" s="4">
        <v>2047.74</v>
      </c>
      <c r="Z3896" s="4">
        <v>2047.74</v>
      </c>
      <c r="AA3896" s="4">
        <v>2047.74</v>
      </c>
      <c r="AB3896" s="3">
        <v>42562</v>
      </c>
      <c r="AC3896" t="s">
        <v>53</v>
      </c>
      <c r="AD3896" t="s">
        <v>53</v>
      </c>
      <c r="AK3896">
        <v>0</v>
      </c>
      <c r="AU3896" s="3">
        <v>42516</v>
      </c>
      <c r="AV3896" s="3">
        <v>42516</v>
      </c>
      <c r="AW3896" t="s">
        <v>54</v>
      </c>
      <c r="AX3896" t="str">
        <f>"ALTPRO"</f>
        <v>ALTPRO</v>
      </c>
      <c r="AY3896" t="s">
        <v>93</v>
      </c>
    </row>
    <row r="3897" spans="1:51">
      <c r="A3897">
        <v>106668</v>
      </c>
      <c r="B3897" t="s">
        <v>519</v>
      </c>
      <c r="C3897" t="str">
        <f>"00968550962"</f>
        <v>00968550962</v>
      </c>
      <c r="D3897" t="str">
        <f>"09594670151"</f>
        <v>09594670151</v>
      </c>
      <c r="E3897" t="s">
        <v>52</v>
      </c>
      <c r="F3897">
        <v>2015</v>
      </c>
      <c r="G3897" t="str">
        <f>"                 2/E"</f>
        <v xml:space="preserve">                 2/E</v>
      </c>
      <c r="H3897" s="3">
        <v>42369</v>
      </c>
      <c r="I3897" s="3">
        <v>42369</v>
      </c>
      <c r="J3897" s="3">
        <v>42369</v>
      </c>
      <c r="K3897" s="3">
        <v>42429</v>
      </c>
      <c r="L3897" s="5">
        <v>4710</v>
      </c>
      <c r="M3897">
        <v>35</v>
      </c>
      <c r="N3897" s="5">
        <v>164850</v>
      </c>
      <c r="O3897" s="4">
        <v>4710</v>
      </c>
      <c r="P3897">
        <v>35</v>
      </c>
      <c r="Q3897" s="4">
        <v>164850</v>
      </c>
      <c r="R3897">
        <v>0</v>
      </c>
      <c r="V3897">
        <v>0</v>
      </c>
      <c r="W3897">
        <v>0</v>
      </c>
      <c r="X3897">
        <v>0</v>
      </c>
      <c r="Y3897">
        <v>0</v>
      </c>
      <c r="Z3897">
        <v>0</v>
      </c>
      <c r="AA3897">
        <v>0</v>
      </c>
      <c r="AB3897" s="3">
        <v>42562</v>
      </c>
      <c r="AC3897" t="s">
        <v>53</v>
      </c>
      <c r="AD3897" t="s">
        <v>53</v>
      </c>
      <c r="AK3897">
        <v>0</v>
      </c>
      <c r="AU3897" s="3">
        <v>42464</v>
      </c>
      <c r="AV3897" s="3">
        <v>42464</v>
      </c>
      <c r="AW3897" t="s">
        <v>54</v>
      </c>
      <c r="AX3897" t="str">
        <f>"FOR"</f>
        <v>FOR</v>
      </c>
      <c r="AY3897" t="s">
        <v>55</v>
      </c>
    </row>
    <row r="3898" spans="1:51" hidden="1">
      <c r="A3898">
        <v>106670</v>
      </c>
      <c r="B3898" t="s">
        <v>520</v>
      </c>
      <c r="C3898" t="str">
        <f t="shared" ref="C3898:C3903" si="472">"01547570620"</f>
        <v>01547570620</v>
      </c>
      <c r="D3898" t="str">
        <f t="shared" ref="D3898:D3903" si="473">"TRSNTN79R18I197P"</f>
        <v>TRSNTN79R18I197P</v>
      </c>
      <c r="E3898" t="s">
        <v>52</v>
      </c>
      <c r="F3898">
        <v>2016</v>
      </c>
      <c r="G3898" t="str">
        <f>"         FATTPA 1_16"</f>
        <v xml:space="preserve">         FATTPA 1_16</v>
      </c>
      <c r="H3898" s="3">
        <v>42384</v>
      </c>
      <c r="I3898" s="3">
        <v>42408</v>
      </c>
      <c r="J3898" s="3">
        <v>42406</v>
      </c>
      <c r="K3898" s="3">
        <v>42466</v>
      </c>
      <c r="L3898"/>
      <c r="N3898"/>
      <c r="O3898" s="4">
        <v>1687.76</v>
      </c>
      <c r="P3898">
        <v>-40</v>
      </c>
      <c r="Q3898" s="4">
        <v>-67510.399999999994</v>
      </c>
      <c r="R3898">
        <v>0</v>
      </c>
      <c r="V3898">
        <v>0</v>
      </c>
      <c r="W3898">
        <v>0</v>
      </c>
      <c r="X3898">
        <v>0</v>
      </c>
      <c r="Y3898">
        <v>0</v>
      </c>
      <c r="Z3898" s="4">
        <v>1687.76</v>
      </c>
      <c r="AA3898" s="4">
        <v>1687.76</v>
      </c>
      <c r="AB3898" s="3">
        <v>42562</v>
      </c>
      <c r="AC3898" t="s">
        <v>53</v>
      </c>
      <c r="AD3898" t="s">
        <v>53</v>
      </c>
      <c r="AK3898">
        <v>0</v>
      </c>
      <c r="AU3898" s="3">
        <v>42426</v>
      </c>
      <c r="AV3898" s="3">
        <v>42426</v>
      </c>
      <c r="AW3898" t="s">
        <v>54</v>
      </c>
      <c r="AX3898" t="str">
        <f t="shared" ref="AX3898:AX3903" si="474">"ALTPRO"</f>
        <v>ALTPRO</v>
      </c>
      <c r="AY3898" t="s">
        <v>93</v>
      </c>
    </row>
    <row r="3899" spans="1:51" hidden="1">
      <c r="A3899">
        <v>106670</v>
      </c>
      <c r="B3899" t="s">
        <v>520</v>
      </c>
      <c r="C3899" t="str">
        <f t="shared" si="472"/>
        <v>01547570620</v>
      </c>
      <c r="D3899" t="str">
        <f t="shared" si="473"/>
        <v>TRSNTN79R18I197P</v>
      </c>
      <c r="E3899" t="s">
        <v>52</v>
      </c>
      <c r="F3899">
        <v>2016</v>
      </c>
      <c r="G3899" t="str">
        <f>"         FATTPA 2_16"</f>
        <v xml:space="preserve">         FATTPA 2_16</v>
      </c>
      <c r="H3899" s="3">
        <v>42405</v>
      </c>
      <c r="I3899" s="3">
        <v>42408</v>
      </c>
      <c r="J3899" s="3">
        <v>42405</v>
      </c>
      <c r="K3899" s="3">
        <v>42465</v>
      </c>
      <c r="L3899"/>
      <c r="N3899"/>
      <c r="O3899" s="4">
        <v>2530.64</v>
      </c>
      <c r="P3899">
        <v>-39</v>
      </c>
      <c r="Q3899" s="4">
        <v>-98694.96</v>
      </c>
      <c r="R3899">
        <v>0</v>
      </c>
      <c r="V3899">
        <v>0</v>
      </c>
      <c r="W3899">
        <v>0</v>
      </c>
      <c r="X3899">
        <v>0</v>
      </c>
      <c r="Y3899" s="4">
        <v>2530.64</v>
      </c>
      <c r="Z3899" s="4">
        <v>2530.64</v>
      </c>
      <c r="AA3899" s="4">
        <v>2530.64</v>
      </c>
      <c r="AB3899" s="3">
        <v>42562</v>
      </c>
      <c r="AC3899" t="s">
        <v>53</v>
      </c>
      <c r="AD3899" t="s">
        <v>53</v>
      </c>
      <c r="AK3899">
        <v>0</v>
      </c>
      <c r="AU3899" s="3">
        <v>42426</v>
      </c>
      <c r="AV3899" s="3">
        <v>42426</v>
      </c>
      <c r="AW3899" t="s">
        <v>54</v>
      </c>
      <c r="AX3899" t="str">
        <f t="shared" si="474"/>
        <v>ALTPRO</v>
      </c>
      <c r="AY3899" t="s">
        <v>93</v>
      </c>
    </row>
    <row r="3900" spans="1:51" hidden="1">
      <c r="A3900">
        <v>106670</v>
      </c>
      <c r="B3900" t="s">
        <v>520</v>
      </c>
      <c r="C3900" t="str">
        <f t="shared" si="472"/>
        <v>01547570620</v>
      </c>
      <c r="D3900" t="str">
        <f t="shared" si="473"/>
        <v>TRSNTN79R18I197P</v>
      </c>
      <c r="E3900" t="s">
        <v>52</v>
      </c>
      <c r="F3900">
        <v>2016</v>
      </c>
      <c r="G3900" t="str">
        <f>"         FATTPA 3_16"</f>
        <v xml:space="preserve">         FATTPA 3_16</v>
      </c>
      <c r="H3900" s="3">
        <v>42432</v>
      </c>
      <c r="I3900" s="3">
        <v>42433</v>
      </c>
      <c r="J3900" s="3">
        <v>42432</v>
      </c>
      <c r="K3900" s="3">
        <v>42492</v>
      </c>
      <c r="L3900"/>
      <c r="N3900"/>
      <c r="O3900" s="4">
        <v>2636</v>
      </c>
      <c r="P3900">
        <v>-41</v>
      </c>
      <c r="Q3900" s="4">
        <v>-108076</v>
      </c>
      <c r="R3900">
        <v>0</v>
      </c>
      <c r="V3900">
        <v>0</v>
      </c>
      <c r="W3900">
        <v>0</v>
      </c>
      <c r="X3900">
        <v>0</v>
      </c>
      <c r="Y3900" s="4">
        <v>2636</v>
      </c>
      <c r="Z3900" s="4">
        <v>2636</v>
      </c>
      <c r="AA3900" s="4">
        <v>2636</v>
      </c>
      <c r="AB3900" s="3">
        <v>42562</v>
      </c>
      <c r="AC3900" t="s">
        <v>53</v>
      </c>
      <c r="AD3900" t="s">
        <v>53</v>
      </c>
      <c r="AK3900">
        <v>0</v>
      </c>
      <c r="AU3900" s="3">
        <v>42451</v>
      </c>
      <c r="AV3900" s="3">
        <v>42451</v>
      </c>
      <c r="AW3900" t="s">
        <v>54</v>
      </c>
      <c r="AX3900" t="str">
        <f t="shared" si="474"/>
        <v>ALTPRO</v>
      </c>
      <c r="AY3900" t="s">
        <v>93</v>
      </c>
    </row>
    <row r="3901" spans="1:51">
      <c r="A3901">
        <v>106670</v>
      </c>
      <c r="B3901" t="s">
        <v>520</v>
      </c>
      <c r="C3901" t="str">
        <f t="shared" si="472"/>
        <v>01547570620</v>
      </c>
      <c r="D3901" t="str">
        <f t="shared" si="473"/>
        <v>TRSNTN79R18I197P</v>
      </c>
      <c r="E3901" t="s">
        <v>52</v>
      </c>
      <c r="F3901">
        <v>2016</v>
      </c>
      <c r="G3901" t="str">
        <f>"         FATTPA 4_16"</f>
        <v xml:space="preserve">         FATTPA 4_16</v>
      </c>
      <c r="H3901" s="3">
        <v>42460</v>
      </c>
      <c r="I3901" s="3">
        <v>42461</v>
      </c>
      <c r="J3901" s="3">
        <v>42460</v>
      </c>
      <c r="K3901" s="3">
        <v>42520</v>
      </c>
      <c r="L3901" s="5">
        <v>2741.36</v>
      </c>
      <c r="M3901">
        <v>-33</v>
      </c>
      <c r="N3901" s="5">
        <v>-90464.88</v>
      </c>
      <c r="O3901" s="4">
        <v>2741.36</v>
      </c>
      <c r="P3901">
        <v>-33</v>
      </c>
      <c r="Q3901" s="4">
        <v>-90464.88</v>
      </c>
      <c r="R3901">
        <v>0</v>
      </c>
      <c r="V3901">
        <v>0</v>
      </c>
      <c r="W3901" s="4">
        <v>2741.36</v>
      </c>
      <c r="X3901">
        <v>0</v>
      </c>
      <c r="Y3901" s="4">
        <v>2741.36</v>
      </c>
      <c r="Z3901" s="4">
        <v>2741.36</v>
      </c>
      <c r="AA3901" s="4">
        <v>2741.36</v>
      </c>
      <c r="AB3901" s="3">
        <v>42562</v>
      </c>
      <c r="AC3901" t="s">
        <v>53</v>
      </c>
      <c r="AD3901" t="s">
        <v>53</v>
      </c>
      <c r="AK3901">
        <v>0</v>
      </c>
      <c r="AU3901" s="3">
        <v>42487</v>
      </c>
      <c r="AV3901" s="3">
        <v>42487</v>
      </c>
      <c r="AW3901" t="s">
        <v>54</v>
      </c>
      <c r="AX3901" t="str">
        <f t="shared" si="474"/>
        <v>ALTPRO</v>
      </c>
      <c r="AY3901" t="s">
        <v>93</v>
      </c>
    </row>
    <row r="3902" spans="1:51">
      <c r="A3902">
        <v>106670</v>
      </c>
      <c r="B3902" t="s">
        <v>520</v>
      </c>
      <c r="C3902" t="str">
        <f t="shared" si="472"/>
        <v>01547570620</v>
      </c>
      <c r="D3902" t="str">
        <f t="shared" si="473"/>
        <v>TRSNTN79R18I197P</v>
      </c>
      <c r="E3902" t="s">
        <v>52</v>
      </c>
      <c r="F3902">
        <v>2016</v>
      </c>
      <c r="G3902" t="str">
        <f>"         FATTPA 5_16"</f>
        <v xml:space="preserve">         FATTPA 5_16</v>
      </c>
      <c r="H3902" s="3">
        <v>42495</v>
      </c>
      <c r="I3902" s="3">
        <v>42495</v>
      </c>
      <c r="J3902" s="3">
        <v>42495</v>
      </c>
      <c r="K3902" s="3">
        <v>42555</v>
      </c>
      <c r="L3902" s="5">
        <v>2636</v>
      </c>
      <c r="M3902">
        <v>-39</v>
      </c>
      <c r="N3902" s="5">
        <v>-102804</v>
      </c>
      <c r="O3902" s="4">
        <v>2636</v>
      </c>
      <c r="P3902">
        <v>-39</v>
      </c>
      <c r="Q3902" s="4">
        <v>-102804</v>
      </c>
      <c r="R3902">
        <v>0</v>
      </c>
      <c r="V3902" s="4">
        <v>2636</v>
      </c>
      <c r="W3902" s="4">
        <v>2636</v>
      </c>
      <c r="X3902" s="4">
        <v>2636</v>
      </c>
      <c r="Y3902" s="4">
        <v>2636</v>
      </c>
      <c r="Z3902" s="4">
        <v>2636</v>
      </c>
      <c r="AA3902" s="4">
        <v>2636</v>
      </c>
      <c r="AB3902" s="3">
        <v>42562</v>
      </c>
      <c r="AC3902" t="s">
        <v>53</v>
      </c>
      <c r="AD3902" t="s">
        <v>53</v>
      </c>
      <c r="AK3902">
        <v>0</v>
      </c>
      <c r="AU3902" s="3">
        <v>42516</v>
      </c>
      <c r="AV3902" s="3">
        <v>42516</v>
      </c>
      <c r="AW3902" t="s">
        <v>54</v>
      </c>
      <c r="AX3902" t="str">
        <f t="shared" si="474"/>
        <v>ALTPRO</v>
      </c>
      <c r="AY3902" t="s">
        <v>93</v>
      </c>
    </row>
    <row r="3903" spans="1:51">
      <c r="A3903">
        <v>106670</v>
      </c>
      <c r="B3903" t="s">
        <v>520</v>
      </c>
      <c r="C3903" t="str">
        <f t="shared" si="472"/>
        <v>01547570620</v>
      </c>
      <c r="D3903" t="str">
        <f t="shared" si="473"/>
        <v>TRSNTN79R18I197P</v>
      </c>
      <c r="E3903" t="s">
        <v>52</v>
      </c>
      <c r="F3903">
        <v>2016</v>
      </c>
      <c r="G3903" t="str">
        <f>"         FATTPA 6_16"</f>
        <v xml:space="preserve">         FATTPA 6_16</v>
      </c>
      <c r="H3903" s="3">
        <v>42522</v>
      </c>
      <c r="I3903" s="3">
        <v>42527</v>
      </c>
      <c r="J3903" s="3">
        <v>42522</v>
      </c>
      <c r="K3903" s="3">
        <v>42582</v>
      </c>
      <c r="L3903" s="5">
        <v>2741.36</v>
      </c>
      <c r="M3903">
        <v>-54</v>
      </c>
      <c r="N3903" s="5">
        <v>-148033.44</v>
      </c>
      <c r="O3903" s="4">
        <v>2741.36</v>
      </c>
      <c r="P3903">
        <v>-54</v>
      </c>
      <c r="Q3903" s="4">
        <v>-148033.44</v>
      </c>
      <c r="R3903">
        <v>0</v>
      </c>
      <c r="V3903" s="4">
        <v>2741.36</v>
      </c>
      <c r="W3903" s="4">
        <v>2741.36</v>
      </c>
      <c r="X3903" s="4">
        <v>2741.36</v>
      </c>
      <c r="Y3903" s="4">
        <v>2741.36</v>
      </c>
      <c r="Z3903" s="4">
        <v>2741.36</v>
      </c>
      <c r="AA3903" s="4">
        <v>2741.36</v>
      </c>
      <c r="AB3903" s="3">
        <v>42562</v>
      </c>
      <c r="AC3903" t="s">
        <v>53</v>
      </c>
      <c r="AD3903" t="s">
        <v>53</v>
      </c>
      <c r="AK3903">
        <v>0</v>
      </c>
      <c r="AU3903" s="3">
        <v>42528</v>
      </c>
      <c r="AV3903" s="3">
        <v>42528</v>
      </c>
      <c r="AW3903" t="s">
        <v>54</v>
      </c>
      <c r="AX3903" t="str">
        <f t="shared" si="474"/>
        <v>ALTPRO</v>
      </c>
      <c r="AY3903" t="s">
        <v>93</v>
      </c>
    </row>
    <row r="3904" spans="1:51" hidden="1">
      <c r="A3904">
        <v>106672</v>
      </c>
      <c r="B3904" t="s">
        <v>521</v>
      </c>
      <c r="C3904" t="str">
        <f t="shared" ref="C3904:D3908" si="475">"05351700017"</f>
        <v>05351700017</v>
      </c>
      <c r="D3904" t="str">
        <f t="shared" si="475"/>
        <v>05351700017</v>
      </c>
      <c r="E3904" t="s">
        <v>52</v>
      </c>
      <c r="F3904">
        <v>2016</v>
      </c>
      <c r="G3904" t="str">
        <f>"                0120"</f>
        <v xml:space="preserve">                0120</v>
      </c>
      <c r="H3904" s="3">
        <v>42389</v>
      </c>
      <c r="I3904" s="3">
        <v>42390</v>
      </c>
      <c r="J3904" s="3">
        <v>42390</v>
      </c>
      <c r="K3904" s="3">
        <v>42450</v>
      </c>
      <c r="L3904"/>
      <c r="N3904"/>
      <c r="O3904">
        <v>243.7</v>
      </c>
      <c r="P3904">
        <v>-60</v>
      </c>
      <c r="Q3904" s="4">
        <v>-14622</v>
      </c>
      <c r="R3904">
        <v>0</v>
      </c>
      <c r="V3904">
        <v>0</v>
      </c>
      <c r="W3904">
        <v>0</v>
      </c>
      <c r="X3904">
        <v>0</v>
      </c>
      <c r="Y3904">
        <v>243.7</v>
      </c>
      <c r="Z3904">
        <v>243.7</v>
      </c>
      <c r="AA3904">
        <v>243.7</v>
      </c>
      <c r="AB3904" s="3">
        <v>42562</v>
      </c>
      <c r="AC3904" t="s">
        <v>53</v>
      </c>
      <c r="AD3904" t="s">
        <v>53</v>
      </c>
      <c r="AK3904">
        <v>0</v>
      </c>
      <c r="AU3904" s="3">
        <v>42390</v>
      </c>
      <c r="AV3904" s="3">
        <v>42390</v>
      </c>
      <c r="AW3904" t="s">
        <v>54</v>
      </c>
      <c r="AX3904" t="str">
        <f t="shared" ref="AX3904:AX3917" si="476">"ALT"</f>
        <v>ALT</v>
      </c>
      <c r="AY3904" t="s">
        <v>72</v>
      </c>
    </row>
    <row r="3905" spans="1:51" hidden="1">
      <c r="A3905">
        <v>106672</v>
      </c>
      <c r="B3905" t="s">
        <v>521</v>
      </c>
      <c r="C3905" t="str">
        <f t="shared" si="475"/>
        <v>05351700017</v>
      </c>
      <c r="D3905" t="str">
        <f t="shared" si="475"/>
        <v>05351700017</v>
      </c>
      <c r="E3905" t="s">
        <v>52</v>
      </c>
      <c r="F3905">
        <v>2016</v>
      </c>
      <c r="G3905" t="str">
        <f>"                0222"</f>
        <v xml:space="preserve">                0222</v>
      </c>
      <c r="H3905" s="3">
        <v>42422</v>
      </c>
      <c r="I3905" s="3">
        <v>42422</v>
      </c>
      <c r="J3905" s="3">
        <v>42422</v>
      </c>
      <c r="K3905" s="3">
        <v>42482</v>
      </c>
      <c r="L3905"/>
      <c r="N3905"/>
      <c r="O3905">
        <v>243.7</v>
      </c>
      <c r="P3905">
        <v>-58</v>
      </c>
      <c r="Q3905" s="4">
        <v>-14134.6</v>
      </c>
      <c r="R3905">
        <v>0</v>
      </c>
      <c r="V3905">
        <v>0</v>
      </c>
      <c r="W3905">
        <v>0</v>
      </c>
      <c r="X3905">
        <v>0</v>
      </c>
      <c r="Y3905">
        <v>243.7</v>
      </c>
      <c r="Z3905">
        <v>243.7</v>
      </c>
      <c r="AA3905">
        <v>243.7</v>
      </c>
      <c r="AB3905" s="3">
        <v>42562</v>
      </c>
      <c r="AC3905" t="s">
        <v>53</v>
      </c>
      <c r="AD3905" t="s">
        <v>53</v>
      </c>
      <c r="AK3905">
        <v>0</v>
      </c>
      <c r="AU3905" s="3">
        <v>42424</v>
      </c>
      <c r="AV3905" s="3">
        <v>42424</v>
      </c>
      <c r="AW3905" t="s">
        <v>54</v>
      </c>
      <c r="AX3905" t="str">
        <f t="shared" si="476"/>
        <v>ALT</v>
      </c>
      <c r="AY3905" t="s">
        <v>72</v>
      </c>
    </row>
    <row r="3906" spans="1:51" hidden="1">
      <c r="A3906">
        <v>106672</v>
      </c>
      <c r="B3906" t="s">
        <v>521</v>
      </c>
      <c r="C3906" t="str">
        <f t="shared" si="475"/>
        <v>05351700017</v>
      </c>
      <c r="D3906" t="str">
        <f t="shared" si="475"/>
        <v>05351700017</v>
      </c>
      <c r="E3906" t="s">
        <v>52</v>
      </c>
      <c r="F3906">
        <v>2016</v>
      </c>
      <c r="G3906" t="str">
        <f>"                0321"</f>
        <v xml:space="preserve">                0321</v>
      </c>
      <c r="H3906" s="3">
        <v>42450</v>
      </c>
      <c r="I3906" s="3">
        <v>42450</v>
      </c>
      <c r="J3906" s="3">
        <v>42450</v>
      </c>
      <c r="K3906" s="3">
        <v>42510</v>
      </c>
      <c r="L3906"/>
      <c r="N3906"/>
      <c r="O3906">
        <v>243.7</v>
      </c>
      <c r="P3906">
        <v>-57</v>
      </c>
      <c r="Q3906" s="4">
        <v>-13890.9</v>
      </c>
      <c r="R3906">
        <v>0</v>
      </c>
      <c r="V3906">
        <v>0</v>
      </c>
      <c r="W3906">
        <v>0</v>
      </c>
      <c r="X3906">
        <v>0</v>
      </c>
      <c r="Y3906">
        <v>243.7</v>
      </c>
      <c r="Z3906">
        <v>243.7</v>
      </c>
      <c r="AA3906">
        <v>243.7</v>
      </c>
      <c r="AB3906" s="3">
        <v>42562</v>
      </c>
      <c r="AC3906" t="s">
        <v>53</v>
      </c>
      <c r="AD3906" t="s">
        <v>53</v>
      </c>
      <c r="AK3906">
        <v>0</v>
      </c>
      <c r="AU3906" s="3">
        <v>42453</v>
      </c>
      <c r="AV3906" s="3">
        <v>42453</v>
      </c>
      <c r="AW3906" t="s">
        <v>54</v>
      </c>
      <c r="AX3906" t="str">
        <f t="shared" si="476"/>
        <v>ALT</v>
      </c>
      <c r="AY3906" t="s">
        <v>72</v>
      </c>
    </row>
    <row r="3907" spans="1:51" hidden="1">
      <c r="A3907">
        <v>106672</v>
      </c>
      <c r="B3907" t="s">
        <v>521</v>
      </c>
      <c r="C3907" t="str">
        <f t="shared" si="475"/>
        <v>05351700017</v>
      </c>
      <c r="D3907" t="str">
        <f t="shared" si="475"/>
        <v>05351700017</v>
      </c>
      <c r="E3907" t="s">
        <v>52</v>
      </c>
      <c r="F3907">
        <v>2016</v>
      </c>
      <c r="G3907" t="str">
        <f>"                0421"</f>
        <v xml:space="preserve">                0421</v>
      </c>
      <c r="H3907" s="3">
        <v>42481</v>
      </c>
      <c r="I3907" s="3">
        <v>42481</v>
      </c>
      <c r="J3907" s="3">
        <v>42481</v>
      </c>
      <c r="K3907" s="3">
        <v>42541</v>
      </c>
      <c r="L3907">
        <v>243.7</v>
      </c>
      <c r="M3907">
        <v>-60</v>
      </c>
      <c r="N3907" s="4">
        <v>-14622</v>
      </c>
      <c r="O3907">
        <v>243.7</v>
      </c>
      <c r="P3907">
        <v>-60</v>
      </c>
      <c r="Q3907" s="4">
        <v>-14622</v>
      </c>
      <c r="R3907">
        <v>0</v>
      </c>
      <c r="V3907">
        <v>243.7</v>
      </c>
      <c r="W3907">
        <v>243.7</v>
      </c>
      <c r="X3907">
        <v>243.7</v>
      </c>
      <c r="Y3907">
        <v>243.7</v>
      </c>
      <c r="Z3907">
        <v>243.7</v>
      </c>
      <c r="AA3907">
        <v>243.7</v>
      </c>
      <c r="AB3907" s="3">
        <v>42562</v>
      </c>
      <c r="AC3907" t="s">
        <v>53</v>
      </c>
      <c r="AD3907" t="s">
        <v>53</v>
      </c>
      <c r="AK3907">
        <v>0</v>
      </c>
      <c r="AU3907" s="3">
        <v>42481</v>
      </c>
      <c r="AV3907" s="3">
        <v>42481</v>
      </c>
      <c r="AW3907" t="s">
        <v>54</v>
      </c>
      <c r="AX3907" t="str">
        <f t="shared" si="476"/>
        <v>ALT</v>
      </c>
      <c r="AY3907" t="s">
        <v>72</v>
      </c>
    </row>
    <row r="3908" spans="1:51" hidden="1">
      <c r="A3908">
        <v>106672</v>
      </c>
      <c r="B3908" t="s">
        <v>521</v>
      </c>
      <c r="C3908" t="str">
        <f t="shared" si="475"/>
        <v>05351700017</v>
      </c>
      <c r="D3908" t="str">
        <f t="shared" si="475"/>
        <v>05351700017</v>
      </c>
      <c r="E3908" t="s">
        <v>52</v>
      </c>
      <c r="F3908">
        <v>2016</v>
      </c>
      <c r="G3908" t="str">
        <f>"                0518"</f>
        <v xml:space="preserve">                0518</v>
      </c>
      <c r="H3908" s="3">
        <v>42508</v>
      </c>
      <c r="I3908" s="3">
        <v>42510</v>
      </c>
      <c r="J3908" s="3">
        <v>42510</v>
      </c>
      <c r="K3908" s="3">
        <v>42570</v>
      </c>
      <c r="L3908">
        <v>243.7</v>
      </c>
      <c r="M3908">
        <v>-57</v>
      </c>
      <c r="N3908" s="4">
        <v>-13890.9</v>
      </c>
      <c r="O3908">
        <v>243.7</v>
      </c>
      <c r="P3908">
        <v>-57</v>
      </c>
      <c r="Q3908" s="4">
        <v>-13890.9</v>
      </c>
      <c r="R3908">
        <v>0</v>
      </c>
      <c r="V3908">
        <v>243.7</v>
      </c>
      <c r="W3908">
        <v>243.7</v>
      </c>
      <c r="X3908">
        <v>243.7</v>
      </c>
      <c r="Y3908">
        <v>243.7</v>
      </c>
      <c r="Z3908">
        <v>243.7</v>
      </c>
      <c r="AA3908">
        <v>243.7</v>
      </c>
      <c r="AB3908" s="3">
        <v>42562</v>
      </c>
      <c r="AC3908" t="s">
        <v>53</v>
      </c>
      <c r="AD3908" t="s">
        <v>53</v>
      </c>
      <c r="AK3908">
        <v>0</v>
      </c>
      <c r="AU3908" s="3">
        <v>42513</v>
      </c>
      <c r="AV3908" s="3">
        <v>42513</v>
      </c>
      <c r="AW3908" t="s">
        <v>54</v>
      </c>
      <c r="AX3908" t="str">
        <f t="shared" si="476"/>
        <v>ALT</v>
      </c>
      <c r="AY3908" t="s">
        <v>72</v>
      </c>
    </row>
    <row r="3909" spans="1:51" hidden="1">
      <c r="A3909">
        <v>106675</v>
      </c>
      <c r="B3909" t="s">
        <v>522</v>
      </c>
      <c r="C3909" t="str">
        <f>""</f>
        <v/>
      </c>
      <c r="D3909" t="str">
        <f t="shared" ref="D3909:D3914" si="477">"FRTGPP50T02A328Y"</f>
        <v>FRTGPP50T02A328Y</v>
      </c>
      <c r="E3909" t="s">
        <v>52</v>
      </c>
      <c r="F3909">
        <v>2015</v>
      </c>
      <c r="G3909" t="str">
        <f>"                 300"</f>
        <v xml:space="preserve">                 300</v>
      </c>
      <c r="H3909" s="3">
        <v>42361</v>
      </c>
      <c r="I3909" s="3">
        <v>42361</v>
      </c>
      <c r="J3909" s="3">
        <v>42361</v>
      </c>
      <c r="K3909" s="3">
        <v>42421</v>
      </c>
      <c r="L3909"/>
      <c r="N3909"/>
      <c r="O3909" s="4">
        <v>2462.6</v>
      </c>
      <c r="P3909">
        <v>-19</v>
      </c>
      <c r="Q3909" s="4">
        <v>-46789.4</v>
      </c>
      <c r="R3909">
        <v>0</v>
      </c>
      <c r="V3909">
        <v>0</v>
      </c>
      <c r="W3909">
        <v>0</v>
      </c>
      <c r="X3909">
        <v>0</v>
      </c>
      <c r="Y3909">
        <v>0</v>
      </c>
      <c r="Z3909">
        <v>0</v>
      </c>
      <c r="AA3909">
        <v>0</v>
      </c>
      <c r="AB3909" s="3">
        <v>42562</v>
      </c>
      <c r="AC3909" t="s">
        <v>53</v>
      </c>
      <c r="AD3909" t="s">
        <v>53</v>
      </c>
      <c r="AK3909">
        <v>0</v>
      </c>
      <c r="AU3909" s="3">
        <v>42402</v>
      </c>
      <c r="AV3909" s="3">
        <v>42402</v>
      </c>
      <c r="AW3909" t="s">
        <v>54</v>
      </c>
      <c r="AX3909" t="str">
        <f t="shared" si="476"/>
        <v>ALT</v>
      </c>
      <c r="AY3909" t="s">
        <v>72</v>
      </c>
    </row>
    <row r="3910" spans="1:51" hidden="1">
      <c r="A3910">
        <v>106675</v>
      </c>
      <c r="B3910" t="s">
        <v>522</v>
      </c>
      <c r="C3910" t="str">
        <f>""</f>
        <v/>
      </c>
      <c r="D3910" t="str">
        <f t="shared" si="477"/>
        <v>FRTGPP50T02A328Y</v>
      </c>
      <c r="E3910" t="s">
        <v>52</v>
      </c>
      <c r="F3910">
        <v>2016</v>
      </c>
      <c r="G3910" t="str">
        <f>"                0120"</f>
        <v xml:space="preserve">                0120</v>
      </c>
      <c r="H3910" s="3">
        <v>42389</v>
      </c>
      <c r="I3910" s="3">
        <v>42390</v>
      </c>
      <c r="J3910" s="3">
        <v>42390</v>
      </c>
      <c r="K3910" s="3">
        <v>42450</v>
      </c>
      <c r="L3910"/>
      <c r="N3910"/>
      <c r="O3910">
        <v>351.8</v>
      </c>
      <c r="P3910">
        <v>-60</v>
      </c>
      <c r="Q3910" s="4">
        <v>-21108</v>
      </c>
      <c r="R3910">
        <v>0</v>
      </c>
      <c r="V3910">
        <v>0</v>
      </c>
      <c r="W3910">
        <v>0</v>
      </c>
      <c r="X3910">
        <v>0</v>
      </c>
      <c r="Y3910">
        <v>351.8</v>
      </c>
      <c r="Z3910">
        <v>351.8</v>
      </c>
      <c r="AA3910">
        <v>351.8</v>
      </c>
      <c r="AB3910" s="3">
        <v>42562</v>
      </c>
      <c r="AC3910" t="s">
        <v>53</v>
      </c>
      <c r="AD3910" t="s">
        <v>53</v>
      </c>
      <c r="AK3910">
        <v>0</v>
      </c>
      <c r="AU3910" s="3">
        <v>42390</v>
      </c>
      <c r="AV3910" s="3">
        <v>42390</v>
      </c>
      <c r="AW3910" t="s">
        <v>54</v>
      </c>
      <c r="AX3910" t="str">
        <f t="shared" si="476"/>
        <v>ALT</v>
      </c>
      <c r="AY3910" t="s">
        <v>72</v>
      </c>
    </row>
    <row r="3911" spans="1:51" hidden="1">
      <c r="A3911">
        <v>106675</v>
      </c>
      <c r="B3911" t="s">
        <v>522</v>
      </c>
      <c r="C3911" t="str">
        <f>""</f>
        <v/>
      </c>
      <c r="D3911" t="str">
        <f t="shared" si="477"/>
        <v>FRTGPP50T02A328Y</v>
      </c>
      <c r="E3911" t="s">
        <v>52</v>
      </c>
      <c r="F3911">
        <v>2016</v>
      </c>
      <c r="G3911" t="str">
        <f>"                0222"</f>
        <v xml:space="preserve">                0222</v>
      </c>
      <c r="H3911" s="3">
        <v>42422</v>
      </c>
      <c r="I3911" s="3">
        <v>42422</v>
      </c>
      <c r="J3911" s="3">
        <v>42422</v>
      </c>
      <c r="K3911" s="3">
        <v>42482</v>
      </c>
      <c r="L3911"/>
      <c r="N3911"/>
      <c r="O3911">
        <v>351.8</v>
      </c>
      <c r="P3911">
        <v>-58</v>
      </c>
      <c r="Q3911" s="4">
        <v>-20404.400000000001</v>
      </c>
      <c r="R3911">
        <v>0</v>
      </c>
      <c r="V3911">
        <v>0</v>
      </c>
      <c r="W3911">
        <v>0</v>
      </c>
      <c r="X3911">
        <v>0</v>
      </c>
      <c r="Y3911">
        <v>351.8</v>
      </c>
      <c r="Z3911">
        <v>351.8</v>
      </c>
      <c r="AA3911">
        <v>351.8</v>
      </c>
      <c r="AB3911" s="3">
        <v>42562</v>
      </c>
      <c r="AC3911" t="s">
        <v>53</v>
      </c>
      <c r="AD3911" t="s">
        <v>53</v>
      </c>
      <c r="AK3911">
        <v>0</v>
      </c>
      <c r="AU3911" s="3">
        <v>42424</v>
      </c>
      <c r="AV3911" s="3">
        <v>42424</v>
      </c>
      <c r="AW3911" t="s">
        <v>54</v>
      </c>
      <c r="AX3911" t="str">
        <f t="shared" si="476"/>
        <v>ALT</v>
      </c>
      <c r="AY3911" t="s">
        <v>72</v>
      </c>
    </row>
    <row r="3912" spans="1:51" hidden="1">
      <c r="A3912">
        <v>106675</v>
      </c>
      <c r="B3912" t="s">
        <v>522</v>
      </c>
      <c r="C3912" t="str">
        <f>""</f>
        <v/>
      </c>
      <c r="D3912" t="str">
        <f t="shared" si="477"/>
        <v>FRTGPP50T02A328Y</v>
      </c>
      <c r="E3912" t="s">
        <v>52</v>
      </c>
      <c r="F3912">
        <v>2016</v>
      </c>
      <c r="G3912" t="str">
        <f>"                0321"</f>
        <v xml:space="preserve">                0321</v>
      </c>
      <c r="H3912" s="3">
        <v>42450</v>
      </c>
      <c r="I3912" s="3">
        <v>42450</v>
      </c>
      <c r="J3912" s="3">
        <v>42450</v>
      </c>
      <c r="K3912" s="3">
        <v>42510</v>
      </c>
      <c r="L3912"/>
      <c r="N3912"/>
      <c r="O3912">
        <v>351.8</v>
      </c>
      <c r="P3912">
        <v>-57</v>
      </c>
      <c r="Q3912" s="4">
        <v>-20052.599999999999</v>
      </c>
      <c r="R3912">
        <v>0</v>
      </c>
      <c r="V3912">
        <v>0</v>
      </c>
      <c r="W3912">
        <v>0</v>
      </c>
      <c r="X3912">
        <v>0</v>
      </c>
      <c r="Y3912">
        <v>351.8</v>
      </c>
      <c r="Z3912">
        <v>351.8</v>
      </c>
      <c r="AA3912">
        <v>351.8</v>
      </c>
      <c r="AB3912" s="3">
        <v>42562</v>
      </c>
      <c r="AC3912" t="s">
        <v>53</v>
      </c>
      <c r="AD3912" t="s">
        <v>53</v>
      </c>
      <c r="AK3912">
        <v>0</v>
      </c>
      <c r="AU3912" s="3">
        <v>42453</v>
      </c>
      <c r="AV3912" s="3">
        <v>42453</v>
      </c>
      <c r="AW3912" t="s">
        <v>54</v>
      </c>
      <c r="AX3912" t="str">
        <f t="shared" si="476"/>
        <v>ALT</v>
      </c>
      <c r="AY3912" t="s">
        <v>72</v>
      </c>
    </row>
    <row r="3913" spans="1:51" hidden="1">
      <c r="A3913">
        <v>106675</v>
      </c>
      <c r="B3913" t="s">
        <v>522</v>
      </c>
      <c r="C3913" t="str">
        <f>""</f>
        <v/>
      </c>
      <c r="D3913" t="str">
        <f t="shared" si="477"/>
        <v>FRTGPP50T02A328Y</v>
      </c>
      <c r="E3913" t="s">
        <v>52</v>
      </c>
      <c r="F3913">
        <v>2016</v>
      </c>
      <c r="G3913" t="str">
        <f>"                0421"</f>
        <v xml:space="preserve">                0421</v>
      </c>
      <c r="H3913" s="3">
        <v>42481</v>
      </c>
      <c r="I3913" s="3">
        <v>42481</v>
      </c>
      <c r="J3913" s="3">
        <v>42481</v>
      </c>
      <c r="K3913" s="3">
        <v>42541</v>
      </c>
      <c r="L3913">
        <v>351.8</v>
      </c>
      <c r="M3913">
        <v>-60</v>
      </c>
      <c r="N3913" s="4">
        <v>-21108</v>
      </c>
      <c r="O3913">
        <v>351.8</v>
      </c>
      <c r="P3913">
        <v>-60</v>
      </c>
      <c r="Q3913" s="4">
        <v>-21108</v>
      </c>
      <c r="R3913">
        <v>0</v>
      </c>
      <c r="V3913">
        <v>351.8</v>
      </c>
      <c r="W3913">
        <v>351.8</v>
      </c>
      <c r="X3913">
        <v>351.8</v>
      </c>
      <c r="Y3913">
        <v>351.8</v>
      </c>
      <c r="Z3913">
        <v>351.8</v>
      </c>
      <c r="AA3913">
        <v>351.8</v>
      </c>
      <c r="AB3913" s="3">
        <v>42562</v>
      </c>
      <c r="AC3913" t="s">
        <v>53</v>
      </c>
      <c r="AD3913" t="s">
        <v>53</v>
      </c>
      <c r="AK3913">
        <v>0</v>
      </c>
      <c r="AU3913" s="3">
        <v>42481</v>
      </c>
      <c r="AV3913" s="3">
        <v>42481</v>
      </c>
      <c r="AW3913" t="s">
        <v>54</v>
      </c>
      <c r="AX3913" t="str">
        <f t="shared" si="476"/>
        <v>ALT</v>
      </c>
      <c r="AY3913" t="s">
        <v>72</v>
      </c>
    </row>
    <row r="3914" spans="1:51" hidden="1">
      <c r="A3914">
        <v>106675</v>
      </c>
      <c r="B3914" t="s">
        <v>522</v>
      </c>
      <c r="C3914" t="str">
        <f>""</f>
        <v/>
      </c>
      <c r="D3914" t="str">
        <f t="shared" si="477"/>
        <v>FRTGPP50T02A328Y</v>
      </c>
      <c r="E3914" t="s">
        <v>52</v>
      </c>
      <c r="F3914">
        <v>2016</v>
      </c>
      <c r="G3914" t="str">
        <f>"                0518"</f>
        <v xml:space="preserve">                0518</v>
      </c>
      <c r="H3914" s="3">
        <v>42508</v>
      </c>
      <c r="I3914" s="3">
        <v>42510</v>
      </c>
      <c r="J3914" s="3">
        <v>42510</v>
      </c>
      <c r="K3914" s="3">
        <v>42570</v>
      </c>
      <c r="L3914">
        <v>351.8</v>
      </c>
      <c r="M3914">
        <v>-57</v>
      </c>
      <c r="N3914" s="4">
        <v>-20052.599999999999</v>
      </c>
      <c r="O3914">
        <v>351.8</v>
      </c>
      <c r="P3914">
        <v>-57</v>
      </c>
      <c r="Q3914" s="4">
        <v>-20052.599999999999</v>
      </c>
      <c r="R3914">
        <v>0</v>
      </c>
      <c r="V3914">
        <v>351.8</v>
      </c>
      <c r="W3914">
        <v>351.8</v>
      </c>
      <c r="X3914">
        <v>351.8</v>
      </c>
      <c r="Y3914">
        <v>351.8</v>
      </c>
      <c r="Z3914">
        <v>351.8</v>
      </c>
      <c r="AA3914">
        <v>351.8</v>
      </c>
      <c r="AB3914" s="3">
        <v>42562</v>
      </c>
      <c r="AC3914" t="s">
        <v>53</v>
      </c>
      <c r="AD3914" t="s">
        <v>53</v>
      </c>
      <c r="AK3914">
        <v>0</v>
      </c>
      <c r="AU3914" s="3">
        <v>42513</v>
      </c>
      <c r="AV3914" s="3">
        <v>42513</v>
      </c>
      <c r="AW3914" t="s">
        <v>54</v>
      </c>
      <c r="AX3914" t="str">
        <f t="shared" si="476"/>
        <v>ALT</v>
      </c>
      <c r="AY3914" t="s">
        <v>72</v>
      </c>
    </row>
    <row r="3915" spans="1:51" hidden="1">
      <c r="A3915">
        <v>106676</v>
      </c>
      <c r="B3915" t="s">
        <v>523</v>
      </c>
      <c r="C3915" t="str">
        <f>"00472710581"</f>
        <v>00472710581</v>
      </c>
      <c r="D3915" t="str">
        <f>""</f>
        <v/>
      </c>
      <c r="E3915" t="s">
        <v>52</v>
      </c>
      <c r="F3915">
        <v>2015</v>
      </c>
      <c r="G3915" t="str">
        <f>"                 299"</f>
        <v xml:space="preserve">                 299</v>
      </c>
      <c r="H3915" s="3">
        <v>42361</v>
      </c>
      <c r="I3915" s="3">
        <v>42361</v>
      </c>
      <c r="J3915" s="3">
        <v>42361</v>
      </c>
      <c r="K3915" s="3">
        <v>42421</v>
      </c>
      <c r="L3915"/>
      <c r="N3915"/>
      <c r="O3915" s="4">
        <v>2079.84</v>
      </c>
      <c r="P3915">
        <v>-19</v>
      </c>
      <c r="Q3915" s="4">
        <v>-39516.959999999999</v>
      </c>
      <c r="R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 s="3">
        <v>42562</v>
      </c>
      <c r="AC3915" t="s">
        <v>53</v>
      </c>
      <c r="AD3915" t="s">
        <v>53</v>
      </c>
      <c r="AK3915">
        <v>0</v>
      </c>
      <c r="AU3915" s="3">
        <v>42402</v>
      </c>
      <c r="AV3915" s="3">
        <v>42402</v>
      </c>
      <c r="AW3915" t="s">
        <v>54</v>
      </c>
      <c r="AX3915" t="str">
        <f t="shared" si="476"/>
        <v>ALT</v>
      </c>
      <c r="AY3915" t="s">
        <v>72</v>
      </c>
    </row>
    <row r="3916" spans="1:51" hidden="1">
      <c r="A3916">
        <v>106677</v>
      </c>
      <c r="B3916" t="s">
        <v>524</v>
      </c>
      <c r="C3916" t="str">
        <f>""</f>
        <v/>
      </c>
      <c r="D3916" t="str">
        <f>"PGLCLT76D66A773Q"</f>
        <v>PGLCLT76D66A773Q</v>
      </c>
      <c r="E3916" t="s">
        <v>52</v>
      </c>
      <c r="F3916">
        <v>2016</v>
      </c>
      <c r="G3916" t="str">
        <f>"                   4"</f>
        <v xml:space="preserve">                   4</v>
      </c>
      <c r="H3916" s="3">
        <v>42394</v>
      </c>
      <c r="I3916" s="3">
        <v>42394</v>
      </c>
      <c r="J3916" s="3">
        <v>42394</v>
      </c>
      <c r="K3916" s="3">
        <v>42454</v>
      </c>
      <c r="L3916"/>
      <c r="N3916"/>
      <c r="O3916">
        <v>92.22</v>
      </c>
      <c r="P3916">
        <v>-52</v>
      </c>
      <c r="Q3916" s="4">
        <v>-4795.4399999999996</v>
      </c>
      <c r="R3916">
        <v>0</v>
      </c>
      <c r="V3916">
        <v>0</v>
      </c>
      <c r="W3916">
        <v>0</v>
      </c>
      <c r="X3916">
        <v>0</v>
      </c>
      <c r="Y3916">
        <v>92.22</v>
      </c>
      <c r="Z3916">
        <v>92.22</v>
      </c>
      <c r="AA3916">
        <v>92.22</v>
      </c>
      <c r="AB3916" s="3">
        <v>42562</v>
      </c>
      <c r="AC3916" t="s">
        <v>53</v>
      </c>
      <c r="AD3916" t="s">
        <v>53</v>
      </c>
      <c r="AK3916">
        <v>0</v>
      </c>
      <c r="AU3916" s="3">
        <v>42402</v>
      </c>
      <c r="AV3916" s="3">
        <v>42402</v>
      </c>
      <c r="AW3916" t="s">
        <v>54</v>
      </c>
      <c r="AX3916" t="str">
        <f t="shared" si="476"/>
        <v>ALT</v>
      </c>
      <c r="AY3916" t="s">
        <v>72</v>
      </c>
    </row>
    <row r="3917" spans="1:51" hidden="1">
      <c r="A3917">
        <v>106678</v>
      </c>
      <c r="B3917" t="s">
        <v>525</v>
      </c>
      <c r="C3917" t="str">
        <f>""</f>
        <v/>
      </c>
      <c r="D3917" t="str">
        <f>"MNLNGL78B56A783V"</f>
        <v>MNLNGL78B56A783V</v>
      </c>
      <c r="E3917" t="s">
        <v>52</v>
      </c>
      <c r="F3917">
        <v>2016</v>
      </c>
      <c r="G3917" t="str">
        <f>"                   6"</f>
        <v xml:space="preserve">                   6</v>
      </c>
      <c r="H3917" s="3">
        <v>42394</v>
      </c>
      <c r="I3917" s="3">
        <v>42394</v>
      </c>
      <c r="J3917" s="3">
        <v>42394</v>
      </c>
      <c r="K3917" s="3">
        <v>42454</v>
      </c>
      <c r="L3917"/>
      <c r="N3917"/>
      <c r="O3917">
        <v>900</v>
      </c>
      <c r="P3917">
        <v>-49</v>
      </c>
      <c r="Q3917" s="4">
        <v>-44100</v>
      </c>
      <c r="R3917">
        <v>0</v>
      </c>
      <c r="V3917">
        <v>0</v>
      </c>
      <c r="W3917">
        <v>0</v>
      </c>
      <c r="X3917">
        <v>0</v>
      </c>
      <c r="Y3917">
        <v>900</v>
      </c>
      <c r="Z3917">
        <v>900</v>
      </c>
      <c r="AA3917">
        <v>900</v>
      </c>
      <c r="AB3917" s="3">
        <v>42562</v>
      </c>
      <c r="AC3917" t="s">
        <v>53</v>
      </c>
      <c r="AD3917" t="s">
        <v>53</v>
      </c>
      <c r="AK3917">
        <v>0</v>
      </c>
      <c r="AU3917" s="3">
        <v>42405</v>
      </c>
      <c r="AV3917" s="3">
        <v>42405</v>
      </c>
      <c r="AW3917" t="s">
        <v>54</v>
      </c>
      <c r="AX3917" t="str">
        <f t="shared" si="476"/>
        <v>ALT</v>
      </c>
      <c r="AY3917" t="s">
        <v>72</v>
      </c>
    </row>
    <row r="3918" spans="1:51" hidden="1">
      <c r="A3918">
        <v>106684</v>
      </c>
      <c r="B3918" t="s">
        <v>526</v>
      </c>
      <c r="C3918" t="str">
        <f>"01269220628"</f>
        <v>01269220628</v>
      </c>
      <c r="D3918" t="str">
        <f>"VLLMRA70L27A783N"</f>
        <v>VLLMRA70L27A783N</v>
      </c>
      <c r="E3918" t="s">
        <v>52</v>
      </c>
      <c r="F3918">
        <v>2016</v>
      </c>
      <c r="G3918" t="str">
        <f>"                  16"</f>
        <v xml:space="preserve">                  16</v>
      </c>
      <c r="H3918" s="3">
        <v>42410</v>
      </c>
      <c r="I3918" s="3">
        <v>42412</v>
      </c>
      <c r="J3918" s="3">
        <v>42410</v>
      </c>
      <c r="K3918" s="3">
        <v>42470</v>
      </c>
      <c r="L3918"/>
      <c r="N3918"/>
      <c r="O3918" s="4">
        <v>1551.94</v>
      </c>
      <c r="P3918">
        <v>-37</v>
      </c>
      <c r="Q3918" s="4">
        <v>-57421.78</v>
      </c>
      <c r="R3918">
        <v>0</v>
      </c>
      <c r="V3918">
        <v>0</v>
      </c>
      <c r="W3918">
        <v>0</v>
      </c>
      <c r="X3918">
        <v>0</v>
      </c>
      <c r="Y3918" s="4">
        <v>1551.94</v>
      </c>
      <c r="Z3918" s="4">
        <v>1551.94</v>
      </c>
      <c r="AA3918" s="4">
        <v>1551.94</v>
      </c>
      <c r="AB3918" s="3">
        <v>42562</v>
      </c>
      <c r="AC3918" t="s">
        <v>53</v>
      </c>
      <c r="AD3918" t="s">
        <v>53</v>
      </c>
      <c r="AK3918">
        <v>0</v>
      </c>
      <c r="AU3918" s="3">
        <v>42433</v>
      </c>
      <c r="AV3918" s="3">
        <v>42433</v>
      </c>
      <c r="AW3918" t="s">
        <v>54</v>
      </c>
      <c r="AX3918" t="str">
        <f>"ALTPRO"</f>
        <v>ALTPRO</v>
      </c>
      <c r="AY3918" t="s">
        <v>93</v>
      </c>
    </row>
    <row r="3919" spans="1:51" hidden="1">
      <c r="A3919">
        <v>106686</v>
      </c>
      <c r="B3919" t="s">
        <v>527</v>
      </c>
      <c r="C3919" t="str">
        <f>""</f>
        <v/>
      </c>
      <c r="D3919" t="str">
        <f>"PRLPFR83C27B963U"</f>
        <v>PRLPFR83C27B963U</v>
      </c>
      <c r="E3919" t="s">
        <v>52</v>
      </c>
      <c r="F3919">
        <v>2016</v>
      </c>
      <c r="G3919" t="str">
        <f>"                  15"</f>
        <v xml:space="preserve">                  15</v>
      </c>
      <c r="H3919" s="3">
        <v>42416</v>
      </c>
      <c r="I3919" s="3">
        <v>42416</v>
      </c>
      <c r="J3919" s="3">
        <v>42416</v>
      </c>
      <c r="K3919" s="3">
        <v>42476</v>
      </c>
      <c r="L3919"/>
      <c r="N3919"/>
      <c r="O3919">
        <v>100</v>
      </c>
      <c r="P3919">
        <v>-60</v>
      </c>
      <c r="Q3919" s="4">
        <v>-6000</v>
      </c>
      <c r="R3919">
        <v>0</v>
      </c>
      <c r="V3919">
        <v>0</v>
      </c>
      <c r="W3919">
        <v>0</v>
      </c>
      <c r="X3919">
        <v>0</v>
      </c>
      <c r="Y3919">
        <v>100</v>
      </c>
      <c r="Z3919">
        <v>100</v>
      </c>
      <c r="AA3919">
        <v>100</v>
      </c>
      <c r="AB3919" s="3">
        <v>42562</v>
      </c>
      <c r="AC3919" t="s">
        <v>53</v>
      </c>
      <c r="AD3919" t="s">
        <v>53</v>
      </c>
      <c r="AK3919">
        <v>0</v>
      </c>
      <c r="AU3919" s="3">
        <v>42416</v>
      </c>
      <c r="AV3919" s="3">
        <v>42416</v>
      </c>
      <c r="AW3919" t="s">
        <v>54</v>
      </c>
      <c r="AX3919" t="str">
        <f>"ALT"</f>
        <v>ALT</v>
      </c>
      <c r="AY3919" t="s">
        <v>72</v>
      </c>
    </row>
    <row r="3920" spans="1:51" hidden="1">
      <c r="A3920">
        <v>106689</v>
      </c>
      <c r="B3920" t="s">
        <v>528</v>
      </c>
      <c r="C3920" t="str">
        <f>""</f>
        <v/>
      </c>
      <c r="D3920" t="str">
        <f>"TRNVNT88P51A509Y"</f>
        <v>TRNVNT88P51A509Y</v>
      </c>
      <c r="E3920" t="s">
        <v>52</v>
      </c>
      <c r="F3920">
        <v>2016</v>
      </c>
      <c r="G3920" t="str">
        <f>"                  17"</f>
        <v xml:space="preserve">                  17</v>
      </c>
      <c r="H3920" s="3">
        <v>42422</v>
      </c>
      <c r="I3920" s="3">
        <v>42422</v>
      </c>
      <c r="J3920" s="3">
        <v>42422</v>
      </c>
      <c r="K3920" s="3">
        <v>42482</v>
      </c>
      <c r="L3920"/>
      <c r="N3920"/>
      <c r="O3920">
        <v>100</v>
      </c>
      <c r="P3920">
        <v>-60</v>
      </c>
      <c r="Q3920" s="4">
        <v>-6000</v>
      </c>
      <c r="R3920">
        <v>0</v>
      </c>
      <c r="V3920">
        <v>0</v>
      </c>
      <c r="W3920">
        <v>0</v>
      </c>
      <c r="X3920">
        <v>0</v>
      </c>
      <c r="Y3920">
        <v>100</v>
      </c>
      <c r="Z3920">
        <v>100</v>
      </c>
      <c r="AA3920">
        <v>100</v>
      </c>
      <c r="AB3920" s="3">
        <v>42562</v>
      </c>
      <c r="AC3920" t="s">
        <v>53</v>
      </c>
      <c r="AD3920" t="s">
        <v>53</v>
      </c>
      <c r="AK3920">
        <v>0</v>
      </c>
      <c r="AU3920" s="3">
        <v>42422</v>
      </c>
      <c r="AV3920" s="3">
        <v>42422</v>
      </c>
      <c r="AW3920" t="s">
        <v>54</v>
      </c>
      <c r="AX3920" t="str">
        <f>"ALT"</f>
        <v>ALT</v>
      </c>
      <c r="AY3920" t="s">
        <v>72</v>
      </c>
    </row>
    <row r="3921" spans="1:51" hidden="1">
      <c r="A3921">
        <v>106690</v>
      </c>
      <c r="B3921" t="s">
        <v>529</v>
      </c>
      <c r="C3921" t="str">
        <f>"01234880621"</f>
        <v>01234880621</v>
      </c>
      <c r="D3921" t="str">
        <f>"PLMTGV52S20H764A"</f>
        <v>PLMTGV52S20H764A</v>
      </c>
      <c r="E3921" t="s">
        <v>52</v>
      </c>
      <c r="F3921">
        <v>2016</v>
      </c>
      <c r="G3921" t="str">
        <f>"                  17"</f>
        <v xml:space="preserve">                  17</v>
      </c>
      <c r="H3921" s="3">
        <v>42409</v>
      </c>
      <c r="I3921" s="3">
        <v>42423</v>
      </c>
      <c r="J3921" s="3">
        <v>42422</v>
      </c>
      <c r="K3921" s="3">
        <v>42482</v>
      </c>
      <c r="L3921"/>
      <c r="N3921"/>
      <c r="O3921">
        <v>769.54</v>
      </c>
      <c r="P3921">
        <v>-49</v>
      </c>
      <c r="Q3921" s="4">
        <v>-37707.46</v>
      </c>
      <c r="R3921">
        <v>0</v>
      </c>
      <c r="V3921">
        <v>0</v>
      </c>
      <c r="W3921">
        <v>0</v>
      </c>
      <c r="X3921">
        <v>0</v>
      </c>
      <c r="Y3921">
        <v>769.54</v>
      </c>
      <c r="Z3921">
        <v>769.54</v>
      </c>
      <c r="AA3921">
        <v>769.54</v>
      </c>
      <c r="AB3921" s="3">
        <v>42562</v>
      </c>
      <c r="AC3921" t="s">
        <v>53</v>
      </c>
      <c r="AD3921" t="s">
        <v>53</v>
      </c>
      <c r="AK3921">
        <v>0</v>
      </c>
      <c r="AU3921" s="3">
        <v>42433</v>
      </c>
      <c r="AV3921" s="3">
        <v>42433</v>
      </c>
      <c r="AW3921" t="s">
        <v>54</v>
      </c>
      <c r="AX3921" t="str">
        <f>"ALTPRO"</f>
        <v>ALTPRO</v>
      </c>
      <c r="AY3921" t="s">
        <v>93</v>
      </c>
    </row>
    <row r="3922" spans="1:51" hidden="1">
      <c r="A3922">
        <v>106700</v>
      </c>
      <c r="B3922" t="s">
        <v>530</v>
      </c>
      <c r="C3922" t="str">
        <f>""</f>
        <v/>
      </c>
      <c r="D3922" t="str">
        <f>"CRRPMP63B24A783J"</f>
        <v>CRRPMP63B24A783J</v>
      </c>
      <c r="E3922" t="s">
        <v>52</v>
      </c>
      <c r="F3922">
        <v>2016</v>
      </c>
      <c r="G3922" t="str">
        <f>"                  38"</f>
        <v xml:space="preserve">                  38</v>
      </c>
      <c r="H3922" s="3">
        <v>42431</v>
      </c>
      <c r="I3922" s="3">
        <v>42431</v>
      </c>
      <c r="J3922" s="3">
        <v>42431</v>
      </c>
      <c r="K3922" s="3">
        <v>42491</v>
      </c>
      <c r="L3922"/>
      <c r="N3922"/>
      <c r="O3922">
        <v>200</v>
      </c>
      <c r="P3922">
        <v>-60</v>
      </c>
      <c r="Q3922" s="4">
        <v>-12000</v>
      </c>
      <c r="R3922">
        <v>0</v>
      </c>
      <c r="V3922">
        <v>0</v>
      </c>
      <c r="W3922">
        <v>0</v>
      </c>
      <c r="X3922">
        <v>0</v>
      </c>
      <c r="Y3922">
        <v>200</v>
      </c>
      <c r="Z3922">
        <v>200</v>
      </c>
      <c r="AA3922">
        <v>200</v>
      </c>
      <c r="AB3922" s="3">
        <v>42562</v>
      </c>
      <c r="AC3922" t="s">
        <v>53</v>
      </c>
      <c r="AD3922" t="s">
        <v>53</v>
      </c>
      <c r="AK3922">
        <v>0</v>
      </c>
      <c r="AU3922" s="3">
        <v>42431</v>
      </c>
      <c r="AV3922" s="3">
        <v>42431</v>
      </c>
      <c r="AW3922" t="s">
        <v>54</v>
      </c>
      <c r="AX3922" t="str">
        <f>"ALT"</f>
        <v>ALT</v>
      </c>
      <c r="AY3922" t="s">
        <v>72</v>
      </c>
    </row>
    <row r="3923" spans="1:51">
      <c r="A3923">
        <v>106705</v>
      </c>
      <c r="B3923" t="s">
        <v>531</v>
      </c>
      <c r="C3923" t="str">
        <f>"08227521211"</f>
        <v>08227521211</v>
      </c>
      <c r="D3923" t="str">
        <f>""</f>
        <v/>
      </c>
      <c r="E3923" t="s">
        <v>52</v>
      </c>
      <c r="F3923">
        <v>2016</v>
      </c>
      <c r="G3923" t="str">
        <f>"                5430"</f>
        <v xml:space="preserve">                5430</v>
      </c>
      <c r="H3923" s="3">
        <v>42433</v>
      </c>
      <c r="I3923" s="3">
        <v>42438</v>
      </c>
      <c r="J3923" s="3">
        <v>42437</v>
      </c>
      <c r="K3923" s="3">
        <v>42497</v>
      </c>
      <c r="L3923" s="5">
        <v>4950.79</v>
      </c>
      <c r="M3923">
        <v>23</v>
      </c>
      <c r="N3923" s="5">
        <v>113868.17</v>
      </c>
      <c r="O3923" s="4">
        <v>4950.79</v>
      </c>
      <c r="P3923">
        <v>23</v>
      </c>
      <c r="Q3923" s="4">
        <v>113868.17</v>
      </c>
      <c r="R3923">
        <v>0</v>
      </c>
      <c r="V3923">
        <v>0</v>
      </c>
      <c r="W3923">
        <v>0</v>
      </c>
      <c r="X3923">
        <v>0</v>
      </c>
      <c r="Y3923" s="4">
        <v>6039.96</v>
      </c>
      <c r="Z3923" s="4">
        <v>6039.96</v>
      </c>
      <c r="AA3923" s="4">
        <v>6039.96</v>
      </c>
      <c r="AB3923" s="3">
        <v>42562</v>
      </c>
      <c r="AC3923" t="s">
        <v>53</v>
      </c>
      <c r="AD3923" t="s">
        <v>53</v>
      </c>
      <c r="AK3923">
        <v>0</v>
      </c>
      <c r="AU3923" s="3">
        <v>42520</v>
      </c>
      <c r="AV3923" s="3">
        <v>42520</v>
      </c>
      <c r="AW3923" t="s">
        <v>54</v>
      </c>
      <c r="AX3923" t="str">
        <f>"FOR"</f>
        <v>FOR</v>
      </c>
      <c r="AY3923" t="s">
        <v>55</v>
      </c>
    </row>
    <row r="3924" spans="1:51">
      <c r="A3924">
        <v>106708</v>
      </c>
      <c r="B3924" t="s">
        <v>532</v>
      </c>
      <c r="C3924" t="str">
        <f>"03961041005"</f>
        <v>03961041005</v>
      </c>
      <c r="D3924" t="str">
        <f>""</f>
        <v/>
      </c>
      <c r="E3924" t="s">
        <v>52</v>
      </c>
      <c r="F3924">
        <v>2016</v>
      </c>
      <c r="G3924" t="str">
        <f>"               50007"</f>
        <v xml:space="preserve">               50007</v>
      </c>
      <c r="H3924" s="3">
        <v>42460</v>
      </c>
      <c r="I3924" s="3">
        <v>42471</v>
      </c>
      <c r="J3924" s="3">
        <v>42468</v>
      </c>
      <c r="K3924" s="3">
        <v>42528</v>
      </c>
      <c r="L3924" s="1">
        <v>507.31</v>
      </c>
      <c r="M3924">
        <v>-8</v>
      </c>
      <c r="N3924" s="5">
        <v>-4058.48</v>
      </c>
      <c r="O3924">
        <v>507.31</v>
      </c>
      <c r="P3924">
        <v>-8</v>
      </c>
      <c r="Q3924" s="4">
        <v>-4058.48</v>
      </c>
      <c r="R3924">
        <v>0</v>
      </c>
      <c r="V3924">
        <v>0</v>
      </c>
      <c r="W3924">
        <v>618.91999999999996</v>
      </c>
      <c r="X3924">
        <v>0</v>
      </c>
      <c r="Y3924">
        <v>618.91999999999996</v>
      </c>
      <c r="Z3924">
        <v>618.91999999999996</v>
      </c>
      <c r="AA3924">
        <v>618.91999999999996</v>
      </c>
      <c r="AB3924" s="3">
        <v>42562</v>
      </c>
      <c r="AC3924" t="s">
        <v>53</v>
      </c>
      <c r="AD3924" t="s">
        <v>53</v>
      </c>
      <c r="AK3924">
        <v>0</v>
      </c>
      <c r="AU3924" s="3">
        <v>42520</v>
      </c>
      <c r="AV3924" s="3">
        <v>42520</v>
      </c>
      <c r="AW3924" t="s">
        <v>54</v>
      </c>
      <c r="AX3924" t="str">
        <f>"FOR"</f>
        <v>FOR</v>
      </c>
      <c r="AY3924" t="s">
        <v>55</v>
      </c>
    </row>
    <row r="3925" spans="1:51">
      <c r="A3925">
        <v>106710</v>
      </c>
      <c r="B3925" t="s">
        <v>533</v>
      </c>
      <c r="C3925" t="str">
        <f>"01333450623"</f>
        <v>01333450623</v>
      </c>
      <c r="D3925" t="str">
        <f>"GDLMGR61S42A783F"</f>
        <v>GDLMGR61S42A783F</v>
      </c>
      <c r="E3925" t="s">
        <v>52</v>
      </c>
      <c r="F3925">
        <v>2016</v>
      </c>
      <c r="G3925" t="str">
        <f>"                  01"</f>
        <v xml:space="preserve">                  01</v>
      </c>
      <c r="H3925" s="3">
        <v>42452</v>
      </c>
      <c r="I3925" s="3">
        <v>42461</v>
      </c>
      <c r="J3925" s="3">
        <v>42459</v>
      </c>
      <c r="K3925" s="3">
        <v>42519</v>
      </c>
      <c r="L3925" s="5">
        <v>4626.13</v>
      </c>
      <c r="M3925">
        <v>-32</v>
      </c>
      <c r="N3925" s="5">
        <v>-148036.16</v>
      </c>
      <c r="O3925" s="4">
        <v>4626.13</v>
      </c>
      <c r="P3925">
        <v>-32</v>
      </c>
      <c r="Q3925" s="4">
        <v>-148036.16</v>
      </c>
      <c r="R3925">
        <v>0</v>
      </c>
      <c r="V3925">
        <v>0</v>
      </c>
      <c r="W3925" s="4">
        <v>4626.13</v>
      </c>
      <c r="X3925">
        <v>0</v>
      </c>
      <c r="Y3925" s="4">
        <v>4626.13</v>
      </c>
      <c r="Z3925" s="4">
        <v>4626.13</v>
      </c>
      <c r="AA3925" s="4">
        <v>4626.13</v>
      </c>
      <c r="AB3925" s="3">
        <v>42562</v>
      </c>
      <c r="AC3925" t="s">
        <v>53</v>
      </c>
      <c r="AD3925" t="s">
        <v>53</v>
      </c>
      <c r="AK3925">
        <v>0</v>
      </c>
      <c r="AU3925" s="3">
        <v>42487</v>
      </c>
      <c r="AV3925" s="3">
        <v>42487</v>
      </c>
      <c r="AW3925" t="s">
        <v>54</v>
      </c>
      <c r="AX3925" t="str">
        <f>"ALTPRO"</f>
        <v>ALTPRO</v>
      </c>
      <c r="AY3925" t="s">
        <v>93</v>
      </c>
    </row>
    <row r="3926" spans="1:51">
      <c r="A3926">
        <v>106715</v>
      </c>
      <c r="B3926" t="s">
        <v>534</v>
      </c>
      <c r="C3926" t="str">
        <f>"01514570629"</f>
        <v>01514570629</v>
      </c>
      <c r="D3926" t="str">
        <f>"01514570629"</f>
        <v>01514570629</v>
      </c>
      <c r="E3926" t="s">
        <v>52</v>
      </c>
      <c r="F3926">
        <v>2015</v>
      </c>
      <c r="G3926" t="str">
        <f>"              000728"</f>
        <v xml:space="preserve">              000728</v>
      </c>
      <c r="H3926" s="3">
        <v>42357</v>
      </c>
      <c r="I3926" s="3">
        <v>42471</v>
      </c>
      <c r="J3926" s="3">
        <v>42471</v>
      </c>
      <c r="K3926" s="3">
        <v>42531</v>
      </c>
      <c r="L3926" s="5">
        <v>15564</v>
      </c>
      <c r="M3926">
        <v>-11</v>
      </c>
      <c r="N3926" s="5">
        <v>-171204</v>
      </c>
      <c r="O3926" s="4">
        <v>15564</v>
      </c>
      <c r="P3926">
        <v>-11</v>
      </c>
      <c r="Q3926" s="4">
        <v>-171204</v>
      </c>
      <c r="R3926">
        <v>0</v>
      </c>
      <c r="V3926">
        <v>0</v>
      </c>
      <c r="W3926" s="4">
        <v>18988.080000000002</v>
      </c>
      <c r="X3926">
        <v>0</v>
      </c>
      <c r="Y3926">
        <v>0</v>
      </c>
      <c r="Z3926" s="4">
        <v>18988.080000000002</v>
      </c>
      <c r="AA3926">
        <v>0</v>
      </c>
      <c r="AB3926" s="3">
        <v>42562</v>
      </c>
      <c r="AC3926" t="s">
        <v>53</v>
      </c>
      <c r="AD3926" t="s">
        <v>53</v>
      </c>
      <c r="AK3926">
        <v>0</v>
      </c>
      <c r="AU3926" s="3">
        <v>42520</v>
      </c>
      <c r="AV3926" s="3">
        <v>42520</v>
      </c>
      <c r="AW3926" t="s">
        <v>54</v>
      </c>
      <c r="AX3926" t="str">
        <f>"FOR"</f>
        <v>FOR</v>
      </c>
      <c r="AY3926" t="s">
        <v>55</v>
      </c>
    </row>
    <row r="3927" spans="1:51" hidden="1">
      <c r="A3927">
        <v>106716</v>
      </c>
      <c r="B3927" t="s">
        <v>535</v>
      </c>
      <c r="C3927" t="str">
        <f>""</f>
        <v/>
      </c>
      <c r="D3927" t="str">
        <f>"97139590588"</f>
        <v>97139590588</v>
      </c>
      <c r="E3927" t="s">
        <v>52</v>
      </c>
      <c r="F3927">
        <v>2016</v>
      </c>
      <c r="G3927" t="str">
        <f>"                  83"</f>
        <v xml:space="preserve">                  83</v>
      </c>
      <c r="H3927" s="3">
        <v>42475</v>
      </c>
      <c r="I3927" s="3">
        <v>42475</v>
      </c>
      <c r="J3927" s="3">
        <v>42475</v>
      </c>
      <c r="K3927" s="3">
        <v>42535</v>
      </c>
      <c r="L3927">
        <v>150</v>
      </c>
      <c r="M3927">
        <v>-60</v>
      </c>
      <c r="N3927" s="4">
        <v>-9000</v>
      </c>
      <c r="O3927">
        <v>150</v>
      </c>
      <c r="P3927">
        <v>-60</v>
      </c>
      <c r="Q3927" s="4">
        <v>-9000</v>
      </c>
      <c r="R3927">
        <v>0</v>
      </c>
      <c r="V3927">
        <v>150</v>
      </c>
      <c r="W3927">
        <v>150</v>
      </c>
      <c r="X3927">
        <v>150</v>
      </c>
      <c r="Y3927">
        <v>150</v>
      </c>
      <c r="Z3927">
        <v>150</v>
      </c>
      <c r="AA3927">
        <v>150</v>
      </c>
      <c r="AB3927" s="3">
        <v>42562</v>
      </c>
      <c r="AC3927" t="s">
        <v>53</v>
      </c>
      <c r="AD3927" t="s">
        <v>53</v>
      </c>
      <c r="AK3927">
        <v>0</v>
      </c>
      <c r="AU3927" s="3">
        <v>42475</v>
      </c>
      <c r="AV3927" s="3">
        <v>42475</v>
      </c>
      <c r="AW3927" t="s">
        <v>54</v>
      </c>
      <c r="AX3927" t="str">
        <f>"ALT"</f>
        <v>ALT</v>
      </c>
      <c r="AY3927" t="s">
        <v>72</v>
      </c>
    </row>
    <row r="3928" spans="1:51" hidden="1">
      <c r="A3928">
        <v>106718</v>
      </c>
      <c r="B3928" t="s">
        <v>536</v>
      </c>
      <c r="C3928" t="str">
        <f>"01114601006"</f>
        <v>01114601006</v>
      </c>
      <c r="D3928" t="str">
        <f>"97103880585"</f>
        <v>97103880585</v>
      </c>
      <c r="E3928" t="s">
        <v>52</v>
      </c>
      <c r="F3928">
        <v>2016</v>
      </c>
      <c r="G3928" t="str">
        <f>"                  78"</f>
        <v xml:space="preserve">                  78</v>
      </c>
      <c r="H3928" s="3">
        <v>42471</v>
      </c>
      <c r="I3928" s="3">
        <v>42471</v>
      </c>
      <c r="J3928" s="3">
        <v>42471</v>
      </c>
      <c r="K3928" s="3">
        <v>42531</v>
      </c>
      <c r="L3928" s="4">
        <v>2972.95</v>
      </c>
      <c r="M3928">
        <v>-60</v>
      </c>
      <c r="N3928" s="4">
        <v>-178377</v>
      </c>
      <c r="O3928" s="4">
        <v>2972.95</v>
      </c>
      <c r="P3928">
        <v>-60</v>
      </c>
      <c r="Q3928" s="4">
        <v>-178377</v>
      </c>
      <c r="R3928">
        <v>0</v>
      </c>
      <c r="V3928" s="4">
        <v>2972.95</v>
      </c>
      <c r="W3928" s="4">
        <v>2972.95</v>
      </c>
      <c r="X3928" s="4">
        <v>2972.95</v>
      </c>
      <c r="Y3928" s="4">
        <v>2972.95</v>
      </c>
      <c r="Z3928" s="4">
        <v>2972.95</v>
      </c>
      <c r="AA3928" s="4">
        <v>2972.95</v>
      </c>
      <c r="AB3928" s="3">
        <v>42562</v>
      </c>
      <c r="AC3928" t="s">
        <v>53</v>
      </c>
      <c r="AD3928" t="s">
        <v>53</v>
      </c>
      <c r="AK3928">
        <v>0</v>
      </c>
      <c r="AU3928" s="3">
        <v>42471</v>
      </c>
      <c r="AV3928" s="3">
        <v>42471</v>
      </c>
      <c r="AW3928" t="s">
        <v>54</v>
      </c>
      <c r="AX3928" t="str">
        <f>"ALT"</f>
        <v>ALT</v>
      </c>
      <c r="AY3928" t="s">
        <v>72</v>
      </c>
    </row>
    <row r="3929" spans="1:51">
      <c r="A3929">
        <v>106723</v>
      </c>
      <c r="B3929" t="s">
        <v>537</v>
      </c>
      <c r="C3929" t="str">
        <f>"01426410880"</f>
        <v>01426410880</v>
      </c>
      <c r="D3929" t="str">
        <f>""</f>
        <v/>
      </c>
      <c r="E3929" t="s">
        <v>52</v>
      </c>
      <c r="F3929">
        <v>2016</v>
      </c>
      <c r="G3929" t="str">
        <f>"                  88"</f>
        <v xml:space="preserve">                  88</v>
      </c>
      <c r="H3929" s="3">
        <v>42479</v>
      </c>
      <c r="I3929" s="3">
        <v>42479</v>
      </c>
      <c r="J3929" s="3">
        <v>42479</v>
      </c>
      <c r="K3929" s="3">
        <v>42539</v>
      </c>
      <c r="L3929" s="1">
        <v>402.83</v>
      </c>
      <c r="M3929">
        <v>-52</v>
      </c>
      <c r="N3929" s="5">
        <v>-20947.16</v>
      </c>
      <c r="O3929">
        <v>402.83</v>
      </c>
      <c r="P3929">
        <v>-52</v>
      </c>
      <c r="Q3929" s="4">
        <v>-20947.16</v>
      </c>
      <c r="R3929">
        <v>0</v>
      </c>
      <c r="V3929">
        <v>402.83</v>
      </c>
      <c r="W3929">
        <v>402.83</v>
      </c>
      <c r="X3929">
        <v>402.83</v>
      </c>
      <c r="Y3929">
        <v>402.83</v>
      </c>
      <c r="Z3929">
        <v>402.83</v>
      </c>
      <c r="AA3929">
        <v>402.83</v>
      </c>
      <c r="AB3929" s="3">
        <v>42562</v>
      </c>
      <c r="AC3929" t="s">
        <v>53</v>
      </c>
      <c r="AD3929" t="s">
        <v>53</v>
      </c>
      <c r="AK3929">
        <v>0</v>
      </c>
      <c r="AU3929" s="3">
        <v>42487</v>
      </c>
      <c r="AV3929" s="3">
        <v>42487</v>
      </c>
      <c r="AW3929" t="s">
        <v>54</v>
      </c>
      <c r="AX3929" t="str">
        <f>"AZI"</f>
        <v>AZI</v>
      </c>
      <c r="AY3929" t="s">
        <v>269</v>
      </c>
    </row>
    <row r="3930" spans="1:51">
      <c r="A3930">
        <v>106724</v>
      </c>
      <c r="B3930" t="s">
        <v>538</v>
      </c>
      <c r="C3930" t="str">
        <f>"04721280875"</f>
        <v>04721280875</v>
      </c>
      <c r="D3930" t="str">
        <f>"04721280875"</f>
        <v>04721280875</v>
      </c>
      <c r="E3930" t="s">
        <v>52</v>
      </c>
      <c r="F3930">
        <v>2016</v>
      </c>
      <c r="G3930" t="str">
        <f>"                  87"</f>
        <v xml:space="preserve">                  87</v>
      </c>
      <c r="H3930" s="3">
        <v>42479</v>
      </c>
      <c r="I3930" s="3">
        <v>42479</v>
      </c>
      <c r="J3930" s="3">
        <v>42479</v>
      </c>
      <c r="K3930" s="3">
        <v>42539</v>
      </c>
      <c r="L3930" s="1">
        <v>792.27</v>
      </c>
      <c r="M3930">
        <v>-52</v>
      </c>
      <c r="N3930" s="5">
        <v>-41198.04</v>
      </c>
      <c r="O3930">
        <v>792.27</v>
      </c>
      <c r="P3930">
        <v>-52</v>
      </c>
      <c r="Q3930" s="4">
        <v>-41198.04</v>
      </c>
      <c r="R3930">
        <v>0</v>
      </c>
      <c r="V3930">
        <v>792.27</v>
      </c>
      <c r="W3930">
        <v>792.27</v>
      </c>
      <c r="X3930">
        <v>792.27</v>
      </c>
      <c r="Y3930">
        <v>792.27</v>
      </c>
      <c r="Z3930">
        <v>792.27</v>
      </c>
      <c r="AA3930">
        <v>792.27</v>
      </c>
      <c r="AB3930" s="3">
        <v>42562</v>
      </c>
      <c r="AC3930" t="s">
        <v>53</v>
      </c>
      <c r="AD3930" t="s">
        <v>53</v>
      </c>
      <c r="AK3930">
        <v>0</v>
      </c>
      <c r="AU3930" s="3">
        <v>42487</v>
      </c>
      <c r="AV3930" s="3">
        <v>42487</v>
      </c>
      <c r="AW3930" t="s">
        <v>54</v>
      </c>
      <c r="AX3930" t="str">
        <f>"AZI"</f>
        <v>AZI</v>
      </c>
      <c r="AY3930" t="s">
        <v>269</v>
      </c>
    </row>
    <row r="3931" spans="1:51">
      <c r="A3931">
        <v>106727</v>
      </c>
      <c r="B3931" t="s">
        <v>539</v>
      </c>
      <c r="C3931" t="str">
        <f>"01987250782"</f>
        <v>01987250782</v>
      </c>
      <c r="D3931" t="str">
        <f>"01987250782"</f>
        <v>01987250782</v>
      </c>
      <c r="E3931" t="s">
        <v>52</v>
      </c>
      <c r="F3931">
        <v>2016</v>
      </c>
      <c r="G3931" t="str">
        <f>"                 103"</f>
        <v xml:space="preserve">                 103</v>
      </c>
      <c r="H3931" s="3">
        <v>42489</v>
      </c>
      <c r="I3931" s="3">
        <v>42489</v>
      </c>
      <c r="J3931" s="3">
        <v>42489</v>
      </c>
      <c r="K3931" s="3">
        <v>42549</v>
      </c>
      <c r="L3931" s="1">
        <v>378.13</v>
      </c>
      <c r="M3931">
        <v>-57</v>
      </c>
      <c r="N3931" s="5">
        <v>-21553.41</v>
      </c>
      <c r="O3931">
        <v>378.13</v>
      </c>
      <c r="P3931">
        <v>-57</v>
      </c>
      <c r="Q3931" s="4">
        <v>-21553.41</v>
      </c>
      <c r="R3931">
        <v>0</v>
      </c>
      <c r="V3931">
        <v>378.13</v>
      </c>
      <c r="W3931">
        <v>378.13</v>
      </c>
      <c r="X3931">
        <v>378.13</v>
      </c>
      <c r="Y3931">
        <v>378.13</v>
      </c>
      <c r="Z3931">
        <v>378.13</v>
      </c>
      <c r="AA3931">
        <v>378.13</v>
      </c>
      <c r="AB3931" s="3">
        <v>42562</v>
      </c>
      <c r="AC3931" t="s">
        <v>53</v>
      </c>
      <c r="AD3931" t="s">
        <v>53</v>
      </c>
      <c r="AK3931">
        <v>0</v>
      </c>
      <c r="AU3931" s="3">
        <v>42492</v>
      </c>
      <c r="AV3931" s="3">
        <v>42492</v>
      </c>
      <c r="AW3931" t="s">
        <v>54</v>
      </c>
      <c r="AX3931" t="str">
        <f>"AZI"</f>
        <v>AZI</v>
      </c>
      <c r="AY3931" t="s">
        <v>269</v>
      </c>
    </row>
    <row r="3932" spans="1:51">
      <c r="A3932">
        <v>106729</v>
      </c>
      <c r="B3932" t="s">
        <v>540</v>
      </c>
      <c r="C3932" t="str">
        <f>"01638650620"</f>
        <v>01638650620</v>
      </c>
      <c r="D3932" t="str">
        <f>"MZZFBA88S18A783G"</f>
        <v>MZZFBA88S18A783G</v>
      </c>
      <c r="E3932" t="s">
        <v>52</v>
      </c>
      <c r="F3932">
        <v>2016</v>
      </c>
      <c r="G3932" t="str">
        <f>"         FATTPA 1_16"</f>
        <v xml:space="preserve">         FATTPA 1_16</v>
      </c>
      <c r="H3932" s="3">
        <v>42494</v>
      </c>
      <c r="I3932" s="3">
        <v>42500</v>
      </c>
      <c r="J3932" s="3">
        <v>42500</v>
      </c>
      <c r="K3932" s="3">
        <v>42560</v>
      </c>
      <c r="L3932" s="1">
        <v>833.25</v>
      </c>
      <c r="M3932">
        <v>-40</v>
      </c>
      <c r="N3932" s="5">
        <v>-33330</v>
      </c>
      <c r="O3932">
        <v>833.25</v>
      </c>
      <c r="P3932">
        <v>-40</v>
      </c>
      <c r="Q3932" s="4">
        <v>-33330</v>
      </c>
      <c r="R3932">
        <v>0</v>
      </c>
      <c r="V3932">
        <v>833.25</v>
      </c>
      <c r="W3932">
        <v>833.25</v>
      </c>
      <c r="X3932">
        <v>833.25</v>
      </c>
      <c r="Y3932">
        <v>833.25</v>
      </c>
      <c r="Z3932">
        <v>833.25</v>
      </c>
      <c r="AA3932">
        <v>833.25</v>
      </c>
      <c r="AB3932" s="3">
        <v>42562</v>
      </c>
      <c r="AC3932" t="s">
        <v>53</v>
      </c>
      <c r="AD3932" t="s">
        <v>53</v>
      </c>
      <c r="AK3932">
        <v>0</v>
      </c>
      <c r="AU3932" s="3">
        <v>42520</v>
      </c>
      <c r="AV3932" s="3">
        <v>42520</v>
      </c>
      <c r="AW3932" t="s">
        <v>54</v>
      </c>
      <c r="AX3932" t="str">
        <f>"ALTPRO"</f>
        <v>ALTPRO</v>
      </c>
      <c r="AY3932" t="s">
        <v>93</v>
      </c>
    </row>
    <row r="3933" spans="1:51" hidden="1">
      <c r="A3933">
        <v>106736</v>
      </c>
      <c r="B3933" t="s">
        <v>541</v>
      </c>
      <c r="C3933" t="str">
        <f>""</f>
        <v/>
      </c>
      <c r="D3933" t="str">
        <f>"LPCRSL66H41F839Y"</f>
        <v>LPCRSL66H41F839Y</v>
      </c>
      <c r="E3933" t="s">
        <v>52</v>
      </c>
      <c r="F3933">
        <v>2016</v>
      </c>
      <c r="G3933" t="str">
        <f>"                 120"</f>
        <v xml:space="preserve">                 120</v>
      </c>
      <c r="H3933" s="3">
        <v>42513</v>
      </c>
      <c r="I3933" s="3">
        <v>42513</v>
      </c>
      <c r="J3933" s="3">
        <v>42513</v>
      </c>
      <c r="K3933" s="3">
        <v>42573</v>
      </c>
      <c r="L3933">
        <v>200</v>
      </c>
      <c r="M3933">
        <v>-53</v>
      </c>
      <c r="N3933" s="4">
        <v>-10600</v>
      </c>
      <c r="O3933">
        <v>200</v>
      </c>
      <c r="P3933">
        <v>-53</v>
      </c>
      <c r="Q3933" s="4">
        <v>-10600</v>
      </c>
      <c r="R3933">
        <v>0</v>
      </c>
      <c r="V3933">
        <v>200</v>
      </c>
      <c r="W3933">
        <v>200</v>
      </c>
      <c r="X3933">
        <v>200</v>
      </c>
      <c r="Y3933">
        <v>200</v>
      </c>
      <c r="Z3933">
        <v>200</v>
      </c>
      <c r="AA3933">
        <v>200</v>
      </c>
      <c r="AB3933" s="3">
        <v>42562</v>
      </c>
      <c r="AC3933" t="s">
        <v>53</v>
      </c>
      <c r="AD3933" t="s">
        <v>53</v>
      </c>
      <c r="AK3933">
        <v>0</v>
      </c>
      <c r="AU3933" s="3">
        <v>42520</v>
      </c>
      <c r="AV3933" s="3">
        <v>42520</v>
      </c>
      <c r="AW3933" t="s">
        <v>54</v>
      </c>
      <c r="AX3933" t="str">
        <f>"ALT"</f>
        <v>ALT</v>
      </c>
      <c r="AY3933" t="s">
        <v>72</v>
      </c>
    </row>
    <row r="3934" spans="1:51">
      <c r="A3934">
        <v>106742</v>
      </c>
      <c r="B3934" t="s">
        <v>542</v>
      </c>
      <c r="C3934" t="str">
        <f>""</f>
        <v/>
      </c>
      <c r="D3934" t="str">
        <f>"MSCVTR43E02A110R"</f>
        <v>MSCVTR43E02A110R</v>
      </c>
      <c r="E3934" t="s">
        <v>52</v>
      </c>
      <c r="F3934">
        <v>2016</v>
      </c>
      <c r="G3934" t="str">
        <f>"                 136"</f>
        <v xml:space="preserve">                 136</v>
      </c>
      <c r="H3934" s="3">
        <v>42528</v>
      </c>
      <c r="I3934" s="3">
        <v>42528</v>
      </c>
      <c r="J3934" s="3">
        <v>42528</v>
      </c>
      <c r="K3934" s="3">
        <v>42588</v>
      </c>
      <c r="L3934" s="5">
        <v>24964.959999999999</v>
      </c>
      <c r="M3934">
        <v>-60</v>
      </c>
      <c r="N3934" s="5">
        <v>-1497897.6</v>
      </c>
      <c r="O3934" s="4">
        <v>24964.959999999999</v>
      </c>
      <c r="P3934">
        <v>-60</v>
      </c>
      <c r="Q3934" s="4">
        <v>-1497897.6</v>
      </c>
      <c r="R3934">
        <v>0</v>
      </c>
      <c r="V3934" s="4">
        <v>24964.959999999999</v>
      </c>
      <c r="W3934" s="4">
        <v>24964.959999999999</v>
      </c>
      <c r="X3934" s="4">
        <v>24964.959999999999</v>
      </c>
      <c r="Y3934" s="4">
        <v>24964.959999999999</v>
      </c>
      <c r="Z3934" s="4">
        <v>24964.959999999999</v>
      </c>
      <c r="AA3934" s="4">
        <v>24964.959999999999</v>
      </c>
      <c r="AB3934" s="3">
        <v>42562</v>
      </c>
      <c r="AC3934" t="s">
        <v>53</v>
      </c>
      <c r="AD3934" t="s">
        <v>53</v>
      </c>
      <c r="AK3934">
        <v>0</v>
      </c>
      <c r="AU3934" s="3">
        <v>42528</v>
      </c>
      <c r="AV3934" s="3">
        <v>42528</v>
      </c>
      <c r="AW3934" t="s">
        <v>54</v>
      </c>
      <c r="AX3934" t="str">
        <f>"ALT"</f>
        <v>ALT</v>
      </c>
      <c r="AY3934" t="s">
        <v>72</v>
      </c>
    </row>
    <row r="3935" spans="1:51" hidden="1">
      <c r="A3935">
        <v>106743</v>
      </c>
      <c r="B3935" t="s">
        <v>543</v>
      </c>
      <c r="C3935" t="str">
        <f>""</f>
        <v/>
      </c>
      <c r="D3935" t="str">
        <f>"CCRNLT51S28A783A"</f>
        <v>CCRNLT51S28A783A</v>
      </c>
      <c r="E3935" t="s">
        <v>52</v>
      </c>
      <c r="F3935">
        <v>2016</v>
      </c>
      <c r="G3935" t="str">
        <f>"                 139"</f>
        <v xml:space="preserve">                 139</v>
      </c>
      <c r="H3935" s="3">
        <v>42528</v>
      </c>
      <c r="I3935" s="3">
        <v>42528</v>
      </c>
      <c r="J3935" s="3">
        <v>42528</v>
      </c>
      <c r="K3935" s="3">
        <v>42588</v>
      </c>
      <c r="L3935" s="4">
        <v>20280.3</v>
      </c>
      <c r="M3935">
        <v>-60</v>
      </c>
      <c r="N3935" s="4">
        <v>-1216818</v>
      </c>
      <c r="O3935" s="4">
        <v>20280.3</v>
      </c>
      <c r="P3935">
        <v>-60</v>
      </c>
      <c r="Q3935" s="4">
        <v>-1216818</v>
      </c>
      <c r="R3935">
        <v>0</v>
      </c>
      <c r="V3935" s="4">
        <v>20280.3</v>
      </c>
      <c r="W3935" s="4">
        <v>20280.3</v>
      </c>
      <c r="X3935" s="4">
        <v>20280.3</v>
      </c>
      <c r="Y3935" s="4">
        <v>20280.3</v>
      </c>
      <c r="Z3935" s="4">
        <v>20280.3</v>
      </c>
      <c r="AA3935" s="4">
        <v>20280.3</v>
      </c>
      <c r="AB3935" s="3">
        <v>42562</v>
      </c>
      <c r="AC3935" t="s">
        <v>53</v>
      </c>
      <c r="AD3935" t="s">
        <v>53</v>
      </c>
      <c r="AK3935">
        <v>0</v>
      </c>
      <c r="AU3935" s="3">
        <v>42528</v>
      </c>
      <c r="AV3935" s="3">
        <v>42528</v>
      </c>
      <c r="AW3935" t="s">
        <v>54</v>
      </c>
      <c r="AX3935" t="str">
        <f>"ALT"</f>
        <v>ALT</v>
      </c>
      <c r="AY3935" t="s">
        <v>72</v>
      </c>
    </row>
    <row r="3936" spans="1:51" hidden="1">
      <c r="A3936">
        <v>106744</v>
      </c>
      <c r="B3936" t="s">
        <v>544</v>
      </c>
      <c r="C3936" t="str">
        <f>""</f>
        <v/>
      </c>
      <c r="D3936" t="str">
        <f>""</f>
        <v/>
      </c>
      <c r="E3936" t="s">
        <v>52</v>
      </c>
      <c r="F3936">
        <v>2016</v>
      </c>
      <c r="G3936" t="str">
        <f>"                 134"</f>
        <v xml:space="preserve">                 134</v>
      </c>
      <c r="H3936" s="3">
        <v>42528</v>
      </c>
      <c r="I3936" s="3">
        <v>42528</v>
      </c>
      <c r="J3936" s="3">
        <v>42528</v>
      </c>
      <c r="K3936" s="3">
        <v>42588</v>
      </c>
      <c r="L3936" s="4">
        <v>25018</v>
      </c>
      <c r="M3936">
        <v>-60</v>
      </c>
      <c r="N3936" s="4">
        <v>-1501080</v>
      </c>
      <c r="O3936" s="4">
        <v>25018</v>
      </c>
      <c r="P3936">
        <v>-60</v>
      </c>
      <c r="Q3936" s="4">
        <v>-1501080</v>
      </c>
      <c r="R3936">
        <v>0</v>
      </c>
      <c r="V3936" s="4">
        <v>25018</v>
      </c>
      <c r="W3936" s="4">
        <v>25018</v>
      </c>
      <c r="X3936" s="4">
        <v>25018</v>
      </c>
      <c r="Y3936" s="4">
        <v>25018</v>
      </c>
      <c r="Z3936" s="4">
        <v>25018</v>
      </c>
      <c r="AA3936" s="4">
        <v>25018</v>
      </c>
      <c r="AB3936" s="3">
        <v>42562</v>
      </c>
      <c r="AC3936" t="s">
        <v>53</v>
      </c>
      <c r="AD3936" t="s">
        <v>53</v>
      </c>
      <c r="AK3936">
        <v>0</v>
      </c>
      <c r="AU3936" s="3">
        <v>42528</v>
      </c>
      <c r="AV3936" s="3">
        <v>42528</v>
      </c>
      <c r="AW3936" t="s">
        <v>54</v>
      </c>
      <c r="AX3936" t="str">
        <f>"FOR"</f>
        <v>FOR</v>
      </c>
      <c r="AY3936" t="s">
        <v>55</v>
      </c>
    </row>
    <row r="3937" spans="1:51" hidden="1">
      <c r="A3937">
        <v>106744</v>
      </c>
      <c r="B3937" t="s">
        <v>544</v>
      </c>
      <c r="C3937" t="str">
        <f>""</f>
        <v/>
      </c>
      <c r="D3937" t="str">
        <f>""</f>
        <v/>
      </c>
      <c r="E3937" t="s">
        <v>52</v>
      </c>
      <c r="F3937">
        <v>2016</v>
      </c>
      <c r="G3937" t="str">
        <f>"                 135"</f>
        <v xml:space="preserve">                 135</v>
      </c>
      <c r="H3937" s="3">
        <v>42528</v>
      </c>
      <c r="I3937" s="3">
        <v>42528</v>
      </c>
      <c r="J3937" s="3">
        <v>42528</v>
      </c>
      <c r="K3937" s="3">
        <v>42588</v>
      </c>
      <c r="L3937">
        <v>47</v>
      </c>
      <c r="M3937">
        <v>-60</v>
      </c>
      <c r="N3937" s="4">
        <v>-2820</v>
      </c>
      <c r="O3937">
        <v>47</v>
      </c>
      <c r="P3937">
        <v>-60</v>
      </c>
      <c r="Q3937" s="4">
        <v>-2820</v>
      </c>
      <c r="R3937">
        <v>0</v>
      </c>
      <c r="V3937">
        <v>47</v>
      </c>
      <c r="W3937">
        <v>47</v>
      </c>
      <c r="X3937">
        <v>47</v>
      </c>
      <c r="Y3937">
        <v>47</v>
      </c>
      <c r="Z3937">
        <v>47</v>
      </c>
      <c r="AA3937">
        <v>47</v>
      </c>
      <c r="AB3937" s="3">
        <v>42562</v>
      </c>
      <c r="AC3937" t="s">
        <v>53</v>
      </c>
      <c r="AD3937" t="s">
        <v>53</v>
      </c>
      <c r="AK3937">
        <v>0</v>
      </c>
      <c r="AU3937" s="3">
        <v>42528</v>
      </c>
      <c r="AV3937" s="3">
        <v>42528</v>
      </c>
      <c r="AW3937" t="s">
        <v>54</v>
      </c>
      <c r="AX3937" t="str">
        <f>"FOR"</f>
        <v>FOR</v>
      </c>
      <c r="AY3937" t="s">
        <v>55</v>
      </c>
    </row>
    <row r="3938" spans="1:51" s="5" customFormat="1">
      <c r="H3938" s="5" t="s">
        <v>545</v>
      </c>
      <c r="L3938" s="5">
        <f>SUBTOTAL(9,L7:L3937)</f>
        <v>6641374.7400000077</v>
      </c>
      <c r="N3938" s="5">
        <f>SUBTOTAL(9,N7:N3937)</f>
        <v>1218122071.1099994</v>
      </c>
      <c r="O3938" s="4">
        <f>SUBTOTAL(9,O7:O3937)</f>
        <v>14149514.25000002</v>
      </c>
      <c r="P3938" s="4"/>
      <c r="Q3938" s="4">
        <f>SUBTOTAL(9,Q7:Q3937)</f>
        <v>2300133222.6699967</v>
      </c>
    </row>
    <row r="3940" spans="1:51" s="2" customFormat="1">
      <c r="H3940" s="1" t="s">
        <v>546</v>
      </c>
      <c r="I3940" s="1" t="s">
        <v>547</v>
      </c>
      <c r="J3940" s="1" t="s">
        <v>548</v>
      </c>
      <c r="K3940" s="1" t="s">
        <v>549</v>
      </c>
      <c r="L3940" s="6">
        <v>2016</v>
      </c>
      <c r="M3940" s="1" t="s">
        <v>550</v>
      </c>
      <c r="N3940" s="5">
        <f>N3938/L3938</f>
        <v>183.41414523312955</v>
      </c>
    </row>
  </sheetData>
  <sheetProtection password="CC12" sheet="1" objects="1" scenarios="1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118A7E20-331A-0460-2B5E-9398873</vt:lpstr>
      <vt:lpstr>'118A7E20-331A-0460-2B5E-9398873'!_FilterDatabase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Enzo</cp:lastModifiedBy>
  <cp:revision>0</cp:revision>
  <dcterms:created xsi:type="dcterms:W3CDTF">2016-07-11T08:24:04Z</dcterms:created>
  <dcterms:modified xsi:type="dcterms:W3CDTF">2016-10-28T07:49:21Z</dcterms:modified>
</cp:coreProperties>
</file>